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kamal/CloudStation/Dev/CryptoInvestor/"/>
    </mc:Choice>
  </mc:AlternateContent>
  <xr:revisionPtr revIDLastSave="0" documentId="13_ncr:1_{0E0FABB4-6D87-3249-9DC6-81912C29500C}" xr6:coauthVersionLast="47" xr6:coauthVersionMax="47" xr10:uidLastSave="{00000000-0000-0000-0000-000000000000}"/>
  <bookViews>
    <workbookView xWindow="0" yWindow="760" windowWidth="34560" windowHeight="20200" activeTab="3" xr2:uid="{00000000-000D-0000-FFFF-FFFF00000000}"/>
  </bookViews>
  <sheets>
    <sheet name="Crypto Prices" sheetId="1" r:id="rId1"/>
    <sheet name="calculations" sheetId="2" r:id="rId2"/>
    <sheet name="weekly price" sheetId="3" r:id="rId3"/>
    <sheet name="20222023 WDCA" sheetId="4" r:id="rId4"/>
    <sheet name="ETH Historical Data" sheetId="5" state="hidden" r:id="rId5"/>
  </sheets>
  <definedNames>
    <definedName name="_xlnm._FilterDatabase" localSheetId="2" hidden="1">'weekly price'!$T$1:$T$630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C3" i="3" s="1" a="1"/>
  <c r="C3" i="3" s="1"/>
  <c r="G3" i="3" s="1"/>
  <c r="M3" i="3"/>
  <c r="N3" i="3"/>
  <c r="O3" i="3"/>
  <c r="P3" i="3"/>
  <c r="Q3" i="3"/>
  <c r="R3" i="3"/>
  <c r="B4" i="3" a="1"/>
  <c r="B4" i="3" s="1"/>
  <c r="C4" i="3" s="1" a="1"/>
  <c r="C4" i="3" s="1"/>
  <c r="B5" i="3" a="1"/>
  <c r="B5" i="3" s="1"/>
  <c r="B6" i="3" a="1"/>
  <c r="B6" i="3" s="1"/>
  <c r="C6" i="3" s="1" a="1"/>
  <c r="C6" i="3" s="1"/>
  <c r="G6" i="3" s="1"/>
  <c r="B7" i="3" a="1"/>
  <c r="B7" i="3" s="1"/>
  <c r="B8" i="3" a="1"/>
  <c r="B8" i="3" s="1"/>
  <c r="B9" i="3" a="1"/>
  <c r="B9" i="3" s="1"/>
  <c r="B10" i="3" a="1"/>
  <c r="B10" i="3" s="1"/>
  <c r="C10" i="3" s="1" a="1"/>
  <c r="C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C16" i="3" s="1" a="1"/>
  <c r="C16" i="3" s="1"/>
  <c r="G16" i="3" s="1"/>
  <c r="B17" i="3" a="1"/>
  <c r="B17" i="3" s="1"/>
  <c r="B18" i="3" a="1"/>
  <c r="B18" i="3" s="1"/>
  <c r="B19" i="3" a="1"/>
  <c r="B19" i="3" s="1"/>
  <c r="B20" i="3" a="1"/>
  <c r="B20" i="3" s="1"/>
  <c r="C20" i="3" s="1" a="1"/>
  <c r="C20" i="3" s="1"/>
  <c r="G20" i="3" s="1"/>
  <c r="B21" i="3" a="1"/>
  <c r="B21" i="3" s="1"/>
  <c r="B22" i="3" a="1"/>
  <c r="B22" i="3" s="1"/>
  <c r="C22" i="3" s="1" a="1"/>
  <c r="C22" i="3" s="1"/>
  <c r="B23" i="3" a="1"/>
  <c r="B23" i="3" s="1"/>
  <c r="B24" i="3" a="1"/>
  <c r="B24" i="3" s="1"/>
  <c r="B25" i="3" a="1"/>
  <c r="B25" i="3" s="1"/>
  <c r="C25" i="3" s="1" a="1"/>
  <c r="C25" i="3" s="1"/>
  <c r="B26" i="3" a="1"/>
  <c r="B26" i="3" s="1"/>
  <c r="B27" i="3" a="1"/>
  <c r="B27" i="3" s="1"/>
  <c r="C27" i="3" s="1" a="1"/>
  <c r="C27" i="3" s="1"/>
  <c r="B28" i="3" a="1"/>
  <c r="B28" i="3" s="1"/>
  <c r="B29" i="3" a="1"/>
  <c r="B29" i="3" s="1"/>
  <c r="C29" i="3" s="1" a="1"/>
  <c r="C29" i="3" s="1"/>
  <c r="B30" i="3" a="1"/>
  <c r="B30" i="3" s="1"/>
  <c r="C30" i="3" s="1" a="1"/>
  <c r="C30" i="3" s="1"/>
  <c r="B31" i="3" a="1"/>
  <c r="B31" i="3" s="1"/>
  <c r="B32" i="3" a="1"/>
  <c r="B32" i="3" s="1"/>
  <c r="C32" i="3" s="1" a="1"/>
  <c r="C32" i="3" s="1"/>
  <c r="B33" i="3" a="1"/>
  <c r="B33" i="3" s="1"/>
  <c r="C33" i="3" s="1" a="1"/>
  <c r="C33" i="3" s="1"/>
  <c r="B34" i="3" a="1"/>
  <c r="B34" i="3" s="1"/>
  <c r="C34" i="3" s="1" a="1"/>
  <c r="C34" i="3" s="1"/>
  <c r="G34" i="3" s="1"/>
  <c r="B35" i="3" a="1"/>
  <c r="B35" i="3" s="1"/>
  <c r="C35" i="3" s="1" a="1"/>
  <c r="C35" i="3" s="1"/>
  <c r="B36" i="3" a="1"/>
  <c r="B36" i="3" s="1"/>
  <c r="B37" i="3" a="1"/>
  <c r="B37" i="3" s="1"/>
  <c r="C37" i="3" s="1" a="1"/>
  <c r="C37" i="3" s="1"/>
  <c r="B38" i="3" a="1"/>
  <c r="B38" i="3" s="1"/>
  <c r="B39" i="3" a="1"/>
  <c r="B39" i="3" s="1"/>
  <c r="C39" i="3" s="1" a="1"/>
  <c r="C39" i="3" s="1"/>
  <c r="B40" i="3" a="1"/>
  <c r="B40" i="3" s="1"/>
  <c r="B41" i="3" a="1"/>
  <c r="B41" i="3" s="1"/>
  <c r="B42" i="3" a="1"/>
  <c r="B42" i="3" s="1"/>
  <c r="B43" i="3" a="1"/>
  <c r="B43" i="3" s="1"/>
  <c r="C43" i="3" s="1" a="1"/>
  <c r="C43" i="3" s="1"/>
  <c r="B44" i="3" a="1"/>
  <c r="B44" i="3" s="1"/>
  <c r="B45" i="3" a="1"/>
  <c r="B45" i="3" s="1"/>
  <c r="B46" i="3" a="1"/>
  <c r="B46" i="3" s="1"/>
  <c r="C46" i="3" s="1" a="1"/>
  <c r="C46" i="3" s="1"/>
  <c r="B47" i="3" a="1"/>
  <c r="B47" i="3" s="1"/>
  <c r="B48" i="3" a="1"/>
  <c r="B48" i="3" s="1"/>
  <c r="C48" i="3" s="1" a="1"/>
  <c r="C48" i="3" s="1"/>
  <c r="G48" i="3" s="1"/>
  <c r="B49" i="3" a="1"/>
  <c r="B49" i="3" s="1"/>
  <c r="B50" i="3" a="1"/>
  <c r="B50" i="3" s="1"/>
  <c r="C50" i="3" s="1" a="1"/>
  <c r="C50" i="3" s="1"/>
  <c r="B51" i="3" a="1"/>
  <c r="B51" i="3" s="1"/>
  <c r="B52" i="3" a="1"/>
  <c r="B52" i="3" s="1"/>
  <c r="C52" i="3" s="1" a="1"/>
  <c r="C52" i="3" s="1"/>
  <c r="G52" i="3" s="1"/>
  <c r="B53" i="3" a="1"/>
  <c r="B53" i="3" s="1"/>
  <c r="B54" i="3" a="1"/>
  <c r="B54" i="3" s="1"/>
  <c r="B55" i="3" a="1"/>
  <c r="B55" i="3" s="1"/>
  <c r="B56" i="3" a="1"/>
  <c r="B56" i="3" s="1"/>
  <c r="C56" i="3" s="1" a="1"/>
  <c r="C56" i="3" s="1"/>
  <c r="G56" i="3" s="1"/>
  <c r="B57" i="3" a="1"/>
  <c r="B57" i="3" s="1"/>
  <c r="B58" i="3" a="1"/>
  <c r="B58" i="3" s="1"/>
  <c r="B59" i="3" a="1"/>
  <c r="B59" i="3" s="1"/>
  <c r="B60" i="3" a="1"/>
  <c r="B60" i="3" s="1"/>
  <c r="C60" i="3" s="1" a="1"/>
  <c r="C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C65" i="3" s="1" a="1"/>
  <c r="C65" i="3" s="1"/>
  <c r="G65" i="3" s="1"/>
  <c r="B66" i="3" a="1"/>
  <c r="B66" i="3" s="1"/>
  <c r="B67" i="3" a="1"/>
  <c r="B67" i="3" s="1"/>
  <c r="C67" i="3" s="1" a="1"/>
  <c r="C67" i="3" s="1"/>
  <c r="G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C74" i="3" s="1" a="1"/>
  <c r="C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C81" i="3" s="1" a="1"/>
  <c r="C81" i="3" s="1"/>
  <c r="G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C87" i="3" s="1" a="1"/>
  <c r="C87" i="3" s="1"/>
  <c r="G87" i="3" s="1"/>
  <c r="B88" i="3" a="1"/>
  <c r="B88" i="3" s="1"/>
  <c r="C88" i="3" s="1" a="1"/>
  <c r="C88" i="3" s="1"/>
  <c r="B89" i="3" a="1"/>
  <c r="B89" i="3" s="1"/>
  <c r="C89" i="3" s="1" a="1"/>
  <c r="C89" i="3" s="1"/>
  <c r="B90" i="3" a="1"/>
  <c r="B90" i="3" s="1"/>
  <c r="B91" i="3" a="1"/>
  <c r="B91" i="3" s="1"/>
  <c r="C91" i="3" s="1" a="1"/>
  <c r="C91" i="3" s="1"/>
  <c r="B92" i="3" a="1"/>
  <c r="B92" i="3" s="1"/>
  <c r="B93" i="3" a="1"/>
  <c r="B93" i="3" s="1"/>
  <c r="B94" i="3" a="1"/>
  <c r="B94" i="3" s="1"/>
  <c r="B95" i="3" a="1"/>
  <c r="B95" i="3" s="1"/>
  <c r="C95" i="3" s="1" a="1"/>
  <c r="C95" i="3" s="1"/>
  <c r="B96" i="3" a="1"/>
  <c r="B96" i="3" s="1"/>
  <c r="C96" i="3" s="1" a="1"/>
  <c r="C96" i="3" s="1"/>
  <c r="G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C103" i="3" s="1" a="1"/>
  <c r="C103" i="3" s="1"/>
  <c r="B104" i="3" a="1"/>
  <c r="B104" i="3" s="1"/>
  <c r="C104" i="3" s="1" a="1"/>
  <c r="C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C109" i="3" s="1" a="1"/>
  <c r="C109" i="3" s="1"/>
  <c r="G109" i="3" s="1"/>
  <c r="B110" i="3" a="1"/>
  <c r="B110" i="3" s="1"/>
  <c r="C110" i="3" s="1" a="1"/>
  <c r="C110" i="3" s="1"/>
  <c r="G110" i="3" s="1"/>
  <c r="B111" i="3" a="1"/>
  <c r="B111" i="3" s="1"/>
  <c r="C111" i="3" s="1" a="1"/>
  <c r="C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C117" i="3" s="1" a="1"/>
  <c r="C117" i="3" s="1"/>
  <c r="B118" i="3" a="1"/>
  <c r="B118" i="3" s="1"/>
  <c r="C118" i="3" s="1" a="1"/>
  <c r="C118" i="3" s="1"/>
  <c r="B119" i="3" a="1"/>
  <c r="B119" i="3" s="1"/>
  <c r="C119" i="3" s="1" a="1"/>
  <c r="C119" i="3" s="1"/>
  <c r="B120" i="3" a="1"/>
  <c r="B120" i="3" s="1"/>
  <c r="C120" i="3" s="1" a="1"/>
  <c r="C120" i="3" s="1"/>
  <c r="B121" i="3" a="1"/>
  <c r="B121" i="3" s="1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C126" i="3" s="1" a="1"/>
  <c r="C126" i="3" s="1"/>
  <c r="G126" i="3" s="1"/>
  <c r="B127" i="3" a="1"/>
  <c r="B127" i="3" s="1"/>
  <c r="C127" i="3" s="1" a="1"/>
  <c r="C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C136" i="3" s="1" a="1"/>
  <c r="C136" i="3" s="1"/>
  <c r="B137" i="3" a="1"/>
  <c r="B137" i="3" s="1"/>
  <c r="B138" i="3" a="1"/>
  <c r="B138" i="3" s="1"/>
  <c r="B139" i="3" a="1"/>
  <c r="B139" i="3" s="1"/>
  <c r="B140" i="3" a="1"/>
  <c r="B140" i="3" s="1"/>
  <c r="C140" i="3" s="1" a="1"/>
  <c r="C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 s="1"/>
  <c r="B146" i="3" a="1"/>
  <c r="B146" i="3" s="1"/>
  <c r="B147" i="3" a="1"/>
  <c r="B147" i="3" s="1"/>
  <c r="C147" i="3" s="1" a="1"/>
  <c r="C147" i="3" s="1"/>
  <c r="B148" i="3" a="1"/>
  <c r="B148" i="3" s="1"/>
  <c r="C148" i="3" s="1" a="1"/>
  <c r="C148" i="3" s="1"/>
  <c r="B149" i="3" a="1"/>
  <c r="B149" i="3" s="1"/>
  <c r="B150" i="3" a="1"/>
  <c r="B150" i="3" s="1"/>
  <c r="C150" i="3" s="1" a="1"/>
  <c r="C150" i="3" s="1"/>
  <c r="G150" i="3" s="1"/>
  <c r="B151" i="3" a="1"/>
  <c r="B151" i="3" s="1"/>
  <c r="B152" i="3" a="1"/>
  <c r="B152" i="3" s="1"/>
  <c r="C152" i="3" s="1" a="1"/>
  <c r="C152" i="3" s="1"/>
  <c r="B153" i="3" a="1"/>
  <c r="B153" i="3" s="1"/>
  <c r="C153" i="3" s="1" a="1"/>
  <c r="C153" i="3" s="1"/>
  <c r="B154" i="3" a="1"/>
  <c r="B154" i="3" s="1"/>
  <c r="B155" i="3" a="1"/>
  <c r="B155" i="3" s="1"/>
  <c r="C155" i="3" s="1" a="1"/>
  <c r="C155" i="3" s="1"/>
  <c r="B156" i="3" a="1"/>
  <c r="B156" i="3" s="1"/>
  <c r="B157" i="3" a="1"/>
  <c r="B157" i="3" s="1"/>
  <c r="B158" i="3" a="1"/>
  <c r="B158" i="3" s="1"/>
  <c r="C158" i="3" s="1" a="1"/>
  <c r="C158" i="3" s="1"/>
  <c r="B159" i="3" a="1"/>
  <c r="B159" i="3" s="1"/>
  <c r="C159" i="3" s="1" a="1"/>
  <c r="C159" i="3" s="1"/>
  <c r="G159" i="3" s="1"/>
  <c r="B160" i="3" a="1"/>
  <c r="B160" i="3" s="1"/>
  <c r="C160" i="3" s="1" a="1"/>
  <c r="C160" i="3" s="1"/>
  <c r="B161" i="3" a="1"/>
  <c r="B161" i="3" s="1"/>
  <c r="B162" i="3" a="1"/>
  <c r="B162" i="3" s="1"/>
  <c r="B163" i="3" a="1"/>
  <c r="B163" i="3" s="1"/>
  <c r="C163" i="3" s="1" a="1"/>
  <c r="C163" i="3" s="1"/>
  <c r="G163" i="3" s="1"/>
  <c r="B164" i="3" a="1"/>
  <c r="B164" i="3" s="1"/>
  <c r="B165" i="3" a="1"/>
  <c r="B165" i="3" s="1"/>
  <c r="C165" i="3" s="1" a="1"/>
  <c r="C165" i="3" s="1"/>
  <c r="B166" i="3" a="1"/>
  <c r="B166" i="3" s="1"/>
  <c r="C166" i="3" s="1" a="1"/>
  <c r="C166" i="3" s="1"/>
  <c r="G166" i="3" s="1"/>
  <c r="B167" i="3" a="1"/>
  <c r="B167" i="3" s="1"/>
  <c r="B168" i="3" a="1"/>
  <c r="B168" i="3" s="1"/>
  <c r="C168" i="3" s="1" a="1"/>
  <c r="C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C174" i="3" s="1" a="1"/>
  <c r="C174" i="3" s="1"/>
  <c r="B175" i="3" a="1"/>
  <c r="B175" i="3" s="1"/>
  <c r="C175" i="3" s="1" a="1"/>
  <c r="C175" i="3" s="1"/>
  <c r="B176" i="3" a="1"/>
  <c r="B176" i="3" s="1"/>
  <c r="B177" i="3" a="1"/>
  <c r="B177" i="3" s="1"/>
  <c r="B178" i="3" a="1"/>
  <c r="B178" i="3" s="1"/>
  <c r="B179" i="3" a="1"/>
  <c r="B179" i="3" s="1"/>
  <c r="C179" i="3" s="1" a="1"/>
  <c r="C179" i="3" s="1"/>
  <c r="G179" i="3" s="1"/>
  <c r="B180" i="3" a="1"/>
  <c r="B180" i="3" s="1"/>
  <c r="B181" i="3" a="1"/>
  <c r="B181" i="3" s="1"/>
  <c r="B182" i="3" a="1"/>
  <c r="B182" i="3" s="1"/>
  <c r="C182" i="3" s="1" a="1"/>
  <c r="C182" i="3" s="1"/>
  <c r="B183" i="3" a="1"/>
  <c r="B183" i="3" s="1"/>
  <c r="B184" i="3" a="1"/>
  <c r="B184" i="3" s="1"/>
  <c r="C184" i="3" s="1" a="1"/>
  <c r="C184" i="3" s="1"/>
  <c r="B185" i="3" a="1"/>
  <c r="B185" i="3" s="1"/>
  <c r="B186" i="3" a="1"/>
  <c r="B186" i="3" s="1"/>
  <c r="C186" i="3" s="1" a="1"/>
  <c r="C186" i="3" s="1"/>
  <c r="B187" i="3" a="1"/>
  <c r="B187" i="3" s="1"/>
  <c r="B188" i="3" a="1"/>
  <c r="B188" i="3" s="1"/>
  <c r="C188" i="3" s="1" a="1"/>
  <c r="C188" i="3" s="1"/>
  <c r="B189" i="3" a="1"/>
  <c r="B189" i="3" s="1"/>
  <c r="C189" i="3" s="1" a="1"/>
  <c r="C189" i="3" s="1"/>
  <c r="B190" i="3" a="1"/>
  <c r="B190" i="3" s="1"/>
  <c r="B191" i="3" a="1"/>
  <c r="B191" i="3" s="1"/>
  <c r="C191" i="3" s="1" a="1"/>
  <c r="C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C196" i="3" s="1" a="1"/>
  <c r="C196" i="3" s="1"/>
  <c r="B197" i="3" a="1"/>
  <c r="B197" i="3" s="1"/>
  <c r="B198" i="3" a="1"/>
  <c r="B198" i="3" s="1"/>
  <c r="B199" i="3" a="1"/>
  <c r="B199" i="3" s="1"/>
  <c r="B200" i="3" a="1"/>
  <c r="B200" i="3" s="1"/>
  <c r="C200" i="3" s="1" a="1"/>
  <c r="C200" i="3" s="1"/>
  <c r="B201" i="3" a="1"/>
  <c r="B201" i="3" s="1"/>
  <c r="B202" i="3" a="1"/>
  <c r="B202" i="3" s="1"/>
  <c r="B203" i="3" a="1"/>
  <c r="B203" i="3" s="1"/>
  <c r="B204" i="3" a="1"/>
  <c r="B204" i="3" s="1"/>
  <c r="B205" i="3" a="1"/>
  <c r="B205" i="3" s="1"/>
  <c r="C205" i="3" s="1" a="1"/>
  <c r="C205" i="3" s="1"/>
  <c r="B206" i="3" a="1"/>
  <c r="B206" i="3" s="1"/>
  <c r="C206" i="3" s="1" a="1"/>
  <c r="C206" i="3" s="1"/>
  <c r="B207" i="3" a="1"/>
  <c r="B207" i="3" s="1"/>
  <c r="B208" i="3" a="1"/>
  <c r="B208" i="3" s="1"/>
  <c r="B209" i="3" a="1"/>
  <c r="B209" i="3" s="1"/>
  <c r="B210" i="3" a="1"/>
  <c r="B210" i="3" s="1"/>
  <c r="C210" i="3" s="1" a="1"/>
  <c r="C210" i="3" s="1"/>
  <c r="B211" i="3" a="1"/>
  <c r="B211" i="3" s="1"/>
  <c r="B212" i="3" a="1"/>
  <c r="B212" i="3" s="1"/>
  <c r="B213" i="3" a="1"/>
  <c r="B213" i="3" s="1"/>
  <c r="B214" i="3" a="1"/>
  <c r="B214" i="3" s="1"/>
  <c r="B215" i="3" a="1"/>
  <c r="B215" i="3" s="1"/>
  <c r="C215" i="3" s="1" a="1"/>
  <c r="C215" i="3" s="1"/>
  <c r="G215" i="3" s="1"/>
  <c r="B216" i="3" a="1"/>
  <c r="B216" i="3" s="1"/>
  <c r="B217" i="3" a="1"/>
  <c r="B217" i="3" s="1"/>
  <c r="C217" i="3" s="1" a="1"/>
  <c r="C217" i="3" s="1"/>
  <c r="B218" i="3" a="1"/>
  <c r="B218" i="3" s="1"/>
  <c r="B219" i="3" a="1"/>
  <c r="B219" i="3" s="1"/>
  <c r="C219" i="3" s="1" a="1"/>
  <c r="C219" i="3" s="1"/>
  <c r="B220" i="3" a="1"/>
  <c r="B220" i="3" s="1"/>
  <c r="C220" i="3" s="1" a="1"/>
  <c r="C220" i="3" s="1"/>
  <c r="B221" i="3" a="1"/>
  <c r="B221" i="3" s="1"/>
  <c r="B222" i="3" a="1"/>
  <c r="B222" i="3" s="1"/>
  <c r="C222" i="3" s="1" a="1"/>
  <c r="C222" i="3" s="1"/>
  <c r="B223" i="3" a="1"/>
  <c r="B223" i="3" s="1"/>
  <c r="B224" i="3" a="1"/>
  <c r="B224" i="3" s="1"/>
  <c r="C224" i="3" s="1" a="1"/>
  <c r="C224" i="3" s="1"/>
  <c r="B225" i="3" a="1"/>
  <c r="B225" i="3" s="1"/>
  <c r="C225" i="3" s="1" a="1"/>
  <c r="C225" i="3" s="1"/>
  <c r="B226" i="3" a="1"/>
  <c r="B226" i="3" s="1"/>
  <c r="C226" i="3" s="1" a="1"/>
  <c r="C226" i="3" s="1"/>
  <c r="B227" i="3" a="1"/>
  <c r="B227" i="3" s="1"/>
  <c r="B228" i="3" a="1"/>
  <c r="B228" i="3" s="1"/>
  <c r="C228" i="3" s="1" a="1"/>
  <c r="C228" i="3" s="1"/>
  <c r="B229" i="3" a="1"/>
  <c r="B229" i="3" s="1"/>
  <c r="C229" i="3" s="1" a="1"/>
  <c r="C229" i="3" s="1"/>
  <c r="G229" i="3" s="1"/>
  <c r="B230" i="3" a="1"/>
  <c r="B230" i="3" s="1"/>
  <c r="B231" i="3" a="1"/>
  <c r="B231" i="3" s="1"/>
  <c r="B232" i="3" a="1"/>
  <c r="B232" i="3" s="1"/>
  <c r="C232" i="3" s="1" a="1"/>
  <c r="C232" i="3" s="1"/>
  <c r="B233" i="3" a="1"/>
  <c r="B233" i="3" s="1"/>
  <c r="B234" i="3" a="1"/>
  <c r="B234" i="3" s="1"/>
  <c r="B235" i="3" a="1"/>
  <c r="B235" i="3" s="1"/>
  <c r="B236" i="3" a="1"/>
  <c r="B236" i="3" s="1"/>
  <c r="C236" i="3" s="1" a="1"/>
  <c r="C236" i="3" s="1"/>
  <c r="B237" i="3" a="1"/>
  <c r="B237" i="3" s="1"/>
  <c r="B238" i="3" a="1"/>
  <c r="B238" i="3" s="1"/>
  <c r="B239" i="3" a="1"/>
  <c r="B239" i="3" s="1"/>
  <c r="B240" i="3" a="1"/>
  <c r="B240" i="3" s="1"/>
  <c r="C240" i="3" s="1" a="1"/>
  <c r="C240" i="3" s="1"/>
  <c r="B241" i="3" a="1"/>
  <c r="B241" i="3" s="1"/>
  <c r="B242" i="3" a="1"/>
  <c r="B242" i="3" s="1"/>
  <c r="B243" i="3" a="1"/>
  <c r="B243" i="3" s="1"/>
  <c r="C243" i="3" s="1" a="1"/>
  <c r="C243" i="3" s="1"/>
  <c r="G243" i="3" s="1"/>
  <c r="B244" i="3" a="1"/>
  <c r="B244" i="3" s="1"/>
  <c r="B245" i="3" a="1"/>
  <c r="B245" i="3" s="1"/>
  <c r="B246" i="3" a="1"/>
  <c r="B246" i="3" s="1"/>
  <c r="B247" i="3" a="1"/>
  <c r="B247" i="3" s="1"/>
  <c r="C247" i="3" s="1" a="1"/>
  <c r="C247" i="3" s="1"/>
  <c r="G247" i="3" s="1"/>
  <c r="B248" i="3" a="1"/>
  <c r="B248" i="3" s="1"/>
  <c r="C248" i="3" s="1" a="1"/>
  <c r="C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 s="1"/>
  <c r="C253" i="3" s="1" a="1"/>
  <c r="C253" i="3" s="1"/>
  <c r="B254" i="3" a="1"/>
  <c r="B254" i="3" s="1"/>
  <c r="C254" i="3" s="1" a="1"/>
  <c r="C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C261" i="3" s="1" a="1"/>
  <c r="C261" i="3" s="1"/>
  <c r="B262" i="3" a="1"/>
  <c r="B262" i="3" s="1"/>
  <c r="C262" i="3" s="1" a="1"/>
  <c r="C262" i="3" s="1"/>
  <c r="B263" i="3" a="1"/>
  <c r="B263" i="3" s="1"/>
  <c r="B264" i="3" a="1"/>
  <c r="B264" i="3" s="1"/>
  <c r="B265" i="3" a="1"/>
  <c r="B265" i="3" s="1"/>
  <c r="B266" i="3" a="1"/>
  <c r="B266" i="3" s="1"/>
  <c r="B267" i="3" a="1"/>
  <c r="B267" i="3" s="1"/>
  <c r="B268" i="3" a="1"/>
  <c r="B268" i="3" s="1"/>
  <c r="B269" i="3" a="1"/>
  <c r="B269" i="3" s="1"/>
  <c r="B270" i="3" a="1"/>
  <c r="B270" i="3" s="1"/>
  <c r="C270" i="3" s="1" a="1"/>
  <c r="C270" i="3" s="1"/>
  <c r="B271" i="3" a="1"/>
  <c r="B271" i="3" s="1"/>
  <c r="C271" i="3" s="1" a="1"/>
  <c r="C271" i="3" s="1"/>
  <c r="B272" i="3" a="1"/>
  <c r="B272" i="3" s="1"/>
  <c r="B273" i="3" a="1"/>
  <c r="B273" i="3" s="1"/>
  <c r="B274" i="3" a="1"/>
  <c r="B274" i="3" s="1"/>
  <c r="C274" i="3" s="1" a="1"/>
  <c r="C274" i="3" s="1"/>
  <c r="G274" i="3" s="1"/>
  <c r="B275" i="3" a="1"/>
  <c r="B275" i="3" s="1"/>
  <c r="C275" i="3" s="1" a="1"/>
  <c r="C275" i="3" s="1"/>
  <c r="B276" i="3" a="1"/>
  <c r="B276" i="3" s="1"/>
  <c r="B277" i="3" a="1"/>
  <c r="B277" i="3" s="1"/>
  <c r="C277" i="3" s="1" a="1"/>
  <c r="C277" i="3" s="1"/>
  <c r="B278" i="3" a="1"/>
  <c r="B278" i="3" s="1"/>
  <c r="B279" i="3" a="1"/>
  <c r="B279" i="3" s="1"/>
  <c r="C279" i="3" s="1" a="1"/>
  <c r="C279" i="3" s="1"/>
  <c r="B280" i="3" a="1"/>
  <c r="B280" i="3" s="1"/>
  <c r="B281" i="3" a="1"/>
  <c r="B281" i="3" s="1"/>
  <c r="B282" i="3" a="1"/>
  <c r="B282" i="3" s="1"/>
  <c r="B283" i="3" a="1"/>
  <c r="B283" i="3" s="1"/>
  <c r="C283" i="3" s="1" a="1"/>
  <c r="C283" i="3" s="1"/>
  <c r="B284" i="3" a="1"/>
  <c r="B284" i="3" s="1"/>
  <c r="B285" i="3" a="1"/>
  <c r="B285" i="3" s="1"/>
  <c r="C285" i="3" s="1" a="1"/>
  <c r="C285" i="3" s="1"/>
  <c r="B286" i="3" a="1"/>
  <c r="B286" i="3" s="1"/>
  <c r="C286" i="3" s="1" a="1"/>
  <c r="C286" i="3" s="1"/>
  <c r="B287" i="3" a="1"/>
  <c r="B287" i="3" s="1"/>
  <c r="C287" i="3" s="1" a="1"/>
  <c r="C287" i="3" s="1"/>
  <c r="B288" i="3" a="1"/>
  <c r="B288" i="3" s="1"/>
  <c r="B289" i="3" a="1"/>
  <c r="B289" i="3" s="1"/>
  <c r="B290" i="3" a="1"/>
  <c r="B290" i="3" s="1"/>
  <c r="C290" i="3" s="1" a="1"/>
  <c r="C290" i="3" s="1"/>
  <c r="G290" i="3" s="1"/>
  <c r="B291" i="3" a="1"/>
  <c r="B291" i="3" s="1"/>
  <c r="C291" i="3" s="1" a="1"/>
  <c r="C291" i="3" s="1"/>
  <c r="B292" i="3" a="1"/>
  <c r="B292" i="3" s="1"/>
  <c r="B293" i="3" a="1"/>
  <c r="B293" i="3" s="1"/>
  <c r="C293" i="3" s="1" a="1"/>
  <c r="C293" i="3" s="1"/>
  <c r="B294" i="3" a="1"/>
  <c r="B294" i="3" s="1"/>
  <c r="B295" i="3" a="1"/>
  <c r="B295" i="3" s="1"/>
  <c r="C295" i="3" s="1" a="1"/>
  <c r="C295" i="3" s="1"/>
  <c r="B296" i="3" a="1"/>
  <c r="B296" i="3" s="1"/>
  <c r="B297" i="3" a="1"/>
  <c r="B297" i="3" s="1"/>
  <c r="B298" i="3" a="1"/>
  <c r="B298" i="3" s="1"/>
  <c r="C298" i="3" s="1" a="1"/>
  <c r="C298" i="3" s="1"/>
  <c r="G298" i="3" s="1"/>
  <c r="B299" i="3" a="1"/>
  <c r="B299" i="3" s="1"/>
  <c r="C299" i="3" s="1" a="1"/>
  <c r="C299" i="3" s="1"/>
  <c r="B300" i="3" a="1"/>
  <c r="B300" i="3" s="1"/>
  <c r="B301" i="3" a="1"/>
  <c r="B301" i="3" s="1"/>
  <c r="C301" i="3" s="1" a="1"/>
  <c r="C301" i="3" s="1"/>
  <c r="B302" i="3" a="1"/>
  <c r="B302" i="3" s="1"/>
  <c r="B303" i="3" a="1"/>
  <c r="B303" i="3" s="1"/>
  <c r="C303" i="3" s="1" a="1"/>
  <c r="C303" i="3" s="1"/>
  <c r="B304" i="3" a="1"/>
  <c r="B304" i="3" s="1"/>
  <c r="B305" i="3" a="1"/>
  <c r="B305" i="3" s="1"/>
  <c r="B306" i="3" a="1"/>
  <c r="B306" i="3" s="1"/>
  <c r="C306" i="3" s="1" a="1"/>
  <c r="C306" i="3" s="1"/>
  <c r="B307" i="3" a="1"/>
  <c r="B307" i="3" s="1"/>
  <c r="B308" i="3" a="1"/>
  <c r="B308" i="3" s="1"/>
  <c r="B309" i="3" a="1"/>
  <c r="B309" i="3" s="1"/>
  <c r="B310" i="3" a="1"/>
  <c r="B310" i="3" s="1"/>
  <c r="C310" i="3" s="1" a="1"/>
  <c r="C310" i="3" s="1"/>
  <c r="B311" i="3" a="1"/>
  <c r="B311" i="3" s="1"/>
  <c r="B312" i="3" a="1"/>
  <c r="B312" i="3" s="1"/>
  <c r="B313" i="3" a="1"/>
  <c r="B313" i="3" s="1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 s="1"/>
  <c r="B320" i="3" a="1"/>
  <c r="B320" i="3" s="1"/>
  <c r="B321" i="3" a="1"/>
  <c r="B321" i="3" s="1"/>
  <c r="B322" i="3" a="1"/>
  <c r="B322" i="3" s="1"/>
  <c r="B323" i="3" a="1"/>
  <c r="B323" i="3" s="1"/>
  <c r="B324" i="3" a="1"/>
  <c r="B324" i="3" s="1"/>
  <c r="B325" i="3" a="1"/>
  <c r="B325" i="3" s="1"/>
  <c r="B326" i="3" a="1"/>
  <c r="B326" i="3" s="1"/>
  <c r="B327" i="3" a="1"/>
  <c r="B327" i="3" s="1"/>
  <c r="B328" i="3" a="1"/>
  <c r="B328" i="3" s="1"/>
  <c r="B329" i="3" a="1"/>
  <c r="B329" i="3" s="1"/>
  <c r="B330" i="3" a="1"/>
  <c r="B330" i="3" s="1"/>
  <c r="B331" i="3" a="1"/>
  <c r="B331" i="3" s="1"/>
  <c r="G200" i="4"/>
  <c r="H200" i="4" s="1"/>
  <c r="P9" i="4"/>
  <c r="P6" i="4"/>
  <c r="B576" i="3" a="1"/>
  <c r="B576" i="3" s="1"/>
  <c r="B575" i="3" a="1"/>
  <c r="B575" i="3" s="1"/>
  <c r="B574" i="3" a="1"/>
  <c r="B574" i="3" s="1"/>
  <c r="B573" i="3" a="1"/>
  <c r="B573" i="3" s="1"/>
  <c r="B572" i="3" a="1"/>
  <c r="B572" i="3" s="1"/>
  <c r="B571" i="3" a="1"/>
  <c r="B571" i="3" s="1"/>
  <c r="B570" i="3" a="1"/>
  <c r="B570" i="3" s="1"/>
  <c r="B569" i="3" a="1"/>
  <c r="B569" i="3" s="1"/>
  <c r="B568" i="3" a="1"/>
  <c r="B568" i="3" s="1"/>
  <c r="B567" i="3" a="1"/>
  <c r="B567" i="3" s="1"/>
  <c r="C186" i="4" s="1" a="1"/>
  <c r="C186" i="4" s="1"/>
  <c r="B566" i="3" a="1"/>
  <c r="B566" i="3" s="1"/>
  <c r="B565" i="3" a="1"/>
  <c r="B565" i="3" s="1"/>
  <c r="B564" i="3" a="1"/>
  <c r="B564" i="3" s="1"/>
  <c r="B563" i="3" a="1"/>
  <c r="B563" i="3" s="1"/>
  <c r="B562" i="3" a="1"/>
  <c r="B562" i="3" s="1"/>
  <c r="B561" i="3" a="1"/>
  <c r="B561" i="3" s="1"/>
  <c r="B560" i="3" a="1"/>
  <c r="B560" i="3" s="1"/>
  <c r="B559" i="3" a="1"/>
  <c r="B559" i="3" s="1"/>
  <c r="B558" i="3" a="1"/>
  <c r="B558" i="3" s="1"/>
  <c r="B557" i="3" a="1"/>
  <c r="B557" i="3" s="1"/>
  <c r="B556" i="3" a="1"/>
  <c r="B556" i="3" s="1"/>
  <c r="B555" i="3" a="1"/>
  <c r="B555" i="3" s="1"/>
  <c r="C174" i="4" s="1" a="1"/>
  <c r="C174" i="4" s="1"/>
  <c r="B554" i="3" a="1"/>
  <c r="B554" i="3" s="1"/>
  <c r="B553" i="3" a="1"/>
  <c r="B553" i="3" s="1"/>
  <c r="B552" i="3" a="1"/>
  <c r="B552" i="3" s="1"/>
  <c r="B551" i="3" a="1"/>
  <c r="B551" i="3" s="1"/>
  <c r="B550" i="3" a="1"/>
  <c r="B550" i="3" s="1"/>
  <c r="B549" i="3" a="1"/>
  <c r="B549" i="3" s="1"/>
  <c r="C168" i="4" s="1" a="1"/>
  <c r="C168" i="4" s="1"/>
  <c r="B548" i="3" a="1"/>
  <c r="B548" i="3" s="1"/>
  <c r="B547" i="3" a="1"/>
  <c r="B547" i="3" s="1"/>
  <c r="B546" i="3" a="1"/>
  <c r="B546" i="3" s="1"/>
  <c r="B545" i="3" a="1"/>
  <c r="B545" i="3" s="1"/>
  <c r="B544" i="3" a="1"/>
  <c r="B544" i="3" s="1"/>
  <c r="B543" i="3" a="1"/>
  <c r="B543" i="3" s="1"/>
  <c r="B542" i="3" a="1"/>
  <c r="B542" i="3" s="1"/>
  <c r="B541" i="3" a="1"/>
  <c r="B541" i="3" s="1"/>
  <c r="B540" i="3" a="1"/>
  <c r="B540" i="3" s="1"/>
  <c r="B539" i="3" a="1"/>
  <c r="B539" i="3" s="1"/>
  <c r="C158" i="4" s="1" a="1"/>
  <c r="C158" i="4" s="1"/>
  <c r="B538" i="3" a="1"/>
  <c r="B538" i="3" s="1"/>
  <c r="C157" i="4" s="1" a="1"/>
  <c r="C157" i="4" s="1"/>
  <c r="B537" i="3" a="1"/>
  <c r="B537" i="3" s="1"/>
  <c r="B536" i="3" a="1"/>
  <c r="B536" i="3" s="1"/>
  <c r="B535" i="3" a="1"/>
  <c r="B535" i="3" s="1"/>
  <c r="B534" i="3" a="1"/>
  <c r="B534" i="3" s="1"/>
  <c r="B533" i="3" a="1"/>
  <c r="B533" i="3" s="1"/>
  <c r="B532" i="3" a="1"/>
  <c r="B532" i="3" s="1"/>
  <c r="B531" i="3" a="1"/>
  <c r="B531" i="3" s="1"/>
  <c r="B530" i="3" a="1"/>
  <c r="B530" i="3" s="1"/>
  <c r="B529" i="3" a="1"/>
  <c r="B529" i="3" s="1"/>
  <c r="B528" i="3" a="1"/>
  <c r="B528" i="3" s="1"/>
  <c r="C147" i="4" s="1" a="1"/>
  <c r="C147" i="4" s="1"/>
  <c r="B527" i="3" a="1"/>
  <c r="B527" i="3" s="1"/>
  <c r="B526" i="3" a="1"/>
  <c r="B526" i="3" s="1"/>
  <c r="B525" i="3" a="1"/>
  <c r="B525" i="3" s="1"/>
  <c r="B524" i="3" a="1"/>
  <c r="B524" i="3" s="1"/>
  <c r="B523" i="3" a="1"/>
  <c r="B523" i="3" s="1"/>
  <c r="B522" i="3" a="1"/>
  <c r="B522" i="3" s="1"/>
  <c r="B521" i="3" a="1"/>
  <c r="B521" i="3" s="1"/>
  <c r="B520" i="3" a="1"/>
  <c r="B520" i="3" s="1"/>
  <c r="B519" i="3" a="1"/>
  <c r="B519" i="3" s="1"/>
  <c r="B518" i="3" a="1"/>
  <c r="B518" i="3" s="1"/>
  <c r="B517" i="3" a="1"/>
  <c r="B517" i="3" s="1"/>
  <c r="B516" i="3" a="1"/>
  <c r="B516" i="3" s="1"/>
  <c r="C135" i="4" s="1" a="1"/>
  <c r="C135" i="4" s="1"/>
  <c r="B515" i="3" a="1"/>
  <c r="B515" i="3" s="1"/>
  <c r="C134" i="4" s="1" a="1"/>
  <c r="C134" i="4" s="1"/>
  <c r="B514" i="3" a="1"/>
  <c r="B514" i="3" s="1"/>
  <c r="B513" i="3" a="1"/>
  <c r="B513" i="3" s="1"/>
  <c r="B512" i="3" a="1"/>
  <c r="B512" i="3" s="1"/>
  <c r="B511" i="3" a="1"/>
  <c r="B511" i="3" s="1"/>
  <c r="B510" i="3" a="1"/>
  <c r="B510" i="3" s="1"/>
  <c r="B509" i="3" a="1"/>
  <c r="B509" i="3" s="1"/>
  <c r="C128" i="4" s="1" a="1"/>
  <c r="C128" i="4" s="1"/>
  <c r="B508" i="3" a="1"/>
  <c r="B508" i="3" s="1"/>
  <c r="C127" i="4" s="1" a="1"/>
  <c r="C127" i="4" s="1"/>
  <c r="B507" i="3" a="1"/>
  <c r="B507" i="3" s="1"/>
  <c r="C126" i="4" s="1" a="1"/>
  <c r="C126" i="4" s="1"/>
  <c r="B506" i="3" a="1"/>
  <c r="B506" i="3" s="1"/>
  <c r="B505" i="3" a="1"/>
  <c r="B505" i="3" s="1"/>
  <c r="B504" i="3" a="1"/>
  <c r="B504" i="3" s="1"/>
  <c r="B503" i="3" a="1"/>
  <c r="B503" i="3" s="1"/>
  <c r="B502" i="3" a="1"/>
  <c r="B502" i="3" s="1"/>
  <c r="C121" i="4" s="1" a="1"/>
  <c r="C121" i="4" s="1"/>
  <c r="B501" i="3" a="1"/>
  <c r="B501" i="3" s="1"/>
  <c r="B500" i="3" a="1"/>
  <c r="B500" i="3" s="1"/>
  <c r="B499" i="3" a="1"/>
  <c r="B499" i="3" s="1"/>
  <c r="C118" i="4" s="1" a="1"/>
  <c r="C118" i="4" s="1"/>
  <c r="B498" i="3" a="1"/>
  <c r="B498" i="3" s="1"/>
  <c r="B497" i="3" a="1"/>
  <c r="B497" i="3" s="1"/>
  <c r="C116" i="4" s="1" a="1"/>
  <c r="C116" i="4" s="1"/>
  <c r="B496" i="3" a="1"/>
  <c r="B496" i="3" s="1"/>
  <c r="B495" i="3" a="1"/>
  <c r="B495" i="3" s="1"/>
  <c r="C114" i="4" s="1" a="1"/>
  <c r="C114" i="4" s="1"/>
  <c r="B494" i="3" a="1"/>
  <c r="B494" i="3" s="1"/>
  <c r="B493" i="3" a="1"/>
  <c r="B493" i="3" s="1"/>
  <c r="B492" i="3" a="1"/>
  <c r="B492" i="3" s="1"/>
  <c r="C111" i="4" s="1" a="1"/>
  <c r="C111" i="4" s="1"/>
  <c r="B491" i="3" a="1"/>
  <c r="B491" i="3" s="1"/>
  <c r="B490" i="3" a="1"/>
  <c r="B490" i="3" s="1"/>
  <c r="C109" i="4" s="1" a="1"/>
  <c r="C109" i="4" s="1"/>
  <c r="B489" i="3" a="1"/>
  <c r="B489" i="3" s="1"/>
  <c r="B488" i="3" a="1"/>
  <c r="B488" i="3" s="1"/>
  <c r="C107" i="4" s="1" a="1"/>
  <c r="C107" i="4" s="1"/>
  <c r="B487" i="3" a="1"/>
  <c r="B487" i="3" s="1"/>
  <c r="C106" i="4" s="1" a="1"/>
  <c r="C106" i="4" s="1"/>
  <c r="B486" i="3" a="1"/>
  <c r="B486" i="3" s="1"/>
  <c r="B485" i="3" a="1"/>
  <c r="B485" i="3" s="1"/>
  <c r="B484" i="3" a="1"/>
  <c r="B484" i="3" s="1"/>
  <c r="B483" i="3" a="1"/>
  <c r="B483" i="3" s="1"/>
  <c r="B482" i="3" a="1"/>
  <c r="B482" i="3" s="1"/>
  <c r="B481" i="3" a="1"/>
  <c r="B481" i="3" s="1"/>
  <c r="B480" i="3" a="1"/>
  <c r="B480" i="3" s="1"/>
  <c r="B479" i="3" a="1"/>
  <c r="B479" i="3" s="1"/>
  <c r="B478" i="3" a="1"/>
  <c r="B478" i="3" s="1"/>
  <c r="C97" i="4" s="1" a="1"/>
  <c r="C97" i="4" s="1"/>
  <c r="B477" i="3" a="1"/>
  <c r="B477" i="3" s="1"/>
  <c r="B476" i="3" a="1"/>
  <c r="B476" i="3" s="1"/>
  <c r="B475" i="3" a="1"/>
  <c r="B475" i="3" s="1"/>
  <c r="B474" i="3" a="1"/>
  <c r="B474" i="3" s="1"/>
  <c r="B473" i="3" a="1"/>
  <c r="B473" i="3" s="1"/>
  <c r="B472" i="3" a="1"/>
  <c r="B472" i="3" s="1"/>
  <c r="B471" i="3" a="1"/>
  <c r="B471" i="3" s="1"/>
  <c r="B470" i="3" a="1"/>
  <c r="B470" i="3" s="1"/>
  <c r="B469" i="3" a="1"/>
  <c r="B469" i="3" s="1"/>
  <c r="C88" i="4" s="1" a="1"/>
  <c r="C88" i="4" s="1"/>
  <c r="B468" i="3" a="1"/>
  <c r="B468" i="3" s="1"/>
  <c r="B467" i="3" a="1"/>
  <c r="B467" i="3" s="1"/>
  <c r="B466" i="3" a="1"/>
  <c r="B466" i="3" s="1"/>
  <c r="B465" i="3" a="1"/>
  <c r="B465" i="3" s="1"/>
  <c r="B464" i="3" a="1"/>
  <c r="B464" i="3" s="1"/>
  <c r="B463" i="3" a="1"/>
  <c r="B463" i="3" s="1"/>
  <c r="B462" i="3" a="1"/>
  <c r="B462" i="3" s="1"/>
  <c r="B461" i="3" a="1"/>
  <c r="B461" i="3" s="1"/>
  <c r="B460" i="3" a="1"/>
  <c r="B460" i="3" s="1"/>
  <c r="B459" i="3" a="1"/>
  <c r="B459" i="3" s="1"/>
  <c r="B458" i="3" a="1"/>
  <c r="B458" i="3" s="1"/>
  <c r="B457" i="3" a="1"/>
  <c r="B457" i="3" s="1"/>
  <c r="C76" i="4" s="1" a="1"/>
  <c r="C76" i="4" s="1"/>
  <c r="B456" i="3" a="1"/>
  <c r="B456" i="3" s="1"/>
  <c r="B455" i="3" a="1"/>
  <c r="B455" i="3" s="1"/>
  <c r="B454" i="3" a="1"/>
  <c r="B454" i="3" s="1"/>
  <c r="B453" i="3" a="1"/>
  <c r="B453" i="3" s="1"/>
  <c r="B452" i="3" a="1"/>
  <c r="B452" i="3" s="1"/>
  <c r="B451" i="3" a="1"/>
  <c r="B451" i="3" s="1"/>
  <c r="B450" i="3" a="1"/>
  <c r="B450" i="3" s="1"/>
  <c r="B449" i="3" a="1"/>
  <c r="B449" i="3" s="1"/>
  <c r="B448" i="3" a="1"/>
  <c r="B448" i="3" s="1"/>
  <c r="B447" i="3" a="1"/>
  <c r="B447" i="3" s="1"/>
  <c r="B446" i="3" a="1"/>
  <c r="B446" i="3" s="1"/>
  <c r="B445" i="3" a="1"/>
  <c r="B445" i="3" s="1"/>
  <c r="C64" i="4" s="1" a="1"/>
  <c r="C64" i="4" s="1"/>
  <c r="B444" i="3" a="1"/>
  <c r="B444" i="3" s="1"/>
  <c r="C63" i="4" s="1" a="1"/>
  <c r="C63" i="4" s="1"/>
  <c r="B443" i="3" a="1"/>
  <c r="B443" i="3" s="1"/>
  <c r="B442" i="3" a="1"/>
  <c r="B442" i="3" s="1"/>
  <c r="B441" i="3" a="1"/>
  <c r="B441" i="3" s="1"/>
  <c r="B440" i="3" a="1"/>
  <c r="B440" i="3" s="1"/>
  <c r="B439" i="3" a="1"/>
  <c r="B439" i="3" s="1"/>
  <c r="C58" i="4" s="1" a="1"/>
  <c r="C58" i="4" s="1"/>
  <c r="B438" i="3" a="1"/>
  <c r="B438" i="3" s="1"/>
  <c r="B437" i="3" a="1"/>
  <c r="B437" i="3" s="1"/>
  <c r="B436" i="3" a="1"/>
  <c r="B436" i="3" s="1"/>
  <c r="B435" i="3" a="1"/>
  <c r="B435" i="3" s="1"/>
  <c r="B434" i="3" a="1"/>
  <c r="B434" i="3" s="1"/>
  <c r="B433" i="3" a="1"/>
  <c r="B433" i="3" s="1"/>
  <c r="C52" i="4" s="1" a="1"/>
  <c r="C52" i="4" s="1"/>
  <c r="B432" i="3" a="1"/>
  <c r="B432" i="3" s="1"/>
  <c r="B431" i="3" a="1"/>
  <c r="B431" i="3" s="1"/>
  <c r="B430" i="3" a="1"/>
  <c r="B430" i="3" s="1"/>
  <c r="B429" i="3" a="1"/>
  <c r="B429" i="3" s="1"/>
  <c r="B428" i="3" a="1"/>
  <c r="B428" i="3" s="1"/>
  <c r="B427" i="3" a="1"/>
  <c r="B427" i="3" s="1"/>
  <c r="B426" i="3" a="1"/>
  <c r="B426" i="3" s="1"/>
  <c r="B425" i="3" a="1"/>
  <c r="B425" i="3" s="1"/>
  <c r="B424" i="3" a="1"/>
  <c r="B424" i="3" s="1"/>
  <c r="B423" i="3" a="1"/>
  <c r="B423" i="3" s="1"/>
  <c r="C42" i="4" s="1" a="1"/>
  <c r="C42" i="4" s="1"/>
  <c r="B422" i="3" a="1"/>
  <c r="B422" i="3" s="1"/>
  <c r="B421" i="3" a="1"/>
  <c r="B421" i="3" s="1"/>
  <c r="C40" i="4" s="1" a="1"/>
  <c r="C40" i="4" s="1"/>
  <c r="B420" i="3" a="1"/>
  <c r="B420" i="3" s="1"/>
  <c r="C39" i="4" s="1" a="1"/>
  <c r="C39" i="4" s="1"/>
  <c r="B419" i="3" a="1"/>
  <c r="B419" i="3" s="1"/>
  <c r="B418" i="3" a="1"/>
  <c r="B418" i="3" s="1"/>
  <c r="B417" i="3" a="1"/>
  <c r="B417" i="3" s="1"/>
  <c r="B416" i="3" a="1"/>
  <c r="B416" i="3" s="1"/>
  <c r="B415" i="3" a="1"/>
  <c r="B415" i="3" s="1"/>
  <c r="B414" i="3" a="1"/>
  <c r="B414" i="3" s="1"/>
  <c r="B413" i="3" a="1"/>
  <c r="B413" i="3" s="1"/>
  <c r="C32" i="4" s="1" a="1"/>
  <c r="C32" i="4" s="1"/>
  <c r="B412" i="3" a="1"/>
  <c r="B412" i="3" s="1"/>
  <c r="B411" i="3" a="1"/>
  <c r="B411" i="3" s="1"/>
  <c r="B410" i="3" a="1"/>
  <c r="B410" i="3" s="1"/>
  <c r="B409" i="3" a="1"/>
  <c r="B409" i="3" s="1"/>
  <c r="B408" i="3" a="1"/>
  <c r="B408" i="3" s="1"/>
  <c r="B407" i="3" a="1"/>
  <c r="B407" i="3" s="1"/>
  <c r="B406" i="3" a="1"/>
  <c r="B406" i="3" s="1"/>
  <c r="B405" i="3" a="1"/>
  <c r="B405" i="3" s="1"/>
  <c r="B404" i="3" a="1"/>
  <c r="B404" i="3" s="1"/>
  <c r="B403" i="3" a="1"/>
  <c r="B403" i="3" s="1"/>
  <c r="B402" i="3" a="1"/>
  <c r="B402" i="3" s="1"/>
  <c r="B401" i="3" a="1"/>
  <c r="B401" i="3" s="1"/>
  <c r="B400" i="3" a="1"/>
  <c r="B400" i="3" s="1"/>
  <c r="B399" i="3" a="1"/>
  <c r="B399" i="3" s="1"/>
  <c r="B398" i="3" a="1"/>
  <c r="B398" i="3" s="1"/>
  <c r="C17" i="4" s="1" a="1"/>
  <c r="C17" i="4" s="1"/>
  <c r="B397" i="3" a="1"/>
  <c r="B397" i="3" s="1"/>
  <c r="C16" i="4" s="1" a="1"/>
  <c r="C16" i="4" s="1"/>
  <c r="B396" i="3" a="1"/>
  <c r="B396" i="3" s="1"/>
  <c r="C15" i="4" s="1" a="1"/>
  <c r="C15" i="4" s="1"/>
  <c r="B395" i="3" a="1"/>
  <c r="B395" i="3" s="1"/>
  <c r="C14" i="4" s="1" a="1"/>
  <c r="C14" i="4" s="1"/>
  <c r="B394" i="3" a="1"/>
  <c r="B394" i="3" s="1"/>
  <c r="C13" i="4" s="1" a="1"/>
  <c r="C13" i="4" s="1"/>
  <c r="B393" i="3" a="1"/>
  <c r="B393" i="3" s="1"/>
  <c r="C12" i="4" s="1" a="1"/>
  <c r="C12" i="4" s="1"/>
  <c r="B392" i="3" a="1"/>
  <c r="B392" i="3" s="1"/>
  <c r="C11" i="4" s="1" a="1"/>
  <c r="C11" i="4" s="1"/>
  <c r="B391" i="3" a="1"/>
  <c r="B391" i="3" s="1"/>
  <c r="C10" i="4" s="1" a="1"/>
  <c r="C10" i="4" s="1"/>
  <c r="B390" i="3" a="1"/>
  <c r="B390" i="3" s="1"/>
  <c r="C9" i="4" s="1" a="1"/>
  <c r="C9" i="4" s="1"/>
  <c r="B389" i="3" a="1"/>
  <c r="B389" i="3" s="1"/>
  <c r="C8" i="4" s="1" a="1"/>
  <c r="C8" i="4" s="1"/>
  <c r="B388" i="3" a="1"/>
  <c r="B388" i="3" s="1"/>
  <c r="C7" i="4" s="1" a="1"/>
  <c r="C7" i="4" s="1"/>
  <c r="B387" i="3" a="1"/>
  <c r="B387" i="3" s="1"/>
  <c r="C6" i="4" s="1" a="1"/>
  <c r="C6" i="4" s="1"/>
  <c r="B386" i="3" a="1"/>
  <c r="B386" i="3" s="1"/>
  <c r="C5" i="4" s="1" a="1"/>
  <c r="C5" i="4" s="1"/>
  <c r="B385" i="3" a="1"/>
  <c r="B385" i="3" s="1"/>
  <c r="C4" i="4" s="1" a="1"/>
  <c r="C4" i="4" s="1"/>
  <c r="B384" i="3" a="1"/>
  <c r="B384" i="3" s="1"/>
  <c r="C3" i="4" s="1" a="1"/>
  <c r="C3" i="4" s="1"/>
  <c r="B383" i="3" a="1"/>
  <c r="B383" i="3" s="1"/>
  <c r="B382" i="3" a="1"/>
  <c r="B382" i="3" s="1"/>
  <c r="B381" i="3" a="1"/>
  <c r="B381" i="3" s="1"/>
  <c r="B380" i="3" a="1"/>
  <c r="B380" i="3" s="1"/>
  <c r="B379" i="3" a="1"/>
  <c r="B379" i="3" s="1"/>
  <c r="B378" i="3" a="1"/>
  <c r="B378" i="3" s="1"/>
  <c r="B377" i="3" a="1"/>
  <c r="B377" i="3" s="1"/>
  <c r="B376" i="3" a="1"/>
  <c r="B376" i="3" s="1"/>
  <c r="B375" i="3" a="1"/>
  <c r="B375" i="3" s="1"/>
  <c r="B374" i="3" a="1"/>
  <c r="B374" i="3" s="1"/>
  <c r="B373" i="3" a="1"/>
  <c r="B373" i="3" s="1"/>
  <c r="B372" i="3" a="1"/>
  <c r="B372" i="3" s="1"/>
  <c r="B371" i="3" a="1"/>
  <c r="B371" i="3" s="1"/>
  <c r="B370" i="3" a="1"/>
  <c r="B370" i="3" s="1"/>
  <c r="B369" i="3" a="1"/>
  <c r="B369" i="3" s="1"/>
  <c r="B368" i="3" a="1"/>
  <c r="B368" i="3" s="1"/>
  <c r="B367" i="3" a="1"/>
  <c r="B367" i="3" s="1"/>
  <c r="B366" i="3" a="1"/>
  <c r="B366" i="3" s="1"/>
  <c r="B365" i="3" a="1"/>
  <c r="B365" i="3" s="1"/>
  <c r="B364" i="3" a="1"/>
  <c r="B364" i="3" s="1"/>
  <c r="B363" i="3" a="1"/>
  <c r="B363" i="3" s="1"/>
  <c r="B362" i="3" a="1"/>
  <c r="B362" i="3" s="1"/>
  <c r="B361" i="3" a="1"/>
  <c r="B361" i="3" s="1"/>
  <c r="B360" i="3" a="1"/>
  <c r="B360" i="3" s="1"/>
  <c r="B359" i="3" a="1"/>
  <c r="B359" i="3" s="1"/>
  <c r="B358" i="3" a="1"/>
  <c r="B358" i="3" s="1"/>
  <c r="B357" i="3" a="1"/>
  <c r="B357" i="3" s="1"/>
  <c r="B356" i="3" a="1"/>
  <c r="B356" i="3" s="1"/>
  <c r="B355" i="3" a="1"/>
  <c r="B355" i="3" s="1"/>
  <c r="B354" i="3" a="1"/>
  <c r="B354" i="3" s="1"/>
  <c r="B353" i="3" a="1"/>
  <c r="B353" i="3" s="1"/>
  <c r="B352" i="3" a="1"/>
  <c r="B352" i="3" s="1"/>
  <c r="B351" i="3" a="1"/>
  <c r="B351" i="3" s="1"/>
  <c r="B350" i="3" a="1"/>
  <c r="B350" i="3" s="1"/>
  <c r="B349" i="3" a="1"/>
  <c r="B349" i="3" s="1"/>
  <c r="B348" i="3" a="1"/>
  <c r="B348" i="3" s="1"/>
  <c r="B347" i="3" a="1"/>
  <c r="B347" i="3" s="1"/>
  <c r="B346" i="3" a="1"/>
  <c r="B346" i="3" s="1"/>
  <c r="B345" i="3" a="1"/>
  <c r="B345" i="3" s="1"/>
  <c r="B344" i="3" a="1"/>
  <c r="B344" i="3" s="1"/>
  <c r="B343" i="3" a="1"/>
  <c r="B343" i="3" s="1"/>
  <c r="B342" i="3" a="1"/>
  <c r="B342" i="3" s="1"/>
  <c r="B341" i="3" a="1"/>
  <c r="B341" i="3" s="1"/>
  <c r="B340" i="3" a="1"/>
  <c r="B340" i="3" s="1"/>
  <c r="B339" i="3" a="1"/>
  <c r="B339" i="3" s="1"/>
  <c r="B338" i="3" a="1"/>
  <c r="B338" i="3" s="1"/>
  <c r="B337" i="3" a="1"/>
  <c r="B337" i="3" s="1"/>
  <c r="B336" i="3" a="1"/>
  <c r="B336" i="3" s="1"/>
  <c r="B335" i="3" a="1"/>
  <c r="B335" i="3" s="1"/>
  <c r="B334" i="3" a="1"/>
  <c r="B334" i="3" s="1"/>
  <c r="B333" i="3" a="1"/>
  <c r="B333" i="3" s="1"/>
  <c r="B332" i="3" a="1"/>
  <c r="B332" i="3" s="1"/>
  <c r="D5647" i="2"/>
  <c r="D5646" i="2"/>
  <c r="D5645" i="2"/>
  <c r="D5644" i="2"/>
  <c r="D5643" i="2"/>
  <c r="D5642" i="2"/>
  <c r="D5641" i="2"/>
  <c r="D5640" i="2"/>
  <c r="D5639" i="2"/>
  <c r="D5638" i="2"/>
  <c r="D5637" i="2"/>
  <c r="D5636" i="2"/>
  <c r="D5635" i="2"/>
  <c r="D5634" i="2"/>
  <c r="D5633" i="2"/>
  <c r="D5632" i="2"/>
  <c r="D5631" i="2"/>
  <c r="D5630" i="2"/>
  <c r="D5629" i="2"/>
  <c r="D5628" i="2"/>
  <c r="D5627" i="2"/>
  <c r="D5626" i="2"/>
  <c r="D5625" i="2"/>
  <c r="D5624" i="2"/>
  <c r="D5623" i="2"/>
  <c r="D5622" i="2"/>
  <c r="D5621" i="2"/>
  <c r="D5620" i="2"/>
  <c r="D5619" i="2"/>
  <c r="D5618" i="2"/>
  <c r="D5617" i="2"/>
  <c r="D5616" i="2"/>
  <c r="D5615" i="2"/>
  <c r="D5614" i="2"/>
  <c r="D5613" i="2"/>
  <c r="D5612" i="2"/>
  <c r="D5611" i="2"/>
  <c r="D5610" i="2"/>
  <c r="D5609" i="2"/>
  <c r="D5608" i="2"/>
  <c r="D5607" i="2"/>
  <c r="D5606" i="2"/>
  <c r="D5605" i="2"/>
  <c r="D5604" i="2"/>
  <c r="D5603" i="2"/>
  <c r="D5602" i="2"/>
  <c r="D5601" i="2"/>
  <c r="D5600" i="2"/>
  <c r="D5599" i="2"/>
  <c r="D5598" i="2"/>
  <c r="D5597" i="2"/>
  <c r="D5596" i="2"/>
  <c r="D5595" i="2"/>
  <c r="D5594" i="2"/>
  <c r="D5593" i="2"/>
  <c r="D5592" i="2"/>
  <c r="D5591" i="2"/>
  <c r="D5590" i="2"/>
  <c r="D5589" i="2"/>
  <c r="D5588" i="2"/>
  <c r="D5587" i="2"/>
  <c r="D5586" i="2"/>
  <c r="D5585" i="2"/>
  <c r="D5584" i="2"/>
  <c r="D5583" i="2"/>
  <c r="D5582" i="2"/>
  <c r="D5581" i="2"/>
  <c r="D5580" i="2"/>
  <c r="D5579" i="2"/>
  <c r="D5578" i="2"/>
  <c r="D5577" i="2"/>
  <c r="D5576" i="2"/>
  <c r="D5575" i="2"/>
  <c r="D5574" i="2"/>
  <c r="D5573" i="2"/>
  <c r="D5572" i="2"/>
  <c r="D5571" i="2"/>
  <c r="D5570" i="2"/>
  <c r="D5569" i="2"/>
  <c r="D5568" i="2"/>
  <c r="D5567" i="2"/>
  <c r="D5566" i="2"/>
  <c r="D5565" i="2"/>
  <c r="D5564" i="2"/>
  <c r="D5563" i="2"/>
  <c r="D5562" i="2"/>
  <c r="D5561" i="2"/>
  <c r="D5560" i="2"/>
  <c r="D5559" i="2"/>
  <c r="D5558" i="2"/>
  <c r="D5557" i="2"/>
  <c r="D5544" i="2"/>
  <c r="D5543" i="2"/>
  <c r="D5542" i="2"/>
  <c r="D5541" i="2"/>
  <c r="D5540" i="2"/>
  <c r="D5539" i="2"/>
  <c r="D5538" i="2"/>
  <c r="D5537" i="2"/>
  <c r="D5536" i="2"/>
  <c r="D5535" i="2"/>
  <c r="D5534" i="2"/>
  <c r="D5533" i="2"/>
  <c r="D5532" i="2"/>
  <c r="D5531" i="2"/>
  <c r="D5530" i="2"/>
  <c r="D5529" i="2"/>
  <c r="D5528" i="2"/>
  <c r="D5527" i="2"/>
  <c r="D5526" i="2"/>
  <c r="D5525" i="2"/>
  <c r="D5524" i="2"/>
  <c r="D5523" i="2"/>
  <c r="D5522" i="2"/>
  <c r="D5521" i="2"/>
  <c r="D5520" i="2"/>
  <c r="D5519" i="2"/>
  <c r="D5518" i="2"/>
  <c r="D5517" i="2"/>
  <c r="D5516" i="2"/>
  <c r="D5515" i="2"/>
  <c r="D5514" i="2"/>
  <c r="D5513" i="2"/>
  <c r="D5512" i="2"/>
  <c r="D5511" i="2"/>
  <c r="D5510" i="2"/>
  <c r="D5509" i="2"/>
  <c r="D5508" i="2"/>
  <c r="D5507" i="2"/>
  <c r="D5506" i="2"/>
  <c r="D5505" i="2"/>
  <c r="D5504" i="2"/>
  <c r="D5503" i="2"/>
  <c r="D5502" i="2"/>
  <c r="D5501" i="2"/>
  <c r="D5500" i="2"/>
  <c r="D5499" i="2"/>
  <c r="D5498" i="2"/>
  <c r="D5497" i="2"/>
  <c r="D5496" i="2"/>
  <c r="D5495" i="2"/>
  <c r="D5494" i="2"/>
  <c r="D5493" i="2"/>
  <c r="D5492" i="2"/>
  <c r="D5491" i="2"/>
  <c r="D5490" i="2"/>
  <c r="D5489" i="2"/>
  <c r="D5488" i="2"/>
  <c r="D5487" i="2"/>
  <c r="D5486" i="2"/>
  <c r="D5485" i="2"/>
  <c r="D5484" i="2"/>
  <c r="D5483" i="2"/>
  <c r="D5482" i="2"/>
  <c r="D5481" i="2"/>
  <c r="D5480" i="2"/>
  <c r="D5479" i="2"/>
  <c r="D5478" i="2"/>
  <c r="D5477" i="2"/>
  <c r="D5476" i="2"/>
  <c r="D5475" i="2"/>
  <c r="D5474" i="2"/>
  <c r="D5473" i="2"/>
  <c r="D5472" i="2"/>
  <c r="D5471" i="2"/>
  <c r="D5470" i="2"/>
  <c r="D5469" i="2"/>
  <c r="D5468" i="2"/>
  <c r="D5467" i="2"/>
  <c r="D5466" i="2"/>
  <c r="D5465" i="2"/>
  <c r="D5464" i="2"/>
  <c r="D5463" i="2"/>
  <c r="D5462" i="2"/>
  <c r="D5461" i="2"/>
  <c r="D5460" i="2"/>
  <c r="D5459" i="2"/>
  <c r="D5458" i="2"/>
  <c r="D5457" i="2"/>
  <c r="D5456" i="2"/>
  <c r="D5455" i="2"/>
  <c r="D5454" i="2"/>
  <c r="D5453" i="2"/>
  <c r="D5452" i="2"/>
  <c r="D5451" i="2"/>
  <c r="D5450" i="2"/>
  <c r="D5449" i="2"/>
  <c r="D5448" i="2"/>
  <c r="D5447" i="2"/>
  <c r="D5446" i="2"/>
  <c r="D5445" i="2"/>
  <c r="D5444" i="2"/>
  <c r="D5443" i="2"/>
  <c r="D5442" i="2"/>
  <c r="D5441" i="2"/>
  <c r="D5440" i="2"/>
  <c r="D5439" i="2"/>
  <c r="D5438" i="2"/>
  <c r="D5437" i="2"/>
  <c r="D5436" i="2"/>
  <c r="D5435" i="2"/>
  <c r="D5434" i="2"/>
  <c r="D5433" i="2"/>
  <c r="D5432" i="2"/>
  <c r="D5431" i="2"/>
  <c r="D5430" i="2"/>
  <c r="D5429" i="2"/>
  <c r="D5428" i="2"/>
  <c r="D5427" i="2"/>
  <c r="D5426" i="2"/>
  <c r="D5425" i="2"/>
  <c r="D5424" i="2"/>
  <c r="D5423" i="2"/>
  <c r="D5422" i="2"/>
  <c r="D5421" i="2"/>
  <c r="D5420" i="2"/>
  <c r="D5419" i="2"/>
  <c r="D5418" i="2"/>
  <c r="D5417" i="2"/>
  <c r="D5416" i="2"/>
  <c r="D5415" i="2"/>
  <c r="D5414" i="2"/>
  <c r="D5413" i="2"/>
  <c r="D5412" i="2"/>
  <c r="D5411" i="2"/>
  <c r="D5410" i="2"/>
  <c r="D5409" i="2"/>
  <c r="D5408" i="2"/>
  <c r="D5407" i="2"/>
  <c r="D5406" i="2"/>
  <c r="D5405" i="2"/>
  <c r="D5404" i="2"/>
  <c r="D5403" i="2"/>
  <c r="D5402" i="2"/>
  <c r="D5401" i="2"/>
  <c r="D5400" i="2"/>
  <c r="D5399" i="2"/>
  <c r="D5398" i="2"/>
  <c r="D5397" i="2"/>
  <c r="D5396" i="2"/>
  <c r="D5395" i="2"/>
  <c r="D5394" i="2"/>
  <c r="D5393" i="2"/>
  <c r="D5392" i="2"/>
  <c r="D5391" i="2"/>
  <c r="D5390" i="2"/>
  <c r="D5389" i="2"/>
  <c r="D5388" i="2"/>
  <c r="D5387" i="2"/>
  <c r="D5386" i="2"/>
  <c r="D5385" i="2"/>
  <c r="D5384" i="2"/>
  <c r="D5383" i="2"/>
  <c r="D5382" i="2"/>
  <c r="D5381" i="2"/>
  <c r="D5380" i="2"/>
  <c r="D5379" i="2"/>
  <c r="D5378" i="2"/>
  <c r="D5377" i="2"/>
  <c r="D5376" i="2"/>
  <c r="D5375" i="2"/>
  <c r="D5374" i="2"/>
  <c r="D5373" i="2"/>
  <c r="D5372" i="2"/>
  <c r="D5371" i="2"/>
  <c r="D5370" i="2"/>
  <c r="D5369" i="2"/>
  <c r="D5368" i="2"/>
  <c r="D5367" i="2"/>
  <c r="D5366" i="2"/>
  <c r="D5365" i="2"/>
  <c r="D5364" i="2"/>
  <c r="D5363" i="2"/>
  <c r="D5362" i="2"/>
  <c r="D5361" i="2"/>
  <c r="D5360" i="2"/>
  <c r="D5359" i="2"/>
  <c r="D5358" i="2"/>
  <c r="D5357" i="2"/>
  <c r="D5356" i="2"/>
  <c r="D5355" i="2"/>
  <c r="D5354" i="2"/>
  <c r="D5353" i="2"/>
  <c r="D5352" i="2"/>
  <c r="D5351" i="2"/>
  <c r="D5350" i="2"/>
  <c r="D5349" i="2"/>
  <c r="D5348" i="2"/>
  <c r="D5347" i="2"/>
  <c r="D5346" i="2"/>
  <c r="D5345" i="2"/>
  <c r="D5344" i="2"/>
  <c r="D5343" i="2"/>
  <c r="D5342" i="2"/>
  <c r="D5341" i="2"/>
  <c r="D5340" i="2"/>
  <c r="D5339" i="2"/>
  <c r="D5338" i="2"/>
  <c r="D5337" i="2"/>
  <c r="D5336" i="2"/>
  <c r="D5335" i="2"/>
  <c r="D5334" i="2"/>
  <c r="D5333" i="2"/>
  <c r="D5332" i="2"/>
  <c r="D5331" i="2"/>
  <c r="D5330" i="2"/>
  <c r="D5329" i="2"/>
  <c r="D5328" i="2"/>
  <c r="D5327" i="2"/>
  <c r="D5326" i="2"/>
  <c r="D5325" i="2"/>
  <c r="D5324" i="2"/>
  <c r="D5323" i="2"/>
  <c r="D5322" i="2"/>
  <c r="D5321" i="2"/>
  <c r="D5320" i="2"/>
  <c r="D5319" i="2"/>
  <c r="D5318" i="2"/>
  <c r="D5317" i="2"/>
  <c r="D5316" i="2"/>
  <c r="D5315" i="2"/>
  <c r="D5314" i="2"/>
  <c r="D5313" i="2"/>
  <c r="D5312" i="2"/>
  <c r="D5311" i="2"/>
  <c r="D5310" i="2"/>
  <c r="D5309" i="2"/>
  <c r="D5308" i="2"/>
  <c r="D5307" i="2"/>
  <c r="D5306" i="2"/>
  <c r="D5305" i="2"/>
  <c r="D5304" i="2"/>
  <c r="D5303" i="2"/>
  <c r="D5302" i="2"/>
  <c r="D5301" i="2"/>
  <c r="D5300" i="2"/>
  <c r="D5299" i="2"/>
  <c r="D5298" i="2"/>
  <c r="D5297" i="2"/>
  <c r="D5296" i="2"/>
  <c r="D5295" i="2"/>
  <c r="D5294" i="2"/>
  <c r="D5293" i="2"/>
  <c r="D5292" i="2"/>
  <c r="D5291" i="2"/>
  <c r="D5290" i="2"/>
  <c r="D5289" i="2"/>
  <c r="D5288" i="2"/>
  <c r="D5287" i="2"/>
  <c r="D5286" i="2"/>
  <c r="D5285" i="2"/>
  <c r="D5284" i="2"/>
  <c r="D5283" i="2"/>
  <c r="D5282" i="2"/>
  <c r="D5281" i="2"/>
  <c r="D5280" i="2"/>
  <c r="D5279" i="2"/>
  <c r="D5278" i="2"/>
  <c r="D5277" i="2"/>
  <c r="D5276" i="2"/>
  <c r="D5275" i="2"/>
  <c r="D5274" i="2"/>
  <c r="D5273" i="2"/>
  <c r="D5272" i="2"/>
  <c r="D5271" i="2"/>
  <c r="D5270" i="2"/>
  <c r="D5269" i="2"/>
  <c r="D5268" i="2"/>
  <c r="D5267" i="2"/>
  <c r="D5266" i="2"/>
  <c r="D5265" i="2"/>
  <c r="D5264" i="2"/>
  <c r="D5263" i="2"/>
  <c r="D5262" i="2"/>
  <c r="D5261" i="2"/>
  <c r="D5260" i="2"/>
  <c r="D5259" i="2"/>
  <c r="D5258" i="2"/>
  <c r="D5257" i="2"/>
  <c r="D5256" i="2"/>
  <c r="D5255" i="2"/>
  <c r="D5254" i="2"/>
  <c r="D5253" i="2"/>
  <c r="D5252" i="2"/>
  <c r="D5251" i="2"/>
  <c r="D5250" i="2"/>
  <c r="D5249" i="2"/>
  <c r="D5248" i="2"/>
  <c r="D5247" i="2"/>
  <c r="D5246" i="2"/>
  <c r="D5245" i="2"/>
  <c r="D5244" i="2"/>
  <c r="D5243" i="2"/>
  <c r="D5242" i="2"/>
  <c r="D5241" i="2"/>
  <c r="D5240" i="2"/>
  <c r="D5239" i="2"/>
  <c r="D5238" i="2"/>
  <c r="D5237" i="2"/>
  <c r="D5236" i="2"/>
  <c r="D5235" i="2"/>
  <c r="D5234" i="2"/>
  <c r="D5233" i="2"/>
  <c r="D5232" i="2"/>
  <c r="D5231" i="2"/>
  <c r="D5230" i="2"/>
  <c r="D5229" i="2"/>
  <c r="D5228" i="2"/>
  <c r="D5227" i="2"/>
  <c r="D5226" i="2"/>
  <c r="D5225" i="2"/>
  <c r="D5224" i="2"/>
  <c r="D5223" i="2"/>
  <c r="D5222" i="2"/>
  <c r="D5221" i="2"/>
  <c r="D5220" i="2"/>
  <c r="D5219" i="2"/>
  <c r="D5218" i="2"/>
  <c r="D5217" i="2"/>
  <c r="D5216" i="2"/>
  <c r="D5215" i="2"/>
  <c r="D5214" i="2"/>
  <c r="D5213" i="2"/>
  <c r="D5212" i="2"/>
  <c r="D5211" i="2"/>
  <c r="D5210" i="2"/>
  <c r="D5209" i="2"/>
  <c r="D5208" i="2"/>
  <c r="D5207" i="2"/>
  <c r="D5206" i="2"/>
  <c r="D5205" i="2"/>
  <c r="D5204" i="2"/>
  <c r="D5203" i="2"/>
  <c r="D5202" i="2"/>
  <c r="D5201" i="2"/>
  <c r="D5200" i="2"/>
  <c r="D5199" i="2"/>
  <c r="D5198" i="2"/>
  <c r="D5197" i="2"/>
  <c r="D5196" i="2"/>
  <c r="D5195" i="2"/>
  <c r="D5194" i="2"/>
  <c r="D5193" i="2"/>
  <c r="D5192" i="2"/>
  <c r="D5191" i="2"/>
  <c r="D5190" i="2"/>
  <c r="D5189" i="2"/>
  <c r="D5188" i="2"/>
  <c r="D5187" i="2"/>
  <c r="D5186" i="2"/>
  <c r="D5185" i="2"/>
  <c r="D5184" i="2"/>
  <c r="D5183" i="2"/>
  <c r="D5182" i="2"/>
  <c r="D5181" i="2"/>
  <c r="D5180" i="2"/>
  <c r="D5179" i="2"/>
  <c r="D5178" i="2"/>
  <c r="D5177" i="2"/>
  <c r="D5176" i="2"/>
  <c r="D5175" i="2"/>
  <c r="D5174" i="2"/>
  <c r="D5173" i="2"/>
  <c r="D5172" i="2"/>
  <c r="D5171" i="2"/>
  <c r="D5170" i="2"/>
  <c r="D5169" i="2"/>
  <c r="D5168" i="2"/>
  <c r="D5167" i="2"/>
  <c r="D5166" i="2"/>
  <c r="D5165" i="2"/>
  <c r="D5164" i="2"/>
  <c r="D5163" i="2"/>
  <c r="D5162" i="2"/>
  <c r="D5161" i="2"/>
  <c r="D5160" i="2"/>
  <c r="D5159" i="2"/>
  <c r="D5158" i="2"/>
  <c r="D5157" i="2"/>
  <c r="D5156" i="2"/>
  <c r="D5155" i="2"/>
  <c r="D5154" i="2"/>
  <c r="D5153" i="2"/>
  <c r="D5152" i="2"/>
  <c r="D5151" i="2"/>
  <c r="D5150" i="2"/>
  <c r="D5149" i="2"/>
  <c r="D5148" i="2"/>
  <c r="D5147" i="2"/>
  <c r="D5146" i="2"/>
  <c r="D5145" i="2"/>
  <c r="D5144" i="2"/>
  <c r="D5143" i="2"/>
  <c r="D5142" i="2"/>
  <c r="D5141" i="2"/>
  <c r="D5140" i="2"/>
  <c r="D5139" i="2"/>
  <c r="D5138" i="2"/>
  <c r="D5137" i="2"/>
  <c r="D5136" i="2"/>
  <c r="D5135" i="2"/>
  <c r="D5134" i="2"/>
  <c r="D5133" i="2"/>
  <c r="D5132" i="2"/>
  <c r="D5131" i="2"/>
  <c r="D5130" i="2"/>
  <c r="D5129" i="2"/>
  <c r="D5128" i="2"/>
  <c r="D5127" i="2"/>
  <c r="D5126" i="2"/>
  <c r="D5125" i="2"/>
  <c r="D5124" i="2"/>
  <c r="D5123" i="2"/>
  <c r="D5122" i="2"/>
  <c r="D5121" i="2"/>
  <c r="D5120" i="2"/>
  <c r="D5119" i="2"/>
  <c r="D5118" i="2"/>
  <c r="D5117" i="2"/>
  <c r="D5116" i="2"/>
  <c r="D5115" i="2"/>
  <c r="D5114" i="2"/>
  <c r="D5113" i="2"/>
  <c r="D5112" i="2"/>
  <c r="D5111" i="2"/>
  <c r="D5110" i="2"/>
  <c r="D5109" i="2"/>
  <c r="D5108" i="2"/>
  <c r="D5107" i="2"/>
  <c r="D5106" i="2"/>
  <c r="D5105" i="2"/>
  <c r="D5104" i="2"/>
  <c r="D5103" i="2"/>
  <c r="D5102" i="2"/>
  <c r="D5101" i="2"/>
  <c r="D5100" i="2"/>
  <c r="D5099" i="2"/>
  <c r="D5098" i="2"/>
  <c r="D5097" i="2"/>
  <c r="D5096" i="2"/>
  <c r="D5095" i="2"/>
  <c r="D5094" i="2"/>
  <c r="D5093" i="2"/>
  <c r="D5092" i="2"/>
  <c r="D5091" i="2"/>
  <c r="D5090" i="2"/>
  <c r="D5089" i="2"/>
  <c r="D5088" i="2"/>
  <c r="D5087" i="2"/>
  <c r="D5086" i="2"/>
  <c r="D5085" i="2"/>
  <c r="D5084" i="2"/>
  <c r="D5083" i="2"/>
  <c r="D5082" i="2"/>
  <c r="D5081" i="2"/>
  <c r="D5080" i="2"/>
  <c r="D5079" i="2"/>
  <c r="D5078" i="2"/>
  <c r="D5077" i="2"/>
  <c r="D5076" i="2"/>
  <c r="D5075" i="2"/>
  <c r="D5074" i="2"/>
  <c r="D5073" i="2"/>
  <c r="D5072" i="2"/>
  <c r="D5071" i="2"/>
  <c r="D5070" i="2"/>
  <c r="D5069" i="2"/>
  <c r="D5068" i="2"/>
  <c r="D5067" i="2"/>
  <c r="D5066" i="2"/>
  <c r="D5065" i="2"/>
  <c r="D5064" i="2"/>
  <c r="D5063" i="2"/>
  <c r="D5062" i="2"/>
  <c r="D5061" i="2"/>
  <c r="D5060" i="2"/>
  <c r="D5059" i="2"/>
  <c r="D5058" i="2"/>
  <c r="D5057" i="2"/>
  <c r="D5056" i="2"/>
  <c r="D5055" i="2"/>
  <c r="D5054" i="2"/>
  <c r="D5053" i="2"/>
  <c r="D5052" i="2"/>
  <c r="D5051" i="2"/>
  <c r="D5050" i="2"/>
  <c r="D5049" i="2"/>
  <c r="D5048" i="2"/>
  <c r="D5047" i="2"/>
  <c r="D5046" i="2"/>
  <c r="D5045" i="2"/>
  <c r="D5044" i="2"/>
  <c r="D5043" i="2"/>
  <c r="D5042" i="2"/>
  <c r="D5041" i="2"/>
  <c r="D5040" i="2"/>
  <c r="D5039" i="2"/>
  <c r="D5038" i="2"/>
  <c r="D5037" i="2"/>
  <c r="D5036" i="2"/>
  <c r="D5035" i="2"/>
  <c r="D5034" i="2"/>
  <c r="D5033" i="2"/>
  <c r="D5032" i="2"/>
  <c r="D5031" i="2"/>
  <c r="D5030" i="2"/>
  <c r="D5029" i="2"/>
  <c r="D5028" i="2"/>
  <c r="D5027" i="2"/>
  <c r="D5026" i="2"/>
  <c r="D5025" i="2"/>
  <c r="D5024" i="2"/>
  <c r="D5023" i="2"/>
  <c r="D5022" i="2"/>
  <c r="D5021" i="2"/>
  <c r="D5020" i="2"/>
  <c r="D5019" i="2"/>
  <c r="D5018" i="2"/>
  <c r="D5017" i="2"/>
  <c r="D5016" i="2"/>
  <c r="D5015" i="2"/>
  <c r="D5014" i="2"/>
  <c r="D5013" i="2"/>
  <c r="D5012" i="2"/>
  <c r="D5011" i="2"/>
  <c r="D5010" i="2"/>
  <c r="D5009" i="2"/>
  <c r="D5008" i="2"/>
  <c r="D5007" i="2"/>
  <c r="D5006" i="2"/>
  <c r="D5005" i="2"/>
  <c r="D5004" i="2"/>
  <c r="D5003" i="2"/>
  <c r="D5002" i="2"/>
  <c r="D5001" i="2"/>
  <c r="D5000" i="2"/>
  <c r="D4999" i="2"/>
  <c r="D4998" i="2"/>
  <c r="D4997" i="2"/>
  <c r="D4996" i="2"/>
  <c r="D4995" i="2"/>
  <c r="D4994" i="2"/>
  <c r="D4993" i="2"/>
  <c r="D4992" i="2"/>
  <c r="D4991" i="2"/>
  <c r="D4990" i="2"/>
  <c r="D4989" i="2"/>
  <c r="D4988" i="2"/>
  <c r="D4987" i="2"/>
  <c r="D4986" i="2"/>
  <c r="D4985" i="2"/>
  <c r="D4984" i="2"/>
  <c r="D4983" i="2"/>
  <c r="D4982" i="2"/>
  <c r="D4981" i="2"/>
  <c r="D4980" i="2"/>
  <c r="D4979" i="2"/>
  <c r="D4978" i="2"/>
  <c r="D4977" i="2"/>
  <c r="D4976" i="2"/>
  <c r="D4975" i="2"/>
  <c r="D4974" i="2"/>
  <c r="D4973" i="2"/>
  <c r="D4972" i="2"/>
  <c r="D4971" i="2"/>
  <c r="D4970" i="2"/>
  <c r="D4969" i="2"/>
  <c r="D4968" i="2"/>
  <c r="D4967" i="2"/>
  <c r="D4966" i="2"/>
  <c r="D4965" i="2"/>
  <c r="D4964" i="2"/>
  <c r="D4963" i="2"/>
  <c r="D4962" i="2"/>
  <c r="D4961" i="2"/>
  <c r="D4960" i="2"/>
  <c r="D4959" i="2"/>
  <c r="D4958" i="2"/>
  <c r="D4957" i="2"/>
  <c r="D4956" i="2"/>
  <c r="D4955" i="2"/>
  <c r="D4954" i="2"/>
  <c r="D4953" i="2"/>
  <c r="D4952" i="2"/>
  <c r="D4951" i="2"/>
  <c r="D4950" i="2"/>
  <c r="D4949" i="2"/>
  <c r="D4948" i="2"/>
  <c r="D4947" i="2"/>
  <c r="D4946" i="2"/>
  <c r="D4945" i="2"/>
  <c r="D4944" i="2"/>
  <c r="D4943" i="2"/>
  <c r="D4942" i="2"/>
  <c r="D4941" i="2"/>
  <c r="D4940" i="2"/>
  <c r="D4939" i="2"/>
  <c r="D4938" i="2"/>
  <c r="D4937" i="2"/>
  <c r="D4936" i="2"/>
  <c r="D4935" i="2"/>
  <c r="D4934" i="2"/>
  <c r="D4933" i="2"/>
  <c r="D4932" i="2"/>
  <c r="D4931" i="2"/>
  <c r="D4930" i="2"/>
  <c r="D4929" i="2"/>
  <c r="D4928" i="2"/>
  <c r="D4927" i="2"/>
  <c r="D4926" i="2"/>
  <c r="D4925" i="2"/>
  <c r="D4924" i="2"/>
  <c r="D4923" i="2"/>
  <c r="D4922" i="2"/>
  <c r="D4921" i="2"/>
  <c r="D4920" i="2"/>
  <c r="D4919" i="2"/>
  <c r="D4918" i="2"/>
  <c r="D4917" i="2"/>
  <c r="D4916" i="2"/>
  <c r="D4915" i="2"/>
  <c r="D4914" i="2"/>
  <c r="D4913" i="2"/>
  <c r="D4912" i="2"/>
  <c r="D4911" i="2"/>
  <c r="D4910" i="2"/>
  <c r="D4909" i="2"/>
  <c r="D4908" i="2"/>
  <c r="D4907" i="2"/>
  <c r="D4906" i="2"/>
  <c r="D4905" i="2"/>
  <c r="D4904" i="2"/>
  <c r="D4903" i="2"/>
  <c r="D4902" i="2"/>
  <c r="D4901" i="2"/>
  <c r="D4900" i="2"/>
  <c r="D4899" i="2"/>
  <c r="D4898" i="2"/>
  <c r="D4897" i="2"/>
  <c r="D4896" i="2"/>
  <c r="D4895" i="2"/>
  <c r="D4894" i="2"/>
  <c r="D4893" i="2"/>
  <c r="D4892" i="2"/>
  <c r="D4891" i="2"/>
  <c r="D4890" i="2"/>
  <c r="D4889" i="2"/>
  <c r="D4888" i="2"/>
  <c r="D4887" i="2"/>
  <c r="D4886" i="2"/>
  <c r="D4885" i="2"/>
  <c r="D4884" i="2"/>
  <c r="D4883" i="2"/>
  <c r="D4882" i="2"/>
  <c r="D4881" i="2"/>
  <c r="D4880" i="2"/>
  <c r="D4879" i="2"/>
  <c r="D4878" i="2"/>
  <c r="D4877" i="2"/>
  <c r="D4876" i="2"/>
  <c r="D4875" i="2"/>
  <c r="D4874" i="2"/>
  <c r="D4873" i="2"/>
  <c r="D4872" i="2"/>
  <c r="D4871" i="2"/>
  <c r="D4870" i="2"/>
  <c r="D4869" i="2"/>
  <c r="D4868" i="2"/>
  <c r="D4867" i="2"/>
  <c r="D4866" i="2"/>
  <c r="D4865" i="2"/>
  <c r="D4864" i="2"/>
  <c r="D4863" i="2"/>
  <c r="D4862" i="2"/>
  <c r="D4861" i="2"/>
  <c r="D4860" i="2"/>
  <c r="D4859" i="2"/>
  <c r="D4858" i="2"/>
  <c r="D4857" i="2"/>
  <c r="D4856" i="2"/>
  <c r="D4855" i="2"/>
  <c r="D4854" i="2"/>
  <c r="D4853" i="2"/>
  <c r="D4852" i="2"/>
  <c r="D4851" i="2"/>
  <c r="D4850" i="2"/>
  <c r="D4849" i="2"/>
  <c r="D4848" i="2"/>
  <c r="D4847" i="2"/>
  <c r="D4846" i="2"/>
  <c r="D4845" i="2"/>
  <c r="D4844" i="2"/>
  <c r="D4843" i="2"/>
  <c r="D4842" i="2"/>
  <c r="D4841" i="2"/>
  <c r="D4840" i="2"/>
  <c r="D4839" i="2"/>
  <c r="D4838" i="2"/>
  <c r="D4837" i="2"/>
  <c r="D4836" i="2"/>
  <c r="D4835" i="2"/>
  <c r="D4834" i="2"/>
  <c r="D4833" i="2"/>
  <c r="D4832" i="2"/>
  <c r="D4831" i="2"/>
  <c r="D4830" i="2"/>
  <c r="D4829" i="2"/>
  <c r="D4828" i="2"/>
  <c r="D4827" i="2"/>
  <c r="D4826" i="2"/>
  <c r="D4825" i="2"/>
  <c r="D4824" i="2"/>
  <c r="D4823" i="2"/>
  <c r="D4822" i="2"/>
  <c r="D4821" i="2"/>
  <c r="D4820" i="2"/>
  <c r="D4819" i="2"/>
  <c r="D4818" i="2"/>
  <c r="D4817" i="2"/>
  <c r="D4816" i="2"/>
  <c r="D4815" i="2"/>
  <c r="D4814" i="2"/>
  <c r="D4813" i="2"/>
  <c r="D4812" i="2"/>
  <c r="D4811" i="2"/>
  <c r="D4810" i="2"/>
  <c r="D4809" i="2"/>
  <c r="D4808" i="2"/>
  <c r="D4807" i="2"/>
  <c r="D4806" i="2"/>
  <c r="D4805" i="2"/>
  <c r="D4804" i="2"/>
  <c r="D4803" i="2"/>
  <c r="D4802" i="2"/>
  <c r="D4801" i="2"/>
  <c r="D4800" i="2"/>
  <c r="D4799" i="2"/>
  <c r="D4798" i="2"/>
  <c r="D4797" i="2"/>
  <c r="D4796" i="2"/>
  <c r="D4795" i="2"/>
  <c r="D4794" i="2"/>
  <c r="D4793" i="2"/>
  <c r="D4792" i="2"/>
  <c r="D4791" i="2"/>
  <c r="D4790" i="2"/>
  <c r="D4789" i="2"/>
  <c r="D4788" i="2"/>
  <c r="D4787" i="2"/>
  <c r="D4786" i="2"/>
  <c r="D4785" i="2"/>
  <c r="D4784" i="2"/>
  <c r="D4783" i="2"/>
  <c r="D4782" i="2"/>
  <c r="D4781" i="2"/>
  <c r="D4780" i="2"/>
  <c r="D4779" i="2"/>
  <c r="D4778" i="2"/>
  <c r="D4777" i="2"/>
  <c r="D4776" i="2"/>
  <c r="D4775" i="2"/>
  <c r="D4774" i="2"/>
  <c r="D4773" i="2"/>
  <c r="D4772" i="2"/>
  <c r="D4771" i="2"/>
  <c r="D4770" i="2"/>
  <c r="D4769" i="2"/>
  <c r="D4768" i="2"/>
  <c r="D4767" i="2"/>
  <c r="D4766" i="2"/>
  <c r="D4765" i="2"/>
  <c r="D4764" i="2"/>
  <c r="D4763" i="2"/>
  <c r="D4762" i="2"/>
  <c r="D4761" i="2"/>
  <c r="D4760" i="2"/>
  <c r="D4759" i="2"/>
  <c r="D4758" i="2"/>
  <c r="D4757" i="2"/>
  <c r="D4756" i="2"/>
  <c r="D4755" i="2"/>
  <c r="D4754" i="2"/>
  <c r="D4753" i="2"/>
  <c r="D4752" i="2"/>
  <c r="D4751" i="2"/>
  <c r="D4750" i="2"/>
  <c r="D4749" i="2"/>
  <c r="D4748" i="2"/>
  <c r="D4747" i="2"/>
  <c r="D4746" i="2"/>
  <c r="D4745" i="2"/>
  <c r="D4744" i="2"/>
  <c r="D4743" i="2"/>
  <c r="D4742" i="2"/>
  <c r="D4741" i="2"/>
  <c r="D4740" i="2"/>
  <c r="D4739" i="2"/>
  <c r="D4738" i="2"/>
  <c r="D4737" i="2"/>
  <c r="D4736" i="2"/>
  <c r="D4735" i="2"/>
  <c r="D4734" i="2"/>
  <c r="D4733" i="2"/>
  <c r="D4732" i="2"/>
  <c r="D4731" i="2"/>
  <c r="D4730" i="2"/>
  <c r="D4729" i="2"/>
  <c r="D4728" i="2"/>
  <c r="D4727" i="2"/>
  <c r="D4726" i="2"/>
  <c r="D4725" i="2"/>
  <c r="D4724" i="2"/>
  <c r="D4723" i="2"/>
  <c r="D4722" i="2"/>
  <c r="D4721" i="2"/>
  <c r="D4720" i="2"/>
  <c r="D4719" i="2"/>
  <c r="D4718" i="2"/>
  <c r="D4717" i="2"/>
  <c r="D4716" i="2"/>
  <c r="D4715" i="2"/>
  <c r="D4714" i="2"/>
  <c r="D4713" i="2"/>
  <c r="D4712" i="2"/>
  <c r="D4711" i="2"/>
  <c r="D4710" i="2"/>
  <c r="D4709" i="2"/>
  <c r="D4708" i="2"/>
  <c r="D4707" i="2"/>
  <c r="D4706" i="2"/>
  <c r="D4705" i="2"/>
  <c r="D4704" i="2"/>
  <c r="D4703" i="2"/>
  <c r="D4702" i="2"/>
  <c r="D4701" i="2"/>
  <c r="D4700" i="2"/>
  <c r="D4699" i="2"/>
  <c r="D4698" i="2"/>
  <c r="D4697" i="2"/>
  <c r="D4696" i="2"/>
  <c r="D4695" i="2"/>
  <c r="D4694" i="2"/>
  <c r="D4693" i="2"/>
  <c r="D4692" i="2"/>
  <c r="D4691" i="2"/>
  <c r="D4690" i="2"/>
  <c r="D4689" i="2"/>
  <c r="D4688" i="2"/>
  <c r="D4687" i="2"/>
  <c r="D4686" i="2"/>
  <c r="D4685" i="2"/>
  <c r="D4684" i="2"/>
  <c r="D4683" i="2"/>
  <c r="D4682" i="2"/>
  <c r="D4681" i="2"/>
  <c r="D4680" i="2"/>
  <c r="D4679" i="2"/>
  <c r="D4678" i="2"/>
  <c r="D4677" i="2"/>
  <c r="D4676" i="2"/>
  <c r="D4675" i="2"/>
  <c r="D4674" i="2"/>
  <c r="D4673" i="2"/>
  <c r="D4672" i="2"/>
  <c r="D4671" i="2"/>
  <c r="D4670" i="2"/>
  <c r="D4669" i="2"/>
  <c r="D4668" i="2"/>
  <c r="D4667" i="2"/>
  <c r="D4666" i="2"/>
  <c r="D4665" i="2"/>
  <c r="D4664" i="2"/>
  <c r="D4663" i="2"/>
  <c r="D4662" i="2"/>
  <c r="D4661" i="2"/>
  <c r="D4660" i="2"/>
  <c r="D4659" i="2"/>
  <c r="D4658" i="2"/>
  <c r="D4657" i="2"/>
  <c r="D4656" i="2"/>
  <c r="D4655" i="2"/>
  <c r="D4654" i="2"/>
  <c r="D4653" i="2"/>
  <c r="D4652" i="2"/>
  <c r="D4651" i="2"/>
  <c r="D4650" i="2"/>
  <c r="D4649" i="2"/>
  <c r="D4648" i="2"/>
  <c r="D4647" i="2"/>
  <c r="D4646" i="2"/>
  <c r="D4645" i="2"/>
  <c r="D4644" i="2"/>
  <c r="D4643" i="2"/>
  <c r="D4642" i="2"/>
  <c r="D4641" i="2"/>
  <c r="D4640" i="2"/>
  <c r="D4639" i="2"/>
  <c r="D4638" i="2"/>
  <c r="D4637" i="2"/>
  <c r="D4636" i="2"/>
  <c r="D4635" i="2"/>
  <c r="D4634" i="2"/>
  <c r="D4633" i="2"/>
  <c r="D4632" i="2"/>
  <c r="D4631" i="2"/>
  <c r="D4630" i="2"/>
  <c r="D4629" i="2"/>
  <c r="D4628" i="2"/>
  <c r="D4627" i="2"/>
  <c r="D4626" i="2"/>
  <c r="D4625" i="2"/>
  <c r="D4624" i="2"/>
  <c r="D4623" i="2"/>
  <c r="D4622" i="2"/>
  <c r="D4621" i="2"/>
  <c r="D4620" i="2"/>
  <c r="D4619" i="2"/>
  <c r="D4618" i="2"/>
  <c r="D4617" i="2"/>
  <c r="D4616" i="2"/>
  <c r="D4615" i="2"/>
  <c r="D4614" i="2"/>
  <c r="D4613" i="2"/>
  <c r="D4612" i="2"/>
  <c r="D4611" i="2"/>
  <c r="D4610" i="2"/>
  <c r="D4609" i="2"/>
  <c r="D4608" i="2"/>
  <c r="D4607" i="2"/>
  <c r="D4606" i="2"/>
  <c r="D4605" i="2"/>
  <c r="D4604" i="2"/>
  <c r="D4603" i="2"/>
  <c r="D4602" i="2"/>
  <c r="D4601" i="2"/>
  <c r="D4600" i="2"/>
  <c r="D4599" i="2"/>
  <c r="D4598" i="2"/>
  <c r="D4597" i="2"/>
  <c r="D4596" i="2"/>
  <c r="D4595" i="2"/>
  <c r="D4594" i="2"/>
  <c r="D4593" i="2"/>
  <c r="D4592" i="2"/>
  <c r="D4591" i="2"/>
  <c r="D4590" i="2"/>
  <c r="D4589" i="2"/>
  <c r="D4588" i="2"/>
  <c r="D4587" i="2"/>
  <c r="D4586" i="2"/>
  <c r="D4585" i="2"/>
  <c r="D4584" i="2"/>
  <c r="D4583" i="2"/>
  <c r="D4582" i="2"/>
  <c r="D4581" i="2"/>
  <c r="D4580" i="2"/>
  <c r="D4579" i="2"/>
  <c r="D4578" i="2"/>
  <c r="D4577" i="2"/>
  <c r="D4576" i="2"/>
  <c r="D4575" i="2"/>
  <c r="D4574" i="2"/>
  <c r="D4573" i="2"/>
  <c r="D4572" i="2"/>
  <c r="D4571" i="2"/>
  <c r="D4570" i="2"/>
  <c r="D4569" i="2"/>
  <c r="D4568" i="2"/>
  <c r="D4567" i="2"/>
  <c r="D4566" i="2"/>
  <c r="D4565" i="2"/>
  <c r="D4564" i="2"/>
  <c r="D4563" i="2"/>
  <c r="D4562" i="2"/>
  <c r="D4561" i="2"/>
  <c r="D4560" i="2"/>
  <c r="D4559" i="2"/>
  <c r="D4558" i="2"/>
  <c r="D4557" i="2"/>
  <c r="D4556" i="2"/>
  <c r="D4555" i="2"/>
  <c r="D4554" i="2"/>
  <c r="D4553" i="2"/>
  <c r="D4552" i="2"/>
  <c r="D4551" i="2"/>
  <c r="D4550" i="2"/>
  <c r="D4549" i="2"/>
  <c r="D4548" i="2"/>
  <c r="D4547" i="2"/>
  <c r="D4546" i="2"/>
  <c r="D4545" i="2"/>
  <c r="D4544" i="2"/>
  <c r="D4543" i="2"/>
  <c r="D4542" i="2"/>
  <c r="D4541" i="2"/>
  <c r="D4540" i="2"/>
  <c r="D4539" i="2"/>
  <c r="D4538" i="2"/>
  <c r="D4537" i="2"/>
  <c r="D4536" i="2"/>
  <c r="D4535" i="2"/>
  <c r="D4534" i="2"/>
  <c r="D4533" i="2"/>
  <c r="D4532" i="2"/>
  <c r="D4531" i="2"/>
  <c r="D4530" i="2"/>
  <c r="D4529" i="2"/>
  <c r="D4528" i="2"/>
  <c r="D4527" i="2"/>
  <c r="D4526" i="2"/>
  <c r="D4525" i="2"/>
  <c r="D4524" i="2"/>
  <c r="D4523" i="2"/>
  <c r="D4522" i="2"/>
  <c r="D4521" i="2"/>
  <c r="D4520" i="2"/>
  <c r="D4519" i="2"/>
  <c r="D4518" i="2"/>
  <c r="D4517" i="2"/>
  <c r="D4516" i="2"/>
  <c r="D4515" i="2"/>
  <c r="D4514" i="2"/>
  <c r="D4513" i="2"/>
  <c r="D4512" i="2"/>
  <c r="D4511" i="2"/>
  <c r="D4510" i="2"/>
  <c r="D4509" i="2"/>
  <c r="D4508" i="2"/>
  <c r="D4507" i="2"/>
  <c r="D4506" i="2"/>
  <c r="D4505" i="2"/>
  <c r="D4504" i="2"/>
  <c r="D4503" i="2"/>
  <c r="D4502" i="2"/>
  <c r="D4501" i="2"/>
  <c r="D4500" i="2"/>
  <c r="D4499" i="2"/>
  <c r="D4498" i="2"/>
  <c r="D4497" i="2"/>
  <c r="D4496" i="2"/>
  <c r="D4495" i="2"/>
  <c r="D4494" i="2"/>
  <c r="D4493" i="2"/>
  <c r="D4492" i="2"/>
  <c r="D4491" i="2"/>
  <c r="D4490" i="2"/>
  <c r="D4489" i="2"/>
  <c r="D4488" i="2"/>
  <c r="D4487" i="2"/>
  <c r="D4486" i="2"/>
  <c r="D4485" i="2"/>
  <c r="D4484" i="2"/>
  <c r="D4483" i="2"/>
  <c r="D4482" i="2"/>
  <c r="D4481" i="2"/>
  <c r="D4480" i="2"/>
  <c r="D4479" i="2"/>
  <c r="D4478" i="2"/>
  <c r="D4477" i="2"/>
  <c r="D4476" i="2"/>
  <c r="D4475" i="2"/>
  <c r="D4474" i="2"/>
  <c r="D4473" i="2"/>
  <c r="D4472" i="2"/>
  <c r="D4471" i="2"/>
  <c r="D4470" i="2"/>
  <c r="D4469" i="2"/>
  <c r="D4468" i="2"/>
  <c r="D4467" i="2"/>
  <c r="D4466" i="2"/>
  <c r="D4465" i="2"/>
  <c r="D4464" i="2"/>
  <c r="D4463" i="2"/>
  <c r="D4462" i="2"/>
  <c r="D4461" i="2"/>
  <c r="D4460" i="2"/>
  <c r="D4459" i="2"/>
  <c r="D4458" i="2"/>
  <c r="D4457" i="2"/>
  <c r="D4456" i="2"/>
  <c r="D4455" i="2"/>
  <c r="D4454" i="2"/>
  <c r="D4453" i="2"/>
  <c r="D4452" i="2"/>
  <c r="D4451" i="2"/>
  <c r="D4450" i="2"/>
  <c r="D4449" i="2"/>
  <c r="D4448" i="2"/>
  <c r="D4447" i="2"/>
  <c r="D4446" i="2"/>
  <c r="D4445" i="2"/>
  <c r="D4444" i="2"/>
  <c r="D4443" i="2"/>
  <c r="D4442" i="2"/>
  <c r="D4441" i="2"/>
  <c r="D4440" i="2"/>
  <c r="D4439" i="2"/>
  <c r="D4438" i="2"/>
  <c r="D4437" i="2"/>
  <c r="D4436" i="2"/>
  <c r="D4435" i="2"/>
  <c r="D4434" i="2"/>
  <c r="D4433" i="2"/>
  <c r="D4432" i="2"/>
  <c r="D4431" i="2"/>
  <c r="D4430" i="2"/>
  <c r="D4429" i="2"/>
  <c r="D4428" i="2"/>
  <c r="D4427" i="2"/>
  <c r="D4426" i="2"/>
  <c r="D4425" i="2"/>
  <c r="D4424" i="2"/>
  <c r="D4423" i="2"/>
  <c r="D4422" i="2"/>
  <c r="D4421" i="2"/>
  <c r="D4420" i="2"/>
  <c r="D4419" i="2"/>
  <c r="D4418" i="2"/>
  <c r="D4417" i="2"/>
  <c r="D4416" i="2"/>
  <c r="D4415" i="2"/>
  <c r="D4414" i="2"/>
  <c r="D4413" i="2"/>
  <c r="D4412" i="2"/>
  <c r="D4411" i="2"/>
  <c r="D4410" i="2"/>
  <c r="D4409" i="2"/>
  <c r="D4408" i="2"/>
  <c r="D4407" i="2"/>
  <c r="D4406" i="2"/>
  <c r="D4405" i="2"/>
  <c r="D4404" i="2"/>
  <c r="D4403" i="2"/>
  <c r="D4402" i="2"/>
  <c r="D4401" i="2"/>
  <c r="D4400" i="2"/>
  <c r="D4399" i="2"/>
  <c r="D4398" i="2"/>
  <c r="D4397" i="2"/>
  <c r="D4396" i="2"/>
  <c r="D4395" i="2"/>
  <c r="D4394" i="2"/>
  <c r="D4393" i="2"/>
  <c r="D4392" i="2"/>
  <c r="D4391" i="2"/>
  <c r="D4390" i="2"/>
  <c r="D4389" i="2"/>
  <c r="D4388" i="2"/>
  <c r="D4387" i="2"/>
  <c r="D4386" i="2"/>
  <c r="D4385" i="2"/>
  <c r="D4384" i="2"/>
  <c r="D4383" i="2"/>
  <c r="D4382" i="2"/>
  <c r="D4381" i="2"/>
  <c r="D4380" i="2"/>
  <c r="D4379" i="2"/>
  <c r="D4378" i="2"/>
  <c r="D4377" i="2"/>
  <c r="D4376" i="2"/>
  <c r="D4375" i="2"/>
  <c r="D4374" i="2"/>
  <c r="D4373" i="2"/>
  <c r="D4372" i="2"/>
  <c r="D4371" i="2"/>
  <c r="D4370" i="2"/>
  <c r="D4369" i="2"/>
  <c r="D4368" i="2"/>
  <c r="D4367" i="2"/>
  <c r="D4366" i="2"/>
  <c r="D4365" i="2"/>
  <c r="D4364" i="2"/>
  <c r="D4363" i="2"/>
  <c r="D4362" i="2"/>
  <c r="D4361" i="2"/>
  <c r="D4360" i="2"/>
  <c r="D4359" i="2"/>
  <c r="D4358" i="2"/>
  <c r="D4357" i="2"/>
  <c r="D4356" i="2"/>
  <c r="D4355" i="2"/>
  <c r="D4354" i="2"/>
  <c r="D4353" i="2"/>
  <c r="D4352" i="2"/>
  <c r="D4351" i="2"/>
  <c r="D4350" i="2"/>
  <c r="D4349" i="2"/>
  <c r="D4348" i="2"/>
  <c r="D4347" i="2"/>
  <c r="D4346" i="2"/>
  <c r="D4345" i="2"/>
  <c r="D4344" i="2"/>
  <c r="D4343" i="2"/>
  <c r="D4342" i="2"/>
  <c r="D4341" i="2"/>
  <c r="D4340" i="2"/>
  <c r="D4339" i="2"/>
  <c r="D4338" i="2"/>
  <c r="D4337" i="2"/>
  <c r="D4336" i="2"/>
  <c r="D4335" i="2"/>
  <c r="D4334" i="2"/>
  <c r="D4333" i="2"/>
  <c r="D4332" i="2"/>
  <c r="D4331" i="2"/>
  <c r="D4330" i="2"/>
  <c r="D4329" i="2"/>
  <c r="D4328" i="2"/>
  <c r="D4327" i="2"/>
  <c r="D4326" i="2"/>
  <c r="D4325" i="2"/>
  <c r="D4324" i="2"/>
  <c r="D4323" i="2"/>
  <c r="D4322" i="2"/>
  <c r="D4321" i="2"/>
  <c r="D4320" i="2"/>
  <c r="D4319" i="2"/>
  <c r="D4318" i="2"/>
  <c r="D4317" i="2"/>
  <c r="D4316" i="2"/>
  <c r="D4315" i="2"/>
  <c r="D4314" i="2"/>
  <c r="D4313" i="2"/>
  <c r="D4312" i="2"/>
  <c r="D4311" i="2"/>
  <c r="D4310" i="2"/>
  <c r="D4309" i="2"/>
  <c r="D4308" i="2"/>
  <c r="D4307" i="2"/>
  <c r="D4306" i="2"/>
  <c r="D4305" i="2"/>
  <c r="D4304" i="2"/>
  <c r="D4303" i="2"/>
  <c r="D4302" i="2"/>
  <c r="D4301" i="2"/>
  <c r="D4300" i="2"/>
  <c r="D4299" i="2"/>
  <c r="D4298" i="2"/>
  <c r="D4297" i="2"/>
  <c r="D4296" i="2"/>
  <c r="D4295" i="2"/>
  <c r="D4294" i="2"/>
  <c r="D4293" i="2"/>
  <c r="D4292" i="2"/>
  <c r="D4291" i="2"/>
  <c r="D4290" i="2"/>
  <c r="D4289" i="2"/>
  <c r="D4288" i="2"/>
  <c r="D4287" i="2"/>
  <c r="D4286" i="2"/>
  <c r="D4285" i="2"/>
  <c r="D4284" i="2"/>
  <c r="D4283" i="2"/>
  <c r="D4282" i="2"/>
  <c r="D4281" i="2"/>
  <c r="D4280" i="2"/>
  <c r="D4279" i="2"/>
  <c r="D4278" i="2"/>
  <c r="D4277" i="2"/>
  <c r="D4276" i="2"/>
  <c r="D4275" i="2"/>
  <c r="D4274" i="2"/>
  <c r="D4273" i="2"/>
  <c r="D4272" i="2"/>
  <c r="D4271" i="2"/>
  <c r="D4270" i="2"/>
  <c r="D4269" i="2"/>
  <c r="D4268" i="2"/>
  <c r="D4267" i="2"/>
  <c r="D4266" i="2"/>
  <c r="D4265" i="2"/>
  <c r="D4264" i="2"/>
  <c r="D4263" i="2"/>
  <c r="D4262" i="2"/>
  <c r="D4261" i="2"/>
  <c r="D4260" i="2"/>
  <c r="D4259" i="2"/>
  <c r="D4258" i="2"/>
  <c r="D4257" i="2"/>
  <c r="D4256" i="2"/>
  <c r="D4255" i="2"/>
  <c r="D4254" i="2"/>
  <c r="D4253" i="2"/>
  <c r="D4252" i="2"/>
  <c r="D4251" i="2"/>
  <c r="D4250" i="2"/>
  <c r="D4249" i="2"/>
  <c r="D4248" i="2"/>
  <c r="D4247" i="2"/>
  <c r="D4246" i="2"/>
  <c r="D4245" i="2"/>
  <c r="D4244" i="2"/>
  <c r="D4243" i="2"/>
  <c r="D4242" i="2"/>
  <c r="D4241" i="2"/>
  <c r="D4240" i="2"/>
  <c r="D4239" i="2"/>
  <c r="D4238" i="2"/>
  <c r="D4237" i="2"/>
  <c r="D4236" i="2"/>
  <c r="D4235" i="2"/>
  <c r="D4234" i="2"/>
  <c r="D4233" i="2"/>
  <c r="D4232" i="2"/>
  <c r="D4231" i="2"/>
  <c r="D4230" i="2"/>
  <c r="D4229" i="2"/>
  <c r="D4228" i="2"/>
  <c r="D4227" i="2"/>
  <c r="D4226" i="2"/>
  <c r="D4225" i="2"/>
  <c r="D4224" i="2"/>
  <c r="D4223" i="2"/>
  <c r="D4222" i="2"/>
  <c r="D4221" i="2"/>
  <c r="D4220" i="2"/>
  <c r="D4219" i="2"/>
  <c r="D4218" i="2"/>
  <c r="D4217" i="2"/>
  <c r="D4216" i="2"/>
  <c r="D4215" i="2"/>
  <c r="D4214" i="2"/>
  <c r="D4213" i="2"/>
  <c r="D4212" i="2"/>
  <c r="D4211" i="2"/>
  <c r="D4210" i="2"/>
  <c r="D4209" i="2"/>
  <c r="D4208" i="2"/>
  <c r="D4207" i="2"/>
  <c r="D4206" i="2"/>
  <c r="D4205" i="2"/>
  <c r="D4204" i="2"/>
  <c r="D4203" i="2"/>
  <c r="D4202" i="2"/>
  <c r="D4201" i="2"/>
  <c r="D4200" i="2"/>
  <c r="D4199" i="2"/>
  <c r="D4198" i="2"/>
  <c r="D4197" i="2"/>
  <c r="D4196" i="2"/>
  <c r="D4195" i="2"/>
  <c r="D4194" i="2"/>
  <c r="D4193" i="2"/>
  <c r="D4192" i="2"/>
  <c r="D4191" i="2"/>
  <c r="D4190" i="2"/>
  <c r="D4189" i="2"/>
  <c r="D4188" i="2"/>
  <c r="D4187" i="2"/>
  <c r="D4186" i="2"/>
  <c r="D4185" i="2"/>
  <c r="D4184" i="2"/>
  <c r="D4183" i="2"/>
  <c r="D4182" i="2"/>
  <c r="D4181" i="2"/>
  <c r="D4180" i="2"/>
  <c r="D4179" i="2"/>
  <c r="D4178" i="2"/>
  <c r="D4177" i="2"/>
  <c r="D4176" i="2"/>
  <c r="D4175" i="2"/>
  <c r="D4174" i="2"/>
  <c r="D4173" i="2"/>
  <c r="D4172" i="2"/>
  <c r="D4171" i="2"/>
  <c r="D4170" i="2"/>
  <c r="D4169" i="2"/>
  <c r="D4168" i="2"/>
  <c r="D4167" i="2"/>
  <c r="D4166" i="2"/>
  <c r="D4165" i="2"/>
  <c r="D4164" i="2"/>
  <c r="D4163" i="2"/>
  <c r="D4162" i="2"/>
  <c r="D4161" i="2"/>
  <c r="D4160" i="2"/>
  <c r="D4159" i="2"/>
  <c r="D4158" i="2"/>
  <c r="D4157" i="2"/>
  <c r="D4156" i="2"/>
  <c r="D4155" i="2"/>
  <c r="D4154" i="2"/>
  <c r="D4153" i="2"/>
  <c r="D4152" i="2"/>
  <c r="D4151" i="2"/>
  <c r="D4150" i="2"/>
  <c r="D4149" i="2"/>
  <c r="D4148" i="2"/>
  <c r="D4147" i="2"/>
  <c r="D4146" i="2"/>
  <c r="D4145" i="2"/>
  <c r="D4144" i="2"/>
  <c r="D4143" i="2"/>
  <c r="D4142" i="2"/>
  <c r="D4141" i="2"/>
  <c r="D4140" i="2"/>
  <c r="D4139" i="2"/>
  <c r="D4138" i="2"/>
  <c r="D4137" i="2"/>
  <c r="D4136" i="2"/>
  <c r="D4135" i="2"/>
  <c r="D4134" i="2"/>
  <c r="D4133" i="2"/>
  <c r="D4132" i="2"/>
  <c r="D4131" i="2"/>
  <c r="D4130" i="2"/>
  <c r="D4129" i="2"/>
  <c r="D4128" i="2"/>
  <c r="D4127" i="2"/>
  <c r="D4126" i="2"/>
  <c r="D4125" i="2"/>
  <c r="D4124" i="2"/>
  <c r="D4123" i="2"/>
  <c r="D4122" i="2"/>
  <c r="D4121" i="2"/>
  <c r="D4120" i="2"/>
  <c r="D4119" i="2"/>
  <c r="D4118" i="2"/>
  <c r="D4117" i="2"/>
  <c r="D4116" i="2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E105" i="1"/>
  <c r="D105" i="1"/>
  <c r="E104" i="1"/>
  <c r="D104" i="1"/>
  <c r="E103" i="1"/>
  <c r="D103" i="1"/>
  <c r="E102" i="1"/>
  <c r="D102" i="1"/>
  <c r="E101" i="1"/>
  <c r="D101" i="1"/>
  <c r="E100" i="1"/>
  <c r="D100" i="1"/>
  <c r="E99" i="1"/>
  <c r="D99" i="1"/>
  <c r="E98" i="1"/>
  <c r="D98" i="1"/>
  <c r="E97" i="1"/>
  <c r="D97" i="1"/>
  <c r="E96" i="1"/>
  <c r="D96" i="1"/>
  <c r="E95" i="1"/>
  <c r="D95" i="1"/>
  <c r="E94" i="1"/>
  <c r="D94" i="1"/>
  <c r="E93" i="1"/>
  <c r="D93" i="1"/>
  <c r="E92" i="1"/>
  <c r="D92" i="1"/>
  <c r="E91" i="1"/>
  <c r="D91" i="1"/>
  <c r="E90" i="1"/>
  <c r="D90" i="1"/>
  <c r="E89" i="1"/>
  <c r="D89" i="1"/>
  <c r="E88" i="1"/>
  <c r="D88" i="1"/>
  <c r="E87" i="1"/>
  <c r="D87" i="1"/>
  <c r="E86" i="1"/>
  <c r="D86" i="1"/>
  <c r="E85" i="1"/>
  <c r="D85" i="1"/>
  <c r="E84" i="1"/>
  <c r="D84" i="1"/>
  <c r="E83" i="1"/>
  <c r="D83" i="1"/>
  <c r="E82" i="1"/>
  <c r="D82" i="1"/>
  <c r="E81" i="1"/>
  <c r="D81" i="1"/>
  <c r="E80" i="1"/>
  <c r="D80" i="1"/>
  <c r="E79" i="1"/>
  <c r="D79" i="1"/>
  <c r="E78" i="1"/>
  <c r="D78" i="1"/>
  <c r="E77" i="1"/>
  <c r="D77" i="1"/>
  <c r="E76" i="1"/>
  <c r="D76" i="1"/>
  <c r="E75" i="1"/>
  <c r="D75" i="1"/>
  <c r="E74" i="1"/>
  <c r="D74" i="1"/>
  <c r="E73" i="1"/>
  <c r="D73" i="1"/>
  <c r="E72" i="1"/>
  <c r="D72" i="1"/>
  <c r="E71" i="1"/>
  <c r="D71" i="1"/>
  <c r="E70" i="1"/>
  <c r="D70" i="1"/>
  <c r="E69" i="1"/>
  <c r="D69" i="1"/>
  <c r="E68" i="1"/>
  <c r="D68" i="1"/>
  <c r="E67" i="1"/>
  <c r="D67" i="1"/>
  <c r="E66" i="1"/>
  <c r="D66" i="1"/>
  <c r="E65" i="1"/>
  <c r="D65" i="1"/>
  <c r="E64" i="1"/>
  <c r="D64" i="1"/>
  <c r="E63" i="1"/>
  <c r="D63" i="1"/>
  <c r="E62" i="1"/>
  <c r="D62" i="1"/>
  <c r="E61" i="1"/>
  <c r="D61" i="1"/>
  <c r="E60" i="1"/>
  <c r="D60" i="1"/>
  <c r="E59" i="1"/>
  <c r="D59" i="1"/>
  <c r="E58" i="1"/>
  <c r="D58" i="1"/>
  <c r="E57" i="1"/>
  <c r="D57" i="1"/>
  <c r="E56" i="1"/>
  <c r="D56" i="1"/>
  <c r="E55" i="1"/>
  <c r="D55" i="1"/>
  <c r="E54" i="1"/>
  <c r="D54" i="1"/>
  <c r="E53" i="1"/>
  <c r="D53" i="1"/>
  <c r="E52" i="1"/>
  <c r="D52" i="1"/>
  <c r="E51" i="1"/>
  <c r="D51" i="1"/>
  <c r="E50" i="1"/>
  <c r="D50" i="1"/>
  <c r="E49" i="1"/>
  <c r="D49" i="1"/>
  <c r="E48" i="1"/>
  <c r="D48" i="1"/>
  <c r="E47" i="1"/>
  <c r="D47" i="1"/>
  <c r="E46" i="1"/>
  <c r="D46" i="1"/>
  <c r="E45" i="1"/>
  <c r="D45" i="1"/>
  <c r="E44" i="1"/>
  <c r="D44" i="1"/>
  <c r="E43" i="1"/>
  <c r="D43" i="1"/>
  <c r="E42" i="1"/>
  <c r="D42" i="1"/>
  <c r="E41" i="1"/>
  <c r="D41" i="1"/>
  <c r="E40" i="1"/>
  <c r="D40" i="1"/>
  <c r="E39" i="1"/>
  <c r="D39" i="1"/>
  <c r="E38" i="1"/>
  <c r="D38" i="1"/>
  <c r="E37" i="1"/>
  <c r="D37" i="1"/>
  <c r="E36" i="1"/>
  <c r="D36" i="1"/>
  <c r="E35" i="1"/>
  <c r="D35" i="1"/>
  <c r="E34" i="1"/>
  <c r="D34" i="1"/>
  <c r="E33" i="1"/>
  <c r="D33" i="1"/>
  <c r="E32" i="1"/>
  <c r="D32" i="1"/>
  <c r="E31" i="1"/>
  <c r="D31" i="1"/>
  <c r="E30" i="1"/>
  <c r="D30" i="1"/>
  <c r="E29" i="1"/>
  <c r="D29" i="1"/>
  <c r="E28" i="1"/>
  <c r="D28" i="1"/>
  <c r="E27" i="1"/>
  <c r="D27" i="1"/>
  <c r="E26" i="1"/>
  <c r="D26" i="1"/>
  <c r="E25" i="1"/>
  <c r="D25" i="1"/>
  <c r="E24" i="1"/>
  <c r="D24" i="1"/>
  <c r="E23" i="1"/>
  <c r="D23" i="1"/>
  <c r="E22" i="1"/>
  <c r="D22" i="1"/>
  <c r="E21" i="1"/>
  <c r="D21" i="1"/>
  <c r="E20" i="1"/>
  <c r="D20" i="1"/>
  <c r="E19" i="1"/>
  <c r="D19" i="1"/>
  <c r="E18" i="1"/>
  <c r="D18" i="1"/>
  <c r="E17" i="1"/>
  <c r="D17" i="1"/>
  <c r="E16" i="1"/>
  <c r="D16" i="1"/>
  <c r="K15" i="1"/>
  <c r="J15" i="1"/>
  <c r="I15" i="1"/>
  <c r="H15" i="1"/>
  <c r="G15" i="1"/>
  <c r="F15" i="1"/>
  <c r="E15" i="1"/>
  <c r="D15" i="1"/>
  <c r="C15" i="1"/>
  <c r="K14" i="1"/>
  <c r="J14" i="1"/>
  <c r="I14" i="1"/>
  <c r="H14" i="1"/>
  <c r="G14" i="1"/>
  <c r="F14" i="1"/>
  <c r="E14" i="1"/>
  <c r="D14" i="1"/>
  <c r="C14" i="1"/>
  <c r="K13" i="1"/>
  <c r="J13" i="1"/>
  <c r="I13" i="1"/>
  <c r="H13" i="1"/>
  <c r="G13" i="1"/>
  <c r="F13" i="1"/>
  <c r="E13" i="1"/>
  <c r="D13" i="1"/>
  <c r="C13" i="1"/>
  <c r="K12" i="1"/>
  <c r="J12" i="1"/>
  <c r="I12" i="1"/>
  <c r="H12" i="1"/>
  <c r="G12" i="1"/>
  <c r="F12" i="1"/>
  <c r="E12" i="1"/>
  <c r="D12" i="1"/>
  <c r="C12" i="1"/>
  <c r="K11" i="1"/>
  <c r="J11" i="1"/>
  <c r="I11" i="1"/>
  <c r="H11" i="1"/>
  <c r="G11" i="1"/>
  <c r="F11" i="1"/>
  <c r="E11" i="1"/>
  <c r="D11" i="1"/>
  <c r="C11" i="1"/>
  <c r="K10" i="1"/>
  <c r="J10" i="1"/>
  <c r="I10" i="1"/>
  <c r="H10" i="1"/>
  <c r="G10" i="1"/>
  <c r="F10" i="1"/>
  <c r="E10" i="1"/>
  <c r="D10" i="1"/>
  <c r="C10" i="1"/>
  <c r="K9" i="1"/>
  <c r="J9" i="1"/>
  <c r="I9" i="1"/>
  <c r="H9" i="1"/>
  <c r="G9" i="1"/>
  <c r="F9" i="1"/>
  <c r="E9" i="1"/>
  <c r="D9" i="1"/>
  <c r="C9" i="1"/>
  <c r="K8" i="1"/>
  <c r="J8" i="1"/>
  <c r="I8" i="1"/>
  <c r="H8" i="1"/>
  <c r="G8" i="1"/>
  <c r="F8" i="1"/>
  <c r="E8" i="1"/>
  <c r="D8" i="1"/>
  <c r="C8" i="1"/>
  <c r="K7" i="1"/>
  <c r="J7" i="1"/>
  <c r="N7" i="1" s="1"/>
  <c r="I7" i="1"/>
  <c r="H7" i="1"/>
  <c r="G7" i="1"/>
  <c r="F7" i="1"/>
  <c r="E7" i="1"/>
  <c r="D7" i="1"/>
  <c r="C7" i="1"/>
  <c r="K6" i="1"/>
  <c r="J6" i="1"/>
  <c r="N6" i="1" s="1"/>
  <c r="C5545" i="2" s="1"/>
  <c r="I6" i="1"/>
  <c r="H6" i="1"/>
  <c r="G6" i="1"/>
  <c r="F6" i="1"/>
  <c r="E6" i="1"/>
  <c r="B577" i="3" s="1" a="1"/>
  <c r="B577" i="3" s="1"/>
  <c r="D6" i="1"/>
  <c r="C6" i="1"/>
  <c r="L5" i="1"/>
  <c r="K5" i="1"/>
  <c r="J5" i="1"/>
  <c r="I5" i="1"/>
  <c r="H5" i="1"/>
  <c r="G5" i="1"/>
  <c r="F5" i="1"/>
  <c r="E5" i="1"/>
  <c r="D5" i="1"/>
  <c r="C5" i="1"/>
  <c r="B5" i="1"/>
  <c r="D216" i="3" l="1"/>
  <c r="D17" i="3"/>
  <c r="D251" i="3"/>
  <c r="D142" i="3"/>
  <c r="D211" i="3"/>
  <c r="M3" i="4"/>
  <c r="O3" i="4" s="1"/>
  <c r="D5" i="4"/>
  <c r="M5" i="4"/>
  <c r="D4" i="4"/>
  <c r="M4" i="4"/>
  <c r="D196" i="3"/>
  <c r="D185" i="3"/>
  <c r="D161" i="3"/>
  <c r="D6" i="4"/>
  <c r="D134" i="3"/>
  <c r="D138" i="3"/>
  <c r="D115" i="3"/>
  <c r="D49" i="3"/>
  <c r="D284" i="3"/>
  <c r="D272" i="3"/>
  <c r="D259" i="3"/>
  <c r="D248" i="3"/>
  <c r="D204" i="3"/>
  <c r="D41" i="3"/>
  <c r="D40" i="3"/>
  <c r="D154" i="3"/>
  <c r="C134" i="3" a="1"/>
  <c r="C134" i="3" s="1"/>
  <c r="G134" i="3" s="1"/>
  <c r="D207" i="3"/>
  <c r="D121" i="3"/>
  <c r="D111" i="3"/>
  <c r="D52" i="3"/>
  <c r="D280" i="3"/>
  <c r="D77" i="3"/>
  <c r="D39" i="3"/>
  <c r="D267" i="3"/>
  <c r="D145" i="3"/>
  <c r="C239" i="3" a="1"/>
  <c r="C239" i="3" s="1"/>
  <c r="D240" i="3"/>
  <c r="D5" i="3"/>
  <c r="C5" i="3" a="1"/>
  <c r="C5" i="3" s="1"/>
  <c r="D71" i="3"/>
  <c r="C223" i="3" a="1"/>
  <c r="C223" i="3" s="1"/>
  <c r="G223" i="3" s="1"/>
  <c r="D223" i="3"/>
  <c r="D150" i="3"/>
  <c r="D233" i="3"/>
  <c r="C233" i="3" a="1"/>
  <c r="C233" i="3" s="1"/>
  <c r="C149" i="3" a="1"/>
  <c r="C149" i="3" s="1"/>
  <c r="G149" i="3" s="1"/>
  <c r="D149" i="3"/>
  <c r="C221" i="3" a="1"/>
  <c r="C221" i="3" s="1"/>
  <c r="G221" i="3" s="1"/>
  <c r="D221" i="3"/>
  <c r="D93" i="3"/>
  <c r="C93" i="3" a="1"/>
  <c r="C93" i="3" s="1"/>
  <c r="G93" i="3" s="1"/>
  <c r="D291" i="3"/>
  <c r="D126" i="3"/>
  <c r="C49" i="3" a="1"/>
  <c r="C49" i="3" s="1"/>
  <c r="D85" i="3"/>
  <c r="D220" i="3"/>
  <c r="D132" i="3"/>
  <c r="D33" i="3"/>
  <c r="D131" i="3"/>
  <c r="D122" i="3"/>
  <c r="D268" i="3"/>
  <c r="D219" i="3"/>
  <c r="D119" i="3"/>
  <c r="D6" i="3"/>
  <c r="G301" i="3"/>
  <c r="G291" i="3"/>
  <c r="G283" i="3"/>
  <c r="D273" i="3"/>
  <c r="C273" i="3" a="1"/>
  <c r="C273" i="3" s="1"/>
  <c r="C265" i="3" a="1"/>
  <c r="C265" i="3" s="1"/>
  <c r="D265" i="3"/>
  <c r="G306" i="3"/>
  <c r="C325" i="3" a="1"/>
  <c r="C325" i="3" s="1"/>
  <c r="D325" i="3"/>
  <c r="C311" i="3" a="1"/>
  <c r="C311" i="3" s="1"/>
  <c r="D311" i="3"/>
  <c r="C322" i="3" a="1"/>
  <c r="C322" i="3" s="1"/>
  <c r="D322" i="3"/>
  <c r="C300" i="3" a="1"/>
  <c r="C300" i="3" s="1"/>
  <c r="D300" i="3"/>
  <c r="C321" i="3" a="1"/>
  <c r="C321" i="3" s="1"/>
  <c r="D321" i="3"/>
  <c r="G299" i="3"/>
  <c r="C282" i="3" a="1"/>
  <c r="C282" i="3" s="1"/>
  <c r="D282" i="3"/>
  <c r="C257" i="3" a="1"/>
  <c r="C257" i="3" s="1"/>
  <c r="D257" i="3"/>
  <c r="D297" i="3"/>
  <c r="C297" i="3" a="1"/>
  <c r="C297" i="3" s="1"/>
  <c r="C323" i="3" a="1"/>
  <c r="C323" i="3" s="1"/>
  <c r="D323" i="3"/>
  <c r="C320" i="3" a="1"/>
  <c r="C320" i="3" s="1"/>
  <c r="D320" i="3"/>
  <c r="C309" i="3" a="1"/>
  <c r="C309" i="3" s="1"/>
  <c r="D309" i="3"/>
  <c r="D310" i="3"/>
  <c r="D281" i="3"/>
  <c r="C281" i="3" a="1"/>
  <c r="C281" i="3" s="1"/>
  <c r="G310" i="3"/>
  <c r="C331" i="3" a="1"/>
  <c r="C331" i="3" s="1"/>
  <c r="D331" i="3"/>
  <c r="C319" i="3" a="1"/>
  <c r="C319" i="3" s="1"/>
  <c r="D319" i="3"/>
  <c r="C308" i="3" a="1"/>
  <c r="C308" i="3" s="1"/>
  <c r="D308" i="3"/>
  <c r="D289" i="3"/>
  <c r="C289" i="3" a="1"/>
  <c r="C289" i="3" s="1"/>
  <c r="C329" i="3" a="1"/>
  <c r="C329" i="3" s="1"/>
  <c r="D329" i="3"/>
  <c r="C330" i="3" a="1"/>
  <c r="C330" i="3" s="1"/>
  <c r="D330" i="3"/>
  <c r="C318" i="3" a="1"/>
  <c r="C318" i="3" s="1"/>
  <c r="D318" i="3"/>
  <c r="C307" i="3" a="1"/>
  <c r="C307" i="3" s="1"/>
  <c r="D307" i="3"/>
  <c r="C288" i="3" a="1"/>
  <c r="C288" i="3" s="1"/>
  <c r="D288" i="3"/>
  <c r="G271" i="3"/>
  <c r="G287" i="3"/>
  <c r="G270" i="3"/>
  <c r="G286" i="3"/>
  <c r="C278" i="3" a="1"/>
  <c r="C278" i="3" s="1"/>
  <c r="D278" i="3"/>
  <c r="G295" i="3"/>
  <c r="G277" i="3"/>
  <c r="G261" i="3"/>
  <c r="G279" i="3"/>
  <c r="C328" i="3" a="1"/>
  <c r="C328" i="3" s="1"/>
  <c r="D328" i="3"/>
  <c r="C316" i="3" a="1"/>
  <c r="C316" i="3" s="1"/>
  <c r="D316" i="3"/>
  <c r="C296" i="3" a="1"/>
  <c r="C296" i="3" s="1"/>
  <c r="D296" i="3"/>
  <c r="C327" i="3" a="1"/>
  <c r="C327" i="3" s="1"/>
  <c r="D327" i="3"/>
  <c r="C315" i="3" a="1"/>
  <c r="C315" i="3" s="1"/>
  <c r="D315" i="3"/>
  <c r="C305" i="3" a="1"/>
  <c r="C305" i="3" s="1"/>
  <c r="D305" i="3"/>
  <c r="D306" i="3"/>
  <c r="C326" i="3" a="1"/>
  <c r="C326" i="3" s="1"/>
  <c r="D326" i="3"/>
  <c r="C314" i="3" a="1"/>
  <c r="C314" i="3" s="1"/>
  <c r="D314" i="3"/>
  <c r="C304" i="3" a="1"/>
  <c r="C304" i="3" s="1"/>
  <c r="D304" i="3"/>
  <c r="D294" i="3"/>
  <c r="C294" i="3" a="1"/>
  <c r="C294" i="3" s="1"/>
  <c r="G285" i="3"/>
  <c r="G253" i="3"/>
  <c r="G303" i="3"/>
  <c r="G293" i="3"/>
  <c r="C276" i="3" a="1"/>
  <c r="C276" i="3" s="1"/>
  <c r="D276" i="3"/>
  <c r="C317" i="3" a="1"/>
  <c r="C317" i="3" s="1"/>
  <c r="D317" i="3"/>
  <c r="C313" i="3" a="1"/>
  <c r="C313" i="3" s="1"/>
  <c r="D313" i="3"/>
  <c r="C324" i="3" a="1"/>
  <c r="C324" i="3" s="1"/>
  <c r="D324" i="3"/>
  <c r="C312" i="3" a="1"/>
  <c r="C312" i="3" s="1"/>
  <c r="D312" i="3"/>
  <c r="C302" i="3" a="1"/>
  <c r="C302" i="3" s="1"/>
  <c r="D302" i="3"/>
  <c r="C292" i="3" a="1"/>
  <c r="C292" i="3" s="1"/>
  <c r="D292" i="3"/>
  <c r="G275" i="3"/>
  <c r="C272" i="3" a="1"/>
  <c r="C272" i="3" s="1"/>
  <c r="D263" i="3"/>
  <c r="C263" i="3" a="1"/>
  <c r="C263" i="3" s="1"/>
  <c r="G228" i="3"/>
  <c r="G222" i="3"/>
  <c r="G210" i="3"/>
  <c r="D295" i="3"/>
  <c r="D290" i="3"/>
  <c r="D275" i="3"/>
  <c r="D274" i="3"/>
  <c r="D246" i="3"/>
  <c r="C246" i="3" a="1"/>
  <c r="C246" i="3" s="1"/>
  <c r="C235" i="3" a="1"/>
  <c r="C235" i="3" s="1"/>
  <c r="D235" i="3"/>
  <c r="D236" i="3"/>
  <c r="D293" i="3"/>
  <c r="D286" i="3"/>
  <c r="C258" i="3" a="1"/>
  <c r="C258" i="3" s="1"/>
  <c r="D258" i="3"/>
  <c r="C251" i="3" a="1"/>
  <c r="C251" i="3" s="1"/>
  <c r="G248" i="3"/>
  <c r="D242" i="3"/>
  <c r="D243" i="3"/>
  <c r="C242" i="3" a="1"/>
  <c r="C242" i="3" s="1"/>
  <c r="D234" i="3"/>
  <c r="C234" i="3" a="1"/>
  <c r="C234" i="3" s="1"/>
  <c r="D283" i="3"/>
  <c r="C269" i="3" a="1"/>
  <c r="C269" i="3" s="1"/>
  <c r="D269" i="3"/>
  <c r="C227" i="3" a="1"/>
  <c r="C227" i="3" s="1"/>
  <c r="D227" i="3"/>
  <c r="D228" i="3"/>
  <c r="G217" i="3"/>
  <c r="D287" i="3"/>
  <c r="C284" i="3" a="1"/>
  <c r="C284" i="3" s="1"/>
  <c r="G262" i="3"/>
  <c r="C260" i="3" a="1"/>
  <c r="C260" i="3" s="1"/>
  <c r="D260" i="3"/>
  <c r="D255" i="3"/>
  <c r="C255" i="3" a="1"/>
  <c r="C255" i="3" s="1"/>
  <c r="C241" i="3" a="1"/>
  <c r="C241" i="3" s="1"/>
  <c r="D241" i="3"/>
  <c r="G226" i="3"/>
  <c r="D285" i="3"/>
  <c r="D277" i="3"/>
  <c r="D270" i="3"/>
  <c r="C267" i="3" a="1"/>
  <c r="C267" i="3" s="1"/>
  <c r="D262" i="3"/>
  <c r="C245" i="3" a="1"/>
  <c r="C245" i="3" s="1"/>
  <c r="D245" i="3"/>
  <c r="C280" i="3" a="1"/>
  <c r="C280" i="3" s="1"/>
  <c r="D279" i="3"/>
  <c r="C250" i="3" a="1"/>
  <c r="C250" i="3" s="1"/>
  <c r="D250" i="3"/>
  <c r="G240" i="3"/>
  <c r="G232" i="3"/>
  <c r="G225" i="3"/>
  <c r="G206" i="3"/>
  <c r="C264" i="3" a="1"/>
  <c r="C264" i="3" s="1"/>
  <c r="D264" i="3"/>
  <c r="G239" i="3"/>
  <c r="G224" i="3"/>
  <c r="G220" i="3"/>
  <c r="C214" i="3" a="1"/>
  <c r="C214" i="3" s="1"/>
  <c r="D214" i="3"/>
  <c r="G205" i="3"/>
  <c r="G254" i="3"/>
  <c r="C252" i="3" a="1"/>
  <c r="C252" i="3" s="1"/>
  <c r="D252" i="3"/>
  <c r="C231" i="3" a="1"/>
  <c r="C231" i="3" s="1"/>
  <c r="D231" i="3"/>
  <c r="D232" i="3"/>
  <c r="D299" i="3"/>
  <c r="D254" i="3"/>
  <c r="D247" i="3"/>
  <c r="C244" i="3" a="1"/>
  <c r="C244" i="3" s="1"/>
  <c r="D244" i="3"/>
  <c r="D238" i="3"/>
  <c r="D239" i="3"/>
  <c r="C238" i="3" a="1"/>
  <c r="C238" i="3" s="1"/>
  <c r="C230" i="3" a="1"/>
  <c r="C230" i="3" s="1"/>
  <c r="D230" i="3"/>
  <c r="D303" i="3"/>
  <c r="D298" i="3"/>
  <c r="D271" i="3"/>
  <c r="C268" i="3" a="1"/>
  <c r="C268" i="3" s="1"/>
  <c r="C266" i="3" a="1"/>
  <c r="C266" i="3" s="1"/>
  <c r="D266" i="3"/>
  <c r="C259" i="3" a="1"/>
  <c r="C259" i="3" s="1"/>
  <c r="C249" i="3" a="1"/>
  <c r="C249" i="3" s="1"/>
  <c r="D249" i="3"/>
  <c r="C237" i="3" a="1"/>
  <c r="C237" i="3" s="1"/>
  <c r="D237" i="3"/>
  <c r="D301" i="3"/>
  <c r="C256" i="3" a="1"/>
  <c r="C256" i="3" s="1"/>
  <c r="D256" i="3"/>
  <c r="G236" i="3"/>
  <c r="G219" i="3"/>
  <c r="G233" i="3"/>
  <c r="C213" i="3" a="1"/>
  <c r="C213" i="3" s="1"/>
  <c r="D213" i="3"/>
  <c r="C202" i="3" a="1"/>
  <c r="C202" i="3" s="1"/>
  <c r="D202" i="3"/>
  <c r="C197" i="3" a="1"/>
  <c r="C197" i="3" s="1"/>
  <c r="D197" i="3"/>
  <c r="D226" i="3"/>
  <c r="D225" i="3"/>
  <c r="G191" i="3"/>
  <c r="D224" i="3"/>
  <c r="D210" i="3"/>
  <c r="G196" i="3"/>
  <c r="G186" i="3"/>
  <c r="C204" i="3" a="1"/>
  <c r="C204" i="3" s="1"/>
  <c r="C201" i="3" a="1"/>
  <c r="C201" i="3" s="1"/>
  <c r="D201" i="3"/>
  <c r="C169" i="3" a="1"/>
  <c r="C169" i="3" s="1"/>
  <c r="D169" i="3"/>
  <c r="D229" i="3"/>
  <c r="C208" i="3" a="1"/>
  <c r="C208" i="3" s="1"/>
  <c r="D208" i="3"/>
  <c r="D206" i="3"/>
  <c r="D190" i="3"/>
  <c r="C190" i="3" a="1"/>
  <c r="C190" i="3" s="1"/>
  <c r="D191" i="3"/>
  <c r="D215" i="3"/>
  <c r="C211" i="3" a="1"/>
  <c r="C211" i="3" s="1"/>
  <c r="G200" i="3"/>
  <c r="D222" i="3"/>
  <c r="G189" i="3"/>
  <c r="G184" i="3"/>
  <c r="D261" i="3"/>
  <c r="D253" i="3"/>
  <c r="C203" i="3" a="1"/>
  <c r="C203" i="3" s="1"/>
  <c r="D203" i="3"/>
  <c r="C183" i="3" a="1"/>
  <c r="C183" i="3" s="1"/>
  <c r="D183" i="3"/>
  <c r="D217" i="3"/>
  <c r="C216" i="3" a="1"/>
  <c r="C216" i="3" s="1"/>
  <c r="C209" i="3" a="1"/>
  <c r="C209" i="3" s="1"/>
  <c r="D209" i="3"/>
  <c r="C199" i="3" a="1"/>
  <c r="C199" i="3" s="1"/>
  <c r="D199" i="3"/>
  <c r="C194" i="3" a="1"/>
  <c r="C194" i="3" s="1"/>
  <c r="D194" i="3"/>
  <c r="D195" i="3"/>
  <c r="G182" i="3"/>
  <c r="C212" i="3" a="1"/>
  <c r="C212" i="3" s="1"/>
  <c r="D212" i="3"/>
  <c r="C207" i="3" a="1"/>
  <c r="C207" i="3" s="1"/>
  <c r="D205" i="3"/>
  <c r="D198" i="3"/>
  <c r="C198" i="3" a="1"/>
  <c r="C198" i="3" s="1"/>
  <c r="C193" i="3" a="1"/>
  <c r="C193" i="3" s="1"/>
  <c r="D193" i="3"/>
  <c r="C218" i="3" a="1"/>
  <c r="C218" i="3" s="1"/>
  <c r="D218" i="3"/>
  <c r="C192" i="3" a="1"/>
  <c r="C192" i="3" s="1"/>
  <c r="D192" i="3"/>
  <c r="D180" i="3"/>
  <c r="C180" i="3" a="1"/>
  <c r="C180" i="3" s="1"/>
  <c r="D181" i="3"/>
  <c r="C156" i="3" a="1"/>
  <c r="C156" i="3" s="1"/>
  <c r="D156" i="3"/>
  <c r="G127" i="3"/>
  <c r="C181" i="3" a="1"/>
  <c r="C181" i="3" s="1"/>
  <c r="D178" i="3"/>
  <c r="C178" i="3" a="1"/>
  <c r="C178" i="3" s="1"/>
  <c r="D176" i="3"/>
  <c r="C176" i="3" a="1"/>
  <c r="C176" i="3" s="1"/>
  <c r="C171" i="3" a="1"/>
  <c r="C171" i="3" s="1"/>
  <c r="D171" i="3"/>
  <c r="G168" i="3"/>
  <c r="C161" i="3" a="1"/>
  <c r="C161" i="3" s="1"/>
  <c r="G155" i="3"/>
  <c r="C195" i="3" a="1"/>
  <c r="C195" i="3" s="1"/>
  <c r="D182" i="3"/>
  <c r="G140" i="3"/>
  <c r="D189" i="3"/>
  <c r="C185" i="3" a="1"/>
  <c r="C185" i="3" s="1"/>
  <c r="G160" i="3"/>
  <c r="D179" i="3"/>
  <c r="G148" i="3"/>
  <c r="G175" i="3"/>
  <c r="C173" i="3" a="1"/>
  <c r="C173" i="3" s="1"/>
  <c r="D173" i="3"/>
  <c r="D170" i="3"/>
  <c r="C170" i="3" a="1"/>
  <c r="C170" i="3" s="1"/>
  <c r="C164" i="3" a="1"/>
  <c r="C164" i="3" s="1"/>
  <c r="D164" i="3"/>
  <c r="D165" i="3"/>
  <c r="G153" i="3"/>
  <c r="D186" i="3"/>
  <c r="D175" i="3"/>
  <c r="C177" i="3" a="1"/>
  <c r="C177" i="3" s="1"/>
  <c r="D177" i="3"/>
  <c r="G152" i="3"/>
  <c r="G158" i="3"/>
  <c r="G188" i="3"/>
  <c r="G174" i="3"/>
  <c r="C172" i="3" a="1"/>
  <c r="C172" i="3" s="1"/>
  <c r="D172" i="3"/>
  <c r="C151" i="3" a="1"/>
  <c r="C151" i="3" s="1"/>
  <c r="D151" i="3"/>
  <c r="D200" i="3"/>
  <c r="C187" i="3" a="1"/>
  <c r="C187" i="3" s="1"/>
  <c r="D187" i="3"/>
  <c r="D162" i="3"/>
  <c r="C162" i="3" a="1"/>
  <c r="C162" i="3" s="1"/>
  <c r="C157" i="3" a="1"/>
  <c r="C157" i="3" s="1"/>
  <c r="D157" i="3"/>
  <c r="D158" i="3"/>
  <c r="D188" i="3"/>
  <c r="D184" i="3"/>
  <c r="D174" i="3"/>
  <c r="D166" i="3"/>
  <c r="G165" i="3"/>
  <c r="D159" i="3"/>
  <c r="G111" i="3"/>
  <c r="D160" i="3"/>
  <c r="D147" i="3"/>
  <c r="D144" i="3"/>
  <c r="C144" i="3" a="1"/>
  <c r="C144" i="3" s="1"/>
  <c r="G136" i="3"/>
  <c r="C131" i="3" a="1"/>
  <c r="C131" i="3" s="1"/>
  <c r="C142" i="3" a="1"/>
  <c r="C142" i="3" s="1"/>
  <c r="C138" i="3" a="1"/>
  <c r="C138" i="3" s="1"/>
  <c r="D148" i="3"/>
  <c r="D140" i="3"/>
  <c r="D124" i="3"/>
  <c r="C124" i="3" a="1"/>
  <c r="C124" i="3" s="1"/>
  <c r="C116" i="3" a="1"/>
  <c r="C116" i="3" s="1"/>
  <c r="D116" i="3"/>
  <c r="D163" i="3"/>
  <c r="C129" i="3" a="1"/>
  <c r="C129" i="3" s="1"/>
  <c r="D129" i="3"/>
  <c r="D130" i="3"/>
  <c r="C123" i="3" a="1"/>
  <c r="C123" i="3" s="1"/>
  <c r="D123" i="3"/>
  <c r="C145" i="3" a="1"/>
  <c r="C145" i="3" s="1"/>
  <c r="C133" i="3" a="1"/>
  <c r="C133" i="3" s="1"/>
  <c r="D133" i="3"/>
  <c r="D155" i="3"/>
  <c r="C135" i="3" a="1"/>
  <c r="C135" i="3" s="1"/>
  <c r="D135" i="3"/>
  <c r="C154" i="3" a="1"/>
  <c r="C154" i="3" s="1"/>
  <c r="D153" i="3"/>
  <c r="D152" i="3"/>
  <c r="D146" i="3"/>
  <c r="D143" i="3"/>
  <c r="C143" i="3" a="1"/>
  <c r="C143" i="3" s="1"/>
  <c r="C139" i="3" a="1"/>
  <c r="C139" i="3" s="1"/>
  <c r="D139" i="3"/>
  <c r="G120" i="3"/>
  <c r="D167" i="3"/>
  <c r="D141" i="3"/>
  <c r="C137" i="3" a="1"/>
  <c r="C137" i="3" s="1"/>
  <c r="D137" i="3"/>
  <c r="D112" i="3"/>
  <c r="C112" i="3" a="1"/>
  <c r="C112" i="3" s="1"/>
  <c r="D168" i="3"/>
  <c r="C167" i="3" a="1"/>
  <c r="C167" i="3" s="1"/>
  <c r="G147" i="3"/>
  <c r="C146" i="3" a="1"/>
  <c r="C146" i="3" s="1"/>
  <c r="C132" i="3" a="1"/>
  <c r="C132" i="3" s="1"/>
  <c r="D127" i="3"/>
  <c r="G119" i="3"/>
  <c r="C102" i="3" a="1"/>
  <c r="C102" i="3" s="1"/>
  <c r="D102" i="3"/>
  <c r="C101" i="3" a="1"/>
  <c r="C101" i="3" s="1"/>
  <c r="D101" i="3"/>
  <c r="C121" i="3" a="1"/>
  <c r="C121" i="3" s="1"/>
  <c r="C114" i="3" a="1"/>
  <c r="C114" i="3" s="1"/>
  <c r="D114" i="3"/>
  <c r="C100" i="3" a="1"/>
  <c r="C100" i="3" s="1"/>
  <c r="D100" i="3"/>
  <c r="C108" i="3" a="1"/>
  <c r="C108" i="3" s="1"/>
  <c r="D108" i="3"/>
  <c r="C99" i="3" a="1"/>
  <c r="C99" i="3" s="1"/>
  <c r="D99" i="3"/>
  <c r="C141" i="3" a="1"/>
  <c r="C141" i="3" s="1"/>
  <c r="D98" i="3"/>
  <c r="C98" i="3" a="1"/>
  <c r="C98" i="3" s="1"/>
  <c r="G91" i="3"/>
  <c r="C107" i="3" a="1"/>
  <c r="C107" i="3" s="1"/>
  <c r="D107" i="3"/>
  <c r="C97" i="3" a="1"/>
  <c r="C97" i="3" s="1"/>
  <c r="D97" i="3"/>
  <c r="C130" i="3" a="1"/>
  <c r="C130" i="3" s="1"/>
  <c r="G117" i="3"/>
  <c r="C69" i="3" a="1"/>
  <c r="C69" i="3" s="1"/>
  <c r="D69" i="3"/>
  <c r="D70" i="3"/>
  <c r="D117" i="3"/>
  <c r="D113" i="3"/>
  <c r="C113" i="3" a="1"/>
  <c r="C113" i="3" s="1"/>
  <c r="D90" i="3"/>
  <c r="C90" i="3" a="1"/>
  <c r="C90" i="3" s="1"/>
  <c r="D136" i="3"/>
  <c r="C122" i="3" a="1"/>
  <c r="C122" i="3" s="1"/>
  <c r="C115" i="3" a="1"/>
  <c r="C115" i="3" s="1"/>
  <c r="C105" i="3" a="1"/>
  <c r="C105" i="3" s="1"/>
  <c r="D105" i="3"/>
  <c r="G118" i="3"/>
  <c r="G104" i="3"/>
  <c r="G95" i="3"/>
  <c r="D120" i="3"/>
  <c r="G103" i="3"/>
  <c r="D128" i="3"/>
  <c r="C128" i="3" a="1"/>
  <c r="C128" i="3" s="1"/>
  <c r="C125" i="3" a="1"/>
  <c r="C125" i="3" s="1"/>
  <c r="D125" i="3"/>
  <c r="G88" i="3"/>
  <c r="G89" i="3"/>
  <c r="G74" i="3"/>
  <c r="D58" i="3"/>
  <c r="C58" i="3" a="1"/>
  <c r="C58" i="3" s="1"/>
  <c r="D89" i="3"/>
  <c r="D82" i="3"/>
  <c r="C82" i="3" a="1"/>
  <c r="C82" i="3" s="1"/>
  <c r="D80" i="3"/>
  <c r="C80" i="3" a="1"/>
  <c r="C80" i="3" s="1"/>
  <c r="C64" i="3" a="1"/>
  <c r="C64" i="3" s="1"/>
  <c r="D64" i="3"/>
  <c r="D96" i="3"/>
  <c r="D91" i="3"/>
  <c r="C85" i="3" a="1"/>
  <c r="C85" i="3" s="1"/>
  <c r="C63" i="3" a="1"/>
  <c r="C63" i="3" s="1"/>
  <c r="D63" i="3"/>
  <c r="D95" i="3"/>
  <c r="D92" i="3"/>
  <c r="C92" i="3" a="1"/>
  <c r="C92" i="3" s="1"/>
  <c r="C77" i="3" a="1"/>
  <c r="C77" i="3" s="1"/>
  <c r="D94" i="3"/>
  <c r="C94" i="3" a="1"/>
  <c r="C94" i="3" s="1"/>
  <c r="C73" i="3" a="1"/>
  <c r="C73" i="3" s="1"/>
  <c r="D73" i="3"/>
  <c r="D106" i="3"/>
  <c r="C106" i="3" a="1"/>
  <c r="C106" i="3" s="1"/>
  <c r="D86" i="3"/>
  <c r="C86" i="3" a="1"/>
  <c r="C86" i="3" s="1"/>
  <c r="D76" i="3"/>
  <c r="C76" i="3" a="1"/>
  <c r="C76" i="3" s="1"/>
  <c r="D118" i="3"/>
  <c r="C83" i="3" a="1"/>
  <c r="C83" i="3" s="1"/>
  <c r="D83" i="3"/>
  <c r="D110" i="3"/>
  <c r="D104" i="3"/>
  <c r="C79" i="3" a="1"/>
  <c r="C79" i="3" s="1"/>
  <c r="D79" i="3"/>
  <c r="D87" i="3"/>
  <c r="D103" i="3"/>
  <c r="D78" i="3"/>
  <c r="C78" i="3" a="1"/>
  <c r="C78" i="3" s="1"/>
  <c r="C75" i="3" a="1"/>
  <c r="C75" i="3" s="1"/>
  <c r="D75" i="3"/>
  <c r="C71" i="3" a="1"/>
  <c r="C71" i="3" s="1"/>
  <c r="D109" i="3"/>
  <c r="D88" i="3"/>
  <c r="D84" i="3"/>
  <c r="C84" i="3" a="1"/>
  <c r="C84" i="3" s="1"/>
  <c r="D59" i="3"/>
  <c r="C59" i="3" a="1"/>
  <c r="C59" i="3" s="1"/>
  <c r="D72" i="3"/>
  <c r="D55" i="3"/>
  <c r="D56" i="3"/>
  <c r="C55" i="3" a="1"/>
  <c r="C55" i="3" s="1"/>
  <c r="D54" i="3"/>
  <c r="C54" i="3" a="1"/>
  <c r="C54" i="3" s="1"/>
  <c r="D53" i="3"/>
  <c r="C53" i="3" a="1"/>
  <c r="C53" i="3" s="1"/>
  <c r="G46" i="3"/>
  <c r="D57" i="3"/>
  <c r="C57" i="3" a="1"/>
  <c r="C57" i="3" s="1"/>
  <c r="G39" i="3"/>
  <c r="C66" i="3" a="1"/>
  <c r="C66" i="3" s="1"/>
  <c r="D67" i="3"/>
  <c r="D66" i="3"/>
  <c r="C68" i="3" a="1"/>
  <c r="C68" i="3" s="1"/>
  <c r="D68" i="3"/>
  <c r="D61" i="3"/>
  <c r="C61" i="3" a="1"/>
  <c r="C61" i="3" s="1"/>
  <c r="D65" i="3"/>
  <c r="G60" i="3"/>
  <c r="G30" i="3"/>
  <c r="G49" i="3"/>
  <c r="C42" i="3" a="1"/>
  <c r="C42" i="3" s="1"/>
  <c r="D42" i="3"/>
  <c r="G29" i="3"/>
  <c r="D74" i="3"/>
  <c r="D45" i="3"/>
  <c r="C45" i="3" a="1"/>
  <c r="C45" i="3" s="1"/>
  <c r="D60" i="3"/>
  <c r="C44" i="3" a="1"/>
  <c r="C44" i="3" s="1"/>
  <c r="D44" i="3"/>
  <c r="C72" i="3" a="1"/>
  <c r="C72" i="3" s="1"/>
  <c r="G37" i="3"/>
  <c r="D81" i="3"/>
  <c r="G50" i="3"/>
  <c r="G43" i="3"/>
  <c r="D47" i="3"/>
  <c r="C47" i="3" a="1"/>
  <c r="C47" i="3" s="1"/>
  <c r="D48" i="3"/>
  <c r="G27" i="3"/>
  <c r="C38" i="3" a="1"/>
  <c r="C38" i="3" s="1"/>
  <c r="D38" i="3"/>
  <c r="D46" i="3"/>
  <c r="C40" i="3" a="1"/>
  <c r="C40" i="3" s="1"/>
  <c r="D36" i="3"/>
  <c r="C36" i="3" a="1"/>
  <c r="C36" i="3" s="1"/>
  <c r="D37" i="3"/>
  <c r="C70" i="3" a="1"/>
  <c r="C70" i="3" s="1"/>
  <c r="D34" i="3"/>
  <c r="D26" i="3"/>
  <c r="C26" i="3" a="1"/>
  <c r="C26" i="3" s="1"/>
  <c r="D30" i="3"/>
  <c r="G25" i="3"/>
  <c r="C18" i="3" a="1"/>
  <c r="C18" i="3" s="1"/>
  <c r="D18" i="3"/>
  <c r="G33" i="3"/>
  <c r="C41" i="3" a="1"/>
  <c r="C41" i="3" s="1"/>
  <c r="G35" i="3"/>
  <c r="D50" i="3"/>
  <c r="C62" i="3" a="1"/>
  <c r="C62" i="3" s="1"/>
  <c r="D62" i="3"/>
  <c r="D51" i="3"/>
  <c r="C51" i="3" a="1"/>
  <c r="C51" i="3" s="1"/>
  <c r="G32" i="3"/>
  <c r="G5" i="3"/>
  <c r="D43" i="3"/>
  <c r="D32" i="3"/>
  <c r="D21" i="3"/>
  <c r="C21" i="3" a="1"/>
  <c r="C21" i="3" s="1"/>
  <c r="C14" i="3" a="1"/>
  <c r="C14" i="3" s="1"/>
  <c r="D14" i="3"/>
  <c r="C23" i="3" a="1"/>
  <c r="C23" i="3" s="1"/>
  <c r="D23" i="3"/>
  <c r="C13" i="3" a="1"/>
  <c r="C13" i="3" s="1"/>
  <c r="D13" i="3"/>
  <c r="G4" i="3"/>
  <c r="H4" i="3" s="1"/>
  <c r="D11" i="3"/>
  <c r="C11" i="3" a="1"/>
  <c r="C11" i="3" s="1"/>
  <c r="G10" i="3"/>
  <c r="G22" i="3"/>
  <c r="C24" i="3" a="1"/>
  <c r="C24" i="3" s="1"/>
  <c r="D24" i="3"/>
  <c r="D22" i="3"/>
  <c r="D19" i="3"/>
  <c r="C19" i="3" a="1"/>
  <c r="C19" i="3" s="1"/>
  <c r="D20" i="3"/>
  <c r="C31" i="3" a="1"/>
  <c r="C31" i="3" s="1"/>
  <c r="D31" i="3"/>
  <c r="C7" i="3" a="1"/>
  <c r="C7" i="3" s="1"/>
  <c r="D7" i="3"/>
  <c r="C28" i="3" a="1"/>
  <c r="C28" i="3" s="1"/>
  <c r="D28" i="3"/>
  <c r="D25" i="3"/>
  <c r="D29" i="3"/>
  <c r="C15" i="3" a="1"/>
  <c r="C15" i="3" s="1"/>
  <c r="D15" i="3"/>
  <c r="D16" i="3"/>
  <c r="D9" i="3"/>
  <c r="D8" i="3"/>
  <c r="C17" i="3" a="1"/>
  <c r="C17" i="3" s="1"/>
  <c r="C9" i="3" a="1"/>
  <c r="C9" i="3" s="1"/>
  <c r="C8" i="3" a="1"/>
  <c r="C8" i="3" s="1"/>
  <c r="D4" i="3"/>
  <c r="F6" i="3" s="1"/>
  <c r="D12" i="3"/>
  <c r="D35" i="3"/>
  <c r="C12" i="3" a="1"/>
  <c r="C12" i="3" s="1"/>
  <c r="D27" i="3"/>
  <c r="D10" i="3"/>
  <c r="M12" i="4"/>
  <c r="D12" i="4"/>
  <c r="M14" i="4"/>
  <c r="D14" i="4"/>
  <c r="M15" i="4"/>
  <c r="D15" i="4"/>
  <c r="M16" i="4"/>
  <c r="D16" i="4"/>
  <c r="M6" i="4"/>
  <c r="M17" i="4"/>
  <c r="D17" i="4"/>
  <c r="M8" i="4"/>
  <c r="D8" i="4"/>
  <c r="M13" i="4"/>
  <c r="D13" i="4"/>
  <c r="M9" i="4"/>
  <c r="D9" i="4"/>
  <c r="M11" i="4"/>
  <c r="D11" i="4"/>
  <c r="M10" i="4"/>
  <c r="D10" i="4"/>
  <c r="M7" i="4"/>
  <c r="D7" i="4"/>
  <c r="C5549" i="2"/>
  <c r="D5556" i="2" s="1"/>
  <c r="C5548" i="2"/>
  <c r="C5547" i="2"/>
  <c r="C5546" i="2"/>
  <c r="B578" i="3" a="1"/>
  <c r="B578" i="3" s="1"/>
  <c r="C508" i="3" a="1"/>
  <c r="C508" i="3" s="1"/>
  <c r="G508" i="3" s="1"/>
  <c r="C527" i="3" a="1"/>
  <c r="C527" i="3" s="1"/>
  <c r="G527" i="3" s="1"/>
  <c r="C455" i="3" a="1"/>
  <c r="C455" i="3" s="1"/>
  <c r="G455" i="3" s="1"/>
  <c r="C342" i="3" a="1"/>
  <c r="C342" i="3" s="1"/>
  <c r="G342" i="3" s="1"/>
  <c r="C426" i="3" a="1"/>
  <c r="C426" i="3" s="1"/>
  <c r="G426" i="3" s="1"/>
  <c r="C519" i="3" a="1"/>
  <c r="C519" i="3" s="1"/>
  <c r="G519" i="3" s="1"/>
  <c r="C407" i="3" a="1"/>
  <c r="C407" i="3" s="1"/>
  <c r="G407" i="3" s="1"/>
  <c r="C425" i="3" a="1"/>
  <c r="C425" i="3" s="1"/>
  <c r="G425" i="3" s="1"/>
  <c r="C381" i="3" a="1"/>
  <c r="C381" i="3" s="1"/>
  <c r="G381" i="3" s="1"/>
  <c r="D360" i="3"/>
  <c r="D372" i="3"/>
  <c r="D561" i="3"/>
  <c r="D348" i="3"/>
  <c r="D565" i="3"/>
  <c r="C478" i="3" a="1"/>
  <c r="C478" i="3" s="1"/>
  <c r="G478" i="3" s="1"/>
  <c r="C353" i="3" a="1"/>
  <c r="C353" i="3" s="1"/>
  <c r="G353" i="3" s="1"/>
  <c r="D481" i="3"/>
  <c r="D448" i="3"/>
  <c r="D381" i="3"/>
  <c r="D507" i="3"/>
  <c r="C358" i="3" a="1"/>
  <c r="C358" i="3" s="1"/>
  <c r="G358" i="3" s="1"/>
  <c r="C555" i="3" a="1"/>
  <c r="C555" i="3" s="1"/>
  <c r="G555" i="3" s="1"/>
  <c r="D341" i="3"/>
  <c r="D534" i="3"/>
  <c r="C367" i="3" a="1"/>
  <c r="C367" i="3" s="1"/>
  <c r="G367" i="3" s="1"/>
  <c r="D376" i="3"/>
  <c r="D483" i="3"/>
  <c r="D365" i="3"/>
  <c r="C343" i="3" a="1"/>
  <c r="C343" i="3" s="1"/>
  <c r="G343" i="3" s="1"/>
  <c r="C355" i="3" a="1"/>
  <c r="C355" i="3" s="1"/>
  <c r="G355" i="3" s="1"/>
  <c r="D496" i="3"/>
  <c r="D504" i="3"/>
  <c r="C396" i="3" a="1"/>
  <c r="C396" i="3" s="1"/>
  <c r="G396" i="3" s="1"/>
  <c r="C420" i="3" a="1"/>
  <c r="C420" i="3" s="1"/>
  <c r="G420" i="3" s="1"/>
  <c r="C441" i="3" a="1"/>
  <c r="C441" i="3" s="1"/>
  <c r="G441" i="3" s="1"/>
  <c r="D359" i="3"/>
  <c r="D447" i="3"/>
  <c r="D566" i="3"/>
  <c r="C502" i="3" a="1"/>
  <c r="C502" i="3" s="1"/>
  <c r="G502" i="3" s="1"/>
  <c r="C412" i="3" a="1"/>
  <c r="C412" i="3" s="1"/>
  <c r="G412" i="3" s="1"/>
  <c r="C436" i="3" a="1"/>
  <c r="C436" i="3" s="1"/>
  <c r="G436" i="3" s="1"/>
  <c r="D420" i="3"/>
  <c r="D497" i="3"/>
  <c r="D527" i="3"/>
  <c r="C335" i="3" a="1"/>
  <c r="C335" i="3" s="1"/>
  <c r="G335" i="3" s="1"/>
  <c r="C347" i="3" a="1"/>
  <c r="C347" i="3" s="1"/>
  <c r="G347" i="3" s="1"/>
  <c r="C479" i="3" a="1"/>
  <c r="C479" i="3" s="1"/>
  <c r="G479" i="3" s="1"/>
  <c r="C491" i="3" a="1"/>
  <c r="C491" i="3" s="1"/>
  <c r="G491" i="3" s="1"/>
  <c r="C515" i="3" a="1"/>
  <c r="C515" i="3" s="1"/>
  <c r="G515" i="3" s="1"/>
  <c r="C539" i="3" a="1"/>
  <c r="C539" i="3" s="1"/>
  <c r="G539" i="3" s="1"/>
  <c r="D354" i="3"/>
  <c r="D440" i="3"/>
  <c r="C5544" i="2"/>
  <c r="C162" i="4" a="1"/>
  <c r="C162" i="4" s="1"/>
  <c r="D544" i="3"/>
  <c r="C122" i="4" a="1"/>
  <c r="C122" i="4" s="1"/>
  <c r="D503" i="3"/>
  <c r="D379" i="3"/>
  <c r="D380" i="3"/>
  <c r="C145" i="4" a="1"/>
  <c r="C145" i="4" s="1"/>
  <c r="D526" i="3"/>
  <c r="C68" i="4" a="1"/>
  <c r="C68" i="4" s="1"/>
  <c r="M68" i="4" s="1"/>
  <c r="D449" i="3"/>
  <c r="D550" i="3"/>
  <c r="C346" i="3" a="1"/>
  <c r="C346" i="3" s="1"/>
  <c r="G346" i="3" s="1"/>
  <c r="C446" i="3" a="1"/>
  <c r="C446" i="3" s="1"/>
  <c r="G446" i="3" s="1"/>
  <c r="C482" i="3" a="1"/>
  <c r="C482" i="3" s="1"/>
  <c r="G482" i="3" s="1"/>
  <c r="D413" i="3"/>
  <c r="D421" i="3"/>
  <c r="C376" i="3" a="1"/>
  <c r="C376" i="3" s="1"/>
  <c r="G376" i="3" s="1"/>
  <c r="C448" i="3" a="1"/>
  <c r="C448" i="3" s="1"/>
  <c r="G448" i="3" s="1"/>
  <c r="C359" i="3" a="1"/>
  <c r="C359" i="3" s="1"/>
  <c r="G359" i="3" s="1"/>
  <c r="C503" i="3" a="1"/>
  <c r="C503" i="3" s="1"/>
  <c r="G503" i="3" s="1"/>
  <c r="D539" i="3"/>
  <c r="C549" i="3" a="1"/>
  <c r="C549" i="3" s="1"/>
  <c r="G549" i="3" s="1"/>
  <c r="D509" i="3"/>
  <c r="C490" i="3" a="1"/>
  <c r="C490" i="3" s="1"/>
  <c r="G490" i="3" s="1"/>
  <c r="D347" i="3"/>
  <c r="C440" i="3" a="1"/>
  <c r="C440" i="3" s="1"/>
  <c r="G440" i="3" s="1"/>
  <c r="C449" i="3" a="1"/>
  <c r="C449" i="3" s="1"/>
  <c r="G449" i="3" s="1"/>
  <c r="C498" i="3" a="1"/>
  <c r="C498" i="3" s="1"/>
  <c r="G498" i="3" s="1"/>
  <c r="C558" i="3" a="1"/>
  <c r="C558" i="3" s="1"/>
  <c r="G558" i="3" s="1"/>
  <c r="C445" i="3" a="1"/>
  <c r="C445" i="3" s="1"/>
  <c r="G445" i="3" s="1"/>
  <c r="C375" i="3" a="1"/>
  <c r="C375" i="3" s="1"/>
  <c r="G375" i="3" s="1"/>
  <c r="D485" i="3"/>
  <c r="C526" i="3" a="1"/>
  <c r="C526" i="3" s="1"/>
  <c r="G526" i="3" s="1"/>
  <c r="C538" i="3" a="1"/>
  <c r="C538" i="3" s="1"/>
  <c r="G538" i="3" s="1"/>
  <c r="C562" i="3" a="1"/>
  <c r="C562" i="3" s="1"/>
  <c r="G562" i="3" s="1"/>
  <c r="C574" i="3" a="1"/>
  <c r="C574" i="3" s="1"/>
  <c r="G574" i="3" s="1"/>
  <c r="D445" i="3"/>
  <c r="D499" i="3"/>
  <c r="C427" i="3" a="1"/>
  <c r="C427" i="3" s="1"/>
  <c r="G427" i="3" s="1"/>
  <c r="C511" i="3" a="1"/>
  <c r="C511" i="3" s="1"/>
  <c r="G511" i="3" s="1"/>
  <c r="C196" i="4" a="1"/>
  <c r="C196" i="4" s="1"/>
  <c r="D577" i="3"/>
  <c r="Q2" i="4"/>
  <c r="C345" i="3" a="1"/>
  <c r="C345" i="3" s="1"/>
  <c r="D346" i="3"/>
  <c r="D345" i="3"/>
  <c r="D332" i="3"/>
  <c r="C332" i="3" a="1"/>
  <c r="C332" i="3" s="1"/>
  <c r="C333" i="3" a="1"/>
  <c r="C333" i="3" s="1"/>
  <c r="D333" i="3"/>
  <c r="C341" i="3" a="1"/>
  <c r="C341" i="3" s="1"/>
  <c r="C336" i="3" a="1"/>
  <c r="C336" i="3" s="1"/>
  <c r="D352" i="3"/>
  <c r="C352" i="3" a="1"/>
  <c r="C352" i="3" s="1"/>
  <c r="D370" i="3"/>
  <c r="C370" i="3" a="1"/>
  <c r="C370" i="3" s="1"/>
  <c r="D336" i="3"/>
  <c r="C357" i="3" a="1"/>
  <c r="C357" i="3" s="1"/>
  <c r="D358" i="3"/>
  <c r="D357" i="3"/>
  <c r="C25" i="4" a="1"/>
  <c r="C25" i="4" s="1"/>
  <c r="C406" i="3" a="1"/>
  <c r="C406" i="3" s="1"/>
  <c r="D406" i="3"/>
  <c r="D407" i="3"/>
  <c r="C33" i="4" a="1"/>
  <c r="C33" i="4" s="1"/>
  <c r="C414" i="3" a="1"/>
  <c r="C414" i="3" s="1"/>
  <c r="D414" i="3"/>
  <c r="D335" i="3"/>
  <c r="D350" i="3"/>
  <c r="C350" i="3" a="1"/>
  <c r="C350" i="3" s="1"/>
  <c r="C398" i="3" a="1"/>
  <c r="C398" i="3" s="1"/>
  <c r="D398" i="3"/>
  <c r="D338" i="3"/>
  <c r="C338" i="3" a="1"/>
  <c r="C338" i="3" s="1"/>
  <c r="D340" i="3"/>
  <c r="C340" i="3" a="1"/>
  <c r="C340" i="3" s="1"/>
  <c r="C360" i="3" a="1"/>
  <c r="C360" i="3" s="1"/>
  <c r="D363" i="3"/>
  <c r="C363" i="3" a="1"/>
  <c r="C363" i="3" s="1"/>
  <c r="C372" i="3" a="1"/>
  <c r="C372" i="3" s="1"/>
  <c r="D343" i="3"/>
  <c r="C348" i="3" a="1"/>
  <c r="C348" i="3" s="1"/>
  <c r="D353" i="3"/>
  <c r="D367" i="3"/>
  <c r="C377" i="3" a="1"/>
  <c r="C377" i="3" s="1"/>
  <c r="D378" i="3"/>
  <c r="D377" i="3"/>
  <c r="D382" i="3"/>
  <c r="C382" i="3" a="1"/>
  <c r="C382" i="3" s="1"/>
  <c r="D334" i="3"/>
  <c r="D344" i="3"/>
  <c r="C344" i="3" a="1"/>
  <c r="C344" i="3" s="1"/>
  <c r="D373" i="3"/>
  <c r="C373" i="3" a="1"/>
  <c r="C373" i="3" s="1"/>
  <c r="D342" i="3"/>
  <c r="D364" i="3"/>
  <c r="C368" i="3" a="1"/>
  <c r="C368" i="3" s="1"/>
  <c r="D368" i="3"/>
  <c r="D369" i="3"/>
  <c r="C374" i="3" a="1"/>
  <c r="C374" i="3" s="1"/>
  <c r="D374" i="3"/>
  <c r="D391" i="3"/>
  <c r="D392" i="3"/>
  <c r="C391" i="3" a="1"/>
  <c r="C391" i="3" s="1"/>
  <c r="C337" i="3" a="1"/>
  <c r="C337" i="3" s="1"/>
  <c r="D351" i="3"/>
  <c r="C351" i="3" a="1"/>
  <c r="C351" i="3" s="1"/>
  <c r="C361" i="3" a="1"/>
  <c r="C361" i="3" s="1"/>
  <c r="C334" i="3" a="1"/>
  <c r="C334" i="3" s="1"/>
  <c r="D356" i="3"/>
  <c r="C356" i="3" a="1"/>
  <c r="C356" i="3" s="1"/>
  <c r="D361" i="3"/>
  <c r="C30" i="4" a="1"/>
  <c r="C30" i="4" s="1"/>
  <c r="D411" i="3"/>
  <c r="C411" i="3" a="1"/>
  <c r="C411" i="3" s="1"/>
  <c r="D337" i="3"/>
  <c r="D339" i="3"/>
  <c r="C339" i="3" a="1"/>
  <c r="C339" i="3" s="1"/>
  <c r="C349" i="3" a="1"/>
  <c r="C349" i="3" s="1"/>
  <c r="D355" i="3"/>
  <c r="C369" i="3" a="1"/>
  <c r="C369" i="3" s="1"/>
  <c r="C394" i="3" a="1"/>
  <c r="C394" i="3" s="1"/>
  <c r="D394" i="3"/>
  <c r="D395" i="3"/>
  <c r="D349" i="3"/>
  <c r="C354" i="3" a="1"/>
  <c r="C354" i="3" s="1"/>
  <c r="C365" i="3" a="1"/>
  <c r="C365" i="3" s="1"/>
  <c r="C386" i="3" a="1"/>
  <c r="C386" i="3" s="1"/>
  <c r="D386" i="3"/>
  <c r="C22" i="4" a="1"/>
  <c r="C22" i="4" s="1"/>
  <c r="D403" i="3"/>
  <c r="C403" i="3" a="1"/>
  <c r="C403" i="3" s="1"/>
  <c r="D404" i="3"/>
  <c r="C362" i="3" a="1"/>
  <c r="C362" i="3" s="1"/>
  <c r="C28" i="4" a="1"/>
  <c r="C28" i="4" s="1"/>
  <c r="D409" i="3"/>
  <c r="C409" i="3" a="1"/>
  <c r="C409" i="3" s="1"/>
  <c r="C55" i="4" a="1"/>
  <c r="C55" i="4" s="1"/>
  <c r="D436" i="3"/>
  <c r="C71" i="4" a="1"/>
  <c r="C71" i="4" s="1"/>
  <c r="D452" i="3"/>
  <c r="C452" i="3" a="1"/>
  <c r="C452" i="3" s="1"/>
  <c r="D362" i="3"/>
  <c r="C21" i="4" a="1"/>
  <c r="C21" i="4" s="1"/>
  <c r="C402" i="3" a="1"/>
  <c r="C402" i="3" s="1"/>
  <c r="C48" i="4" a="1"/>
  <c r="C48" i="4" s="1"/>
  <c r="D429" i="3"/>
  <c r="C429" i="3" a="1"/>
  <c r="C429" i="3" s="1"/>
  <c r="C395" i="3" a="1"/>
  <c r="C395" i="3" s="1"/>
  <c r="C27" i="4" a="1"/>
  <c r="C27" i="4" s="1"/>
  <c r="D408" i="3"/>
  <c r="C31" i="4" a="1"/>
  <c r="C31" i="4" s="1"/>
  <c r="D412" i="3"/>
  <c r="C45" i="4" a="1"/>
  <c r="C45" i="4" s="1"/>
  <c r="D426" i="3"/>
  <c r="C366" i="3" a="1"/>
  <c r="C366" i="3" s="1"/>
  <c r="C378" i="3" a="1"/>
  <c r="C378" i="3" s="1"/>
  <c r="C34" i="4" a="1"/>
  <c r="C34" i="4" s="1"/>
  <c r="D415" i="3"/>
  <c r="C415" i="3" a="1"/>
  <c r="C415" i="3" s="1"/>
  <c r="C36" i="4" a="1"/>
  <c r="C36" i="4" s="1"/>
  <c r="D417" i="3"/>
  <c r="C56" i="4" a="1"/>
  <c r="C56" i="4" s="1"/>
  <c r="D437" i="3"/>
  <c r="C60" i="4" a="1"/>
  <c r="C60" i="4" s="1"/>
  <c r="D441" i="3"/>
  <c r="C371" i="3" a="1"/>
  <c r="C371" i="3" s="1"/>
  <c r="C19" i="4" a="1"/>
  <c r="C19" i="4" s="1"/>
  <c r="C20" i="4" a="1"/>
  <c r="C20" i="4" s="1"/>
  <c r="D401" i="3"/>
  <c r="C401" i="3" a="1"/>
  <c r="C401" i="3" s="1"/>
  <c r="D402" i="3"/>
  <c r="C38" i="4" a="1"/>
  <c r="C38" i="4" s="1"/>
  <c r="D419" i="3"/>
  <c r="C419" i="3" a="1"/>
  <c r="C419" i="3" s="1"/>
  <c r="M40" i="4"/>
  <c r="C49" i="4" a="1"/>
  <c r="C49" i="4" s="1"/>
  <c r="C430" i="3" a="1"/>
  <c r="C430" i="3" s="1"/>
  <c r="D430" i="3"/>
  <c r="C437" i="3" a="1"/>
  <c r="C437" i="3" s="1"/>
  <c r="D371" i="3"/>
  <c r="D393" i="3"/>
  <c r="C26" i="4" a="1"/>
  <c r="C26" i="4" s="1"/>
  <c r="C408" i="3" a="1"/>
  <c r="C408" i="3" s="1"/>
  <c r="C417" i="3" a="1"/>
  <c r="C417" i="3" s="1"/>
  <c r="C46" i="4" a="1"/>
  <c r="C46" i="4" s="1"/>
  <c r="D427" i="3"/>
  <c r="C61" i="4" a="1"/>
  <c r="C61" i="4" s="1"/>
  <c r="C442" i="3" a="1"/>
  <c r="C442" i="3" s="1"/>
  <c r="D442" i="3"/>
  <c r="D366" i="3"/>
  <c r="C380" i="3" a="1"/>
  <c r="C380" i="3" s="1"/>
  <c r="C18" i="4" a="1"/>
  <c r="C18" i="4" s="1"/>
  <c r="D399" i="3"/>
  <c r="C43" i="4" a="1"/>
  <c r="C43" i="4" s="1"/>
  <c r="D424" i="3"/>
  <c r="C424" i="3" a="1"/>
  <c r="C424" i="3" s="1"/>
  <c r="C53" i="4" a="1"/>
  <c r="C53" i="4" s="1"/>
  <c r="C434" i="3" a="1"/>
  <c r="C434" i="3" s="1"/>
  <c r="D434" i="3"/>
  <c r="C57" i="4" a="1"/>
  <c r="C57" i="4" s="1"/>
  <c r="D438" i="3"/>
  <c r="C438" i="3" a="1"/>
  <c r="C438" i="3" s="1"/>
  <c r="C62" i="4" a="1"/>
  <c r="C62" i="4" s="1"/>
  <c r="D443" i="3"/>
  <c r="C443" i="3" a="1"/>
  <c r="C443" i="3" s="1"/>
  <c r="C379" i="3" a="1"/>
  <c r="C379" i="3" s="1"/>
  <c r="D387" i="3"/>
  <c r="C390" i="3" a="1"/>
  <c r="C390" i="3" s="1"/>
  <c r="C392" i="3" a="1"/>
  <c r="C392" i="3" s="1"/>
  <c r="C393" i="3" a="1"/>
  <c r="C393" i="3" s="1"/>
  <c r="C400" i="3" a="1"/>
  <c r="C400" i="3" s="1"/>
  <c r="C50" i="4" a="1"/>
  <c r="C50" i="4" s="1"/>
  <c r="D431" i="3"/>
  <c r="D384" i="3"/>
  <c r="D385" i="3"/>
  <c r="C389" i="3" a="1"/>
  <c r="C389" i="3" s="1"/>
  <c r="C399" i="3" a="1"/>
  <c r="C399" i="3" s="1"/>
  <c r="D400" i="3"/>
  <c r="C431" i="3" a="1"/>
  <c r="C431" i="3" s="1"/>
  <c r="C383" i="3" a="1"/>
  <c r="C383" i="3" s="1"/>
  <c r="C24" i="4" a="1"/>
  <c r="C24" i="4" s="1"/>
  <c r="D405" i="3"/>
  <c r="C37" i="4" a="1"/>
  <c r="C37" i="4" s="1"/>
  <c r="D418" i="3"/>
  <c r="C418" i="3" a="1"/>
  <c r="C418" i="3" s="1"/>
  <c r="C41" i="4" a="1"/>
  <c r="C41" i="4" s="1"/>
  <c r="C422" i="3" a="1"/>
  <c r="C422" i="3" s="1"/>
  <c r="D423" i="3"/>
  <c r="D422" i="3"/>
  <c r="C47" i="4" a="1"/>
  <c r="C47" i="4" s="1"/>
  <c r="D428" i="3"/>
  <c r="C428" i="3" a="1"/>
  <c r="C428" i="3" s="1"/>
  <c r="C54" i="4" a="1"/>
  <c r="C54" i="4" s="1"/>
  <c r="C435" i="3" a="1"/>
  <c r="C435" i="3" s="1"/>
  <c r="D435" i="3"/>
  <c r="C364" i="3" a="1"/>
  <c r="C364" i="3" s="1"/>
  <c r="D383" i="3"/>
  <c r="C385" i="3" a="1"/>
  <c r="C385" i="3" s="1"/>
  <c r="C387" i="3" a="1"/>
  <c r="C387" i="3" s="1"/>
  <c r="C388" i="3" a="1"/>
  <c r="C388" i="3" s="1"/>
  <c r="D389" i="3"/>
  <c r="D390" i="3"/>
  <c r="D397" i="3"/>
  <c r="C35" i="4" a="1"/>
  <c r="C35" i="4" s="1"/>
  <c r="D416" i="3"/>
  <c r="C416" i="3" a="1"/>
  <c r="C416" i="3" s="1"/>
  <c r="C51" i="4" a="1"/>
  <c r="C51" i="4" s="1"/>
  <c r="D433" i="3"/>
  <c r="D432" i="3"/>
  <c r="C432" i="3" a="1"/>
  <c r="C432" i="3" s="1"/>
  <c r="D375" i="3"/>
  <c r="C384" i="3" a="1"/>
  <c r="C384" i="3" s="1"/>
  <c r="D388" i="3"/>
  <c r="D396" i="3"/>
  <c r="C397" i="3" a="1"/>
  <c r="C397" i="3" s="1"/>
  <c r="C23" i="4" a="1"/>
  <c r="C23" i="4" s="1"/>
  <c r="C404" i="3" a="1"/>
  <c r="C404" i="3" s="1"/>
  <c r="C405" i="3" a="1"/>
  <c r="C405" i="3" s="1"/>
  <c r="D410" i="3"/>
  <c r="C70" i="4" a="1"/>
  <c r="C70" i="4" s="1"/>
  <c r="D451" i="3"/>
  <c r="C451" i="3" a="1"/>
  <c r="C451" i="3" s="1"/>
  <c r="C80" i="4" a="1"/>
  <c r="C80" i="4" s="1"/>
  <c r="C461" i="3" a="1"/>
  <c r="C461" i="3" s="1"/>
  <c r="D461" i="3"/>
  <c r="C66" i="4" a="1"/>
  <c r="C66" i="4" s="1"/>
  <c r="C447" i="3" a="1"/>
  <c r="C447" i="3" s="1"/>
  <c r="C77" i="4" a="1"/>
  <c r="C77" i="4" s="1"/>
  <c r="D458" i="3"/>
  <c r="C458" i="3" a="1"/>
  <c r="C458" i="3" s="1"/>
  <c r="C83" i="4" a="1"/>
  <c r="C83" i="4" s="1"/>
  <c r="D464" i="3"/>
  <c r="C464" i="3" a="1"/>
  <c r="C464" i="3" s="1"/>
  <c r="C95" i="4" a="1"/>
  <c r="C95" i="4" s="1"/>
  <c r="D476" i="3"/>
  <c r="C476" i="3" a="1"/>
  <c r="C476" i="3" s="1"/>
  <c r="C73" i="4" a="1"/>
  <c r="C73" i="4" s="1"/>
  <c r="D454" i="3"/>
  <c r="C454" i="3" a="1"/>
  <c r="C454" i="3" s="1"/>
  <c r="C84" i="4" a="1"/>
  <c r="C84" i="4" s="1"/>
  <c r="C465" i="3" a="1"/>
  <c r="C465" i="3" s="1"/>
  <c r="D465" i="3"/>
  <c r="C96" i="4" a="1"/>
  <c r="C96" i="4" s="1"/>
  <c r="C477" i="3" a="1"/>
  <c r="C477" i="3" s="1"/>
  <c r="D477" i="3"/>
  <c r="C421" i="3" a="1"/>
  <c r="C421" i="3" s="1"/>
  <c r="C89" i="4" a="1"/>
  <c r="C89" i="4" s="1"/>
  <c r="D470" i="3"/>
  <c r="C470" i="3" a="1"/>
  <c r="C470" i="3" s="1"/>
  <c r="C81" i="4" a="1"/>
  <c r="C81" i="4" s="1"/>
  <c r="D462" i="3"/>
  <c r="C462" i="3" a="1"/>
  <c r="C462" i="3" s="1"/>
  <c r="M42" i="4"/>
  <c r="M52" i="4"/>
  <c r="C85" i="4" a="1"/>
  <c r="C85" i="4" s="1"/>
  <c r="D466" i="3"/>
  <c r="C466" i="3" a="1"/>
  <c r="C466" i="3" s="1"/>
  <c r="M58" i="4"/>
  <c r="M63" i="4"/>
  <c r="D459" i="3"/>
  <c r="C423" i="3" a="1"/>
  <c r="C423" i="3" s="1"/>
  <c r="C433" i="3" a="1"/>
  <c r="C433" i="3" s="1"/>
  <c r="C91" i="4" a="1"/>
  <c r="C91" i="4" s="1"/>
  <c r="D472" i="3"/>
  <c r="C472" i="3" a="1"/>
  <c r="C472" i="3" s="1"/>
  <c r="C439" i="3" a="1"/>
  <c r="C439" i="3" s="1"/>
  <c r="C59" i="4" a="1"/>
  <c r="C59" i="4" s="1"/>
  <c r="C69" i="4" a="1"/>
  <c r="C69" i="4" s="1"/>
  <c r="C450" i="3" a="1"/>
  <c r="C450" i="3" s="1"/>
  <c r="C72" i="4" a="1"/>
  <c r="C72" i="4" s="1"/>
  <c r="D453" i="3"/>
  <c r="C453" i="3" a="1"/>
  <c r="C453" i="3" s="1"/>
  <c r="C74" i="4" a="1"/>
  <c r="C74" i="4" s="1"/>
  <c r="D455" i="3"/>
  <c r="C82" i="4" a="1"/>
  <c r="C82" i="4" s="1"/>
  <c r="D463" i="3"/>
  <c r="C463" i="3" a="1"/>
  <c r="C463" i="3" s="1"/>
  <c r="C86" i="4" a="1"/>
  <c r="C86" i="4" s="1"/>
  <c r="D467" i="3"/>
  <c r="C467" i="3" a="1"/>
  <c r="C467" i="3" s="1"/>
  <c r="M32" i="4"/>
  <c r="D439" i="3"/>
  <c r="C444" i="3" a="1"/>
  <c r="C444" i="3" s="1"/>
  <c r="D450" i="3"/>
  <c r="C79" i="4" a="1"/>
  <c r="C79" i="4" s="1"/>
  <c r="D460" i="3"/>
  <c r="C92" i="4" a="1"/>
  <c r="C92" i="4" s="1"/>
  <c r="C473" i="3" a="1"/>
  <c r="C473" i="3" s="1"/>
  <c r="D473" i="3"/>
  <c r="C29" i="4" a="1"/>
  <c r="C29" i="4" s="1"/>
  <c r="C410" i="3" a="1"/>
  <c r="C410" i="3" s="1"/>
  <c r="M39" i="4"/>
  <c r="C44" i="4" a="1"/>
  <c r="C44" i="4" s="1"/>
  <c r="D425" i="3"/>
  <c r="D444" i="3"/>
  <c r="C67" i="4" a="1"/>
  <c r="C67" i="4" s="1"/>
  <c r="C93" i="4" a="1"/>
  <c r="C93" i="4" s="1"/>
  <c r="D474" i="3"/>
  <c r="C474" i="3" a="1"/>
  <c r="C474" i="3" s="1"/>
  <c r="C413" i="3" a="1"/>
  <c r="C413" i="3" s="1"/>
  <c r="C65" i="4" a="1"/>
  <c r="C65" i="4" s="1"/>
  <c r="D446" i="3"/>
  <c r="C460" i="3" a="1"/>
  <c r="C460" i="3" s="1"/>
  <c r="C94" i="4" a="1"/>
  <c r="C94" i="4" s="1"/>
  <c r="D475" i="3"/>
  <c r="C475" i="3" a="1"/>
  <c r="C475" i="3" s="1"/>
  <c r="C98" i="4" a="1"/>
  <c r="C98" i="4" s="1"/>
  <c r="C99" i="4" a="1"/>
  <c r="C99" i="4" s="1"/>
  <c r="D480" i="3"/>
  <c r="C480" i="3" a="1"/>
  <c r="C480" i="3" s="1"/>
  <c r="D488" i="3"/>
  <c r="M116" i="4"/>
  <c r="C150" i="4" a="1"/>
  <c r="C150" i="4" s="1"/>
  <c r="D531" i="3"/>
  <c r="C531" i="3" a="1"/>
  <c r="C531" i="3" s="1"/>
  <c r="C457" i="3" a="1"/>
  <c r="C457" i="3" s="1"/>
  <c r="C139" i="4" a="1"/>
  <c r="C139" i="4" s="1"/>
  <c r="D520" i="3"/>
  <c r="C520" i="3" a="1"/>
  <c r="C520" i="3" s="1"/>
  <c r="D457" i="3"/>
  <c r="M97" i="4"/>
  <c r="C103" i="4" a="1"/>
  <c r="C103" i="4" s="1"/>
  <c r="D484" i="3"/>
  <c r="C484" i="3" a="1"/>
  <c r="C484" i="3" s="1"/>
  <c r="C129" i="4" a="1"/>
  <c r="C129" i="4" s="1"/>
  <c r="C510" i="3" a="1"/>
  <c r="C510" i="3" s="1"/>
  <c r="D510" i="3"/>
  <c r="C119" i="4" a="1"/>
  <c r="C119" i="4" s="1"/>
  <c r="D500" i="3"/>
  <c r="C500" i="3" a="1"/>
  <c r="C500" i="3" s="1"/>
  <c r="C140" i="4" a="1"/>
  <c r="C140" i="4" s="1"/>
  <c r="C521" i="3" a="1"/>
  <c r="C521" i="3" s="1"/>
  <c r="D521" i="3"/>
  <c r="D522" i="3"/>
  <c r="M64" i="4"/>
  <c r="C78" i="4" a="1"/>
  <c r="C78" i="4" s="1"/>
  <c r="C459" i="3" a="1"/>
  <c r="C459" i="3" s="1"/>
  <c r="M88" i="4"/>
  <c r="D479" i="3"/>
  <c r="C117" i="4" a="1"/>
  <c r="C117" i="4" s="1"/>
  <c r="D498" i="3"/>
  <c r="C133" i="4" a="1"/>
  <c r="C133" i="4" s="1"/>
  <c r="C514" i="3" a="1"/>
  <c r="C514" i="3" s="1"/>
  <c r="C90" i="4" a="1"/>
  <c r="C90" i="4" s="1"/>
  <c r="C471" i="3" a="1"/>
  <c r="C471" i="3" s="1"/>
  <c r="C102" i="4" a="1"/>
  <c r="C102" i="4" s="1"/>
  <c r="C483" i="3" a="1"/>
  <c r="C483" i="3" s="1"/>
  <c r="C124" i="4" a="1"/>
  <c r="C124" i="4" s="1"/>
  <c r="C505" i="3" a="1"/>
  <c r="C505" i="3" s="1"/>
  <c r="D505" i="3"/>
  <c r="C87" i="4" a="1"/>
  <c r="C87" i="4" s="1"/>
  <c r="D468" i="3"/>
  <c r="C468" i="3" a="1"/>
  <c r="C468" i="3" s="1"/>
  <c r="C105" i="4" a="1"/>
  <c r="C105" i="4" s="1"/>
  <c r="C486" i="3" a="1"/>
  <c r="C486" i="3" s="1"/>
  <c r="C108" i="4" a="1"/>
  <c r="C108" i="4" s="1"/>
  <c r="C489" i="3" a="1"/>
  <c r="C489" i="3" s="1"/>
  <c r="C115" i="4" a="1"/>
  <c r="C115" i="4" s="1"/>
  <c r="C496" i="3" a="1"/>
  <c r="C496" i="3" s="1"/>
  <c r="D514" i="3"/>
  <c r="C469" i="3" a="1"/>
  <c r="C469" i="3" s="1"/>
  <c r="D471" i="3"/>
  <c r="D489" i="3"/>
  <c r="C160" i="4" a="1"/>
  <c r="C160" i="4" s="1"/>
  <c r="C541" i="3" a="1"/>
  <c r="C541" i="3" s="1"/>
  <c r="D541" i="3"/>
  <c r="C75" i="4" a="1"/>
  <c r="C75" i="4" s="1"/>
  <c r="C456" i="3" a="1"/>
  <c r="C456" i="3" s="1"/>
  <c r="D469" i="3"/>
  <c r="C100" i="4" a="1"/>
  <c r="C100" i="4" s="1"/>
  <c r="C101" i="4" a="1"/>
  <c r="C101" i="4" s="1"/>
  <c r="D482" i="3"/>
  <c r="D486" i="3"/>
  <c r="C120" i="4" a="1"/>
  <c r="C120" i="4" s="1"/>
  <c r="D501" i="3"/>
  <c r="C501" i="3" a="1"/>
  <c r="C501" i="3" s="1"/>
  <c r="C137" i="4" a="1"/>
  <c r="C137" i="4" s="1"/>
  <c r="C518" i="3" a="1"/>
  <c r="C518" i="3" s="1"/>
  <c r="D518" i="3"/>
  <c r="D519" i="3"/>
  <c r="C110" i="4" a="1"/>
  <c r="C110" i="4" s="1"/>
  <c r="D492" i="3"/>
  <c r="D491" i="3"/>
  <c r="C176" i="4" a="1"/>
  <c r="C176" i="4" s="1"/>
  <c r="C557" i="3" a="1"/>
  <c r="C557" i="3" s="1"/>
  <c r="D557" i="3"/>
  <c r="M76" i="4"/>
  <c r="C104" i="4" a="1"/>
  <c r="C104" i="4" s="1"/>
  <c r="C485" i="3" a="1"/>
  <c r="C485" i="3" s="1"/>
  <c r="M107" i="4"/>
  <c r="C112" i="4" a="1"/>
  <c r="C112" i="4" s="1"/>
  <c r="D493" i="3"/>
  <c r="C125" i="4" a="1"/>
  <c r="C125" i="4" s="1"/>
  <c r="C506" i="3" a="1"/>
  <c r="C506" i="3" s="1"/>
  <c r="D506" i="3"/>
  <c r="C143" i="4" a="1"/>
  <c r="C143" i="4" s="1"/>
  <c r="D524" i="3"/>
  <c r="C524" i="3" a="1"/>
  <c r="C524" i="3" s="1"/>
  <c r="D456" i="3"/>
  <c r="C481" i="3" a="1"/>
  <c r="C481" i="3" s="1"/>
  <c r="C488" i="3" a="1"/>
  <c r="C488" i="3" s="1"/>
  <c r="C493" i="3" a="1"/>
  <c r="C493" i="3" s="1"/>
  <c r="C144" i="4" a="1"/>
  <c r="C144" i="4" s="1"/>
  <c r="D525" i="3"/>
  <c r="C525" i="3" a="1"/>
  <c r="C525" i="3" s="1"/>
  <c r="C149" i="4" a="1"/>
  <c r="C149" i="4" s="1"/>
  <c r="D530" i="3"/>
  <c r="C530" i="3" a="1"/>
  <c r="C530" i="3" s="1"/>
  <c r="C151" i="4" a="1"/>
  <c r="C151" i="4" s="1"/>
  <c r="D532" i="3"/>
  <c r="C178" i="4" a="1"/>
  <c r="C178" i="4" s="1"/>
  <c r="D559" i="3"/>
  <c r="C559" i="3" a="1"/>
  <c r="C559" i="3" s="1"/>
  <c r="M106" i="4"/>
  <c r="D494" i="3"/>
  <c r="M114" i="4"/>
  <c r="M121" i="4"/>
  <c r="D508" i="3"/>
  <c r="D515" i="3"/>
  <c r="M111" i="4"/>
  <c r="C142" i="4" a="1"/>
  <c r="C142" i="4" s="1"/>
  <c r="D523" i="3"/>
  <c r="C523" i="3" a="1"/>
  <c r="C523" i="3" s="1"/>
  <c r="C532" i="3" a="1"/>
  <c r="C532" i="3" s="1"/>
  <c r="C156" i="4" a="1"/>
  <c r="C156" i="4" s="1"/>
  <c r="D537" i="3"/>
  <c r="C537" i="3" a="1"/>
  <c r="C537" i="3" s="1"/>
  <c r="C159" i="4" a="1"/>
  <c r="C159" i="4" s="1"/>
  <c r="D540" i="3"/>
  <c r="C540" i="3" a="1"/>
  <c r="C540" i="3" s="1"/>
  <c r="C166" i="4" a="1"/>
  <c r="C166" i="4" s="1"/>
  <c r="D547" i="3"/>
  <c r="C547" i="3" a="1"/>
  <c r="C547" i="3" s="1"/>
  <c r="C487" i="3" a="1"/>
  <c r="C487" i="3" s="1"/>
  <c r="M109" i="4"/>
  <c r="C495" i="3" a="1"/>
  <c r="C495" i="3" s="1"/>
  <c r="M118" i="4"/>
  <c r="M122" i="4"/>
  <c r="C132" i="4" a="1"/>
  <c r="C132" i="4" s="1"/>
  <c r="D513" i="3"/>
  <c r="C513" i="3" a="1"/>
  <c r="C513" i="3" s="1"/>
  <c r="C154" i="4" a="1"/>
  <c r="C154" i="4" s="1"/>
  <c r="D535" i="3"/>
  <c r="C535" i="3" a="1"/>
  <c r="C535" i="3" s="1"/>
  <c r="C170" i="4" a="1"/>
  <c r="C170" i="4" s="1"/>
  <c r="D551" i="3"/>
  <c r="C551" i="3" a="1"/>
  <c r="C551" i="3" s="1"/>
  <c r="D487" i="3"/>
  <c r="C492" i="3" a="1"/>
  <c r="C492" i="3" s="1"/>
  <c r="D495" i="3"/>
  <c r="D502" i="3"/>
  <c r="C499" i="3" a="1"/>
  <c r="C499" i="3" s="1"/>
  <c r="C123" i="4" a="1"/>
  <c r="C123" i="4" s="1"/>
  <c r="C504" i="3" a="1"/>
  <c r="C504" i="3" s="1"/>
  <c r="C131" i="4" a="1"/>
  <c r="C131" i="4" s="1"/>
  <c r="D512" i="3"/>
  <c r="C136" i="4" a="1"/>
  <c r="C136" i="4" s="1"/>
  <c r="D517" i="3"/>
  <c r="C517" i="3" a="1"/>
  <c r="C517" i="3" s="1"/>
  <c r="C152" i="4" a="1"/>
  <c r="C152" i="4" s="1"/>
  <c r="C533" i="3" a="1"/>
  <c r="C533" i="3" s="1"/>
  <c r="D533" i="3"/>
  <c r="C566" i="3" a="1"/>
  <c r="C566" i="3" s="1"/>
  <c r="D478" i="3"/>
  <c r="D490" i="3"/>
  <c r="C130" i="4" a="1"/>
  <c r="C130" i="4" s="1"/>
  <c r="D511" i="3"/>
  <c r="C141" i="4" a="1"/>
  <c r="C141" i="4" s="1"/>
  <c r="C522" i="3" a="1"/>
  <c r="C522" i="3" s="1"/>
  <c r="D538" i="3"/>
  <c r="M126" i="4"/>
  <c r="C512" i="3" a="1"/>
  <c r="C512" i="3" s="1"/>
  <c r="C155" i="4" a="1"/>
  <c r="C155" i="4" s="1"/>
  <c r="D536" i="3"/>
  <c r="C536" i="3" a="1"/>
  <c r="C536" i="3" s="1"/>
  <c r="C164" i="4" a="1"/>
  <c r="C164" i="4" s="1"/>
  <c r="C545" i="3" a="1"/>
  <c r="C545" i="3" s="1"/>
  <c r="C172" i="4" a="1"/>
  <c r="C172" i="4" s="1"/>
  <c r="C553" i="3" a="1"/>
  <c r="C553" i="3" s="1"/>
  <c r="D554" i="3"/>
  <c r="C113" i="4" a="1"/>
  <c r="C113" i="4" s="1"/>
  <c r="C494" i="3" a="1"/>
  <c r="C494" i="3" s="1"/>
  <c r="M127" i="4"/>
  <c r="M128" i="4"/>
  <c r="M134" i="4"/>
  <c r="C148" i="4" a="1"/>
  <c r="C148" i="4" s="1"/>
  <c r="D529" i="3"/>
  <c r="C529" i="3" a="1"/>
  <c r="C529" i="3" s="1"/>
  <c r="C153" i="4" a="1"/>
  <c r="C153" i="4" s="1"/>
  <c r="C534" i="3" a="1"/>
  <c r="C534" i="3" s="1"/>
  <c r="C161" i="4" a="1"/>
  <c r="C161" i="4" s="1"/>
  <c r="D542" i="3"/>
  <c r="C542" i="3" a="1"/>
  <c r="C542" i="3" s="1"/>
  <c r="D545" i="3"/>
  <c r="D553" i="3"/>
  <c r="C187" i="4" a="1"/>
  <c r="C187" i="4" s="1"/>
  <c r="D568" i="3"/>
  <c r="C568" i="3" a="1"/>
  <c r="C568" i="3" s="1"/>
  <c r="C497" i="3" a="1"/>
  <c r="C497" i="3" s="1"/>
  <c r="C507" i="3" a="1"/>
  <c r="C507" i="3" s="1"/>
  <c r="C509" i="3" a="1"/>
  <c r="C509" i="3" s="1"/>
  <c r="D516" i="3"/>
  <c r="C138" i="4" a="1"/>
  <c r="C138" i="4" s="1"/>
  <c r="C146" i="4" a="1"/>
  <c r="C146" i="4" s="1"/>
  <c r="C188" i="4" a="1"/>
  <c r="C188" i="4" s="1"/>
  <c r="C569" i="3" a="1"/>
  <c r="C569" i="3" s="1"/>
  <c r="D569" i="3"/>
  <c r="C167" i="4" a="1"/>
  <c r="C167" i="4" s="1"/>
  <c r="D548" i="3"/>
  <c r="C548" i="3" a="1"/>
  <c r="C548" i="3" s="1"/>
  <c r="D549" i="3"/>
  <c r="C189" i="4" a="1"/>
  <c r="C189" i="4" s="1"/>
  <c r="D570" i="3"/>
  <c r="M158" i="4"/>
  <c r="C171" i="4" a="1"/>
  <c r="C171" i="4" s="1"/>
  <c r="D552" i="3"/>
  <c r="C552" i="3" a="1"/>
  <c r="C552" i="3" s="1"/>
  <c r="C179" i="4" a="1"/>
  <c r="C179" i="4" s="1"/>
  <c r="D560" i="3"/>
  <c r="C560" i="3" a="1"/>
  <c r="C560" i="3" s="1"/>
  <c r="C182" i="4" a="1"/>
  <c r="C182" i="4" s="1"/>
  <c r="D563" i="3"/>
  <c r="C563" i="3" a="1"/>
  <c r="C563" i="3" s="1"/>
  <c r="C570" i="3" a="1"/>
  <c r="C570" i="3" s="1"/>
  <c r="C191" i="4" a="1"/>
  <c r="C191" i="4" s="1"/>
  <c r="D572" i="3"/>
  <c r="C572" i="3" a="1"/>
  <c r="C572" i="3" s="1"/>
  <c r="C193" i="4" a="1"/>
  <c r="C193" i="4" s="1"/>
  <c r="D574" i="3"/>
  <c r="C165" i="4" a="1"/>
  <c r="C165" i="4" s="1"/>
  <c r="D546" i="3"/>
  <c r="C195" i="4" a="1"/>
  <c r="C195" i="4" s="1"/>
  <c r="D576" i="3"/>
  <c r="C576" i="3" a="1"/>
  <c r="C576" i="3" s="1"/>
  <c r="M162" i="4"/>
  <c r="C175" i="4" a="1"/>
  <c r="C175" i="4" s="1"/>
  <c r="C556" i="3" a="1"/>
  <c r="C556" i="3" s="1"/>
  <c r="C184" i="4" a="1"/>
  <c r="C184" i="4" s="1"/>
  <c r="C565" i="3" a="1"/>
  <c r="C565" i="3" s="1"/>
  <c r="C163" i="4" a="1"/>
  <c r="C163" i="4" s="1"/>
  <c r="C544" i="3" a="1"/>
  <c r="C544" i="3" s="1"/>
  <c r="C546" i="3" a="1"/>
  <c r="C546" i="3" s="1"/>
  <c r="D556" i="3"/>
  <c r="C181" i="4" a="1"/>
  <c r="C181" i="4" s="1"/>
  <c r="M135" i="4"/>
  <c r="M147" i="4"/>
  <c r="C543" i="3" a="1"/>
  <c r="C543" i="3" s="1"/>
  <c r="C190" i="4" a="1"/>
  <c r="C190" i="4" s="1"/>
  <c r="D571" i="3"/>
  <c r="C192" i="4" a="1"/>
  <c r="C192" i="4" s="1"/>
  <c r="C573" i="3" a="1"/>
  <c r="C573" i="3" s="1"/>
  <c r="D543" i="3"/>
  <c r="C169" i="4" a="1"/>
  <c r="C169" i="4" s="1"/>
  <c r="C173" i="4" a="1"/>
  <c r="C173" i="4" s="1"/>
  <c r="D555" i="3"/>
  <c r="D562" i="3"/>
  <c r="M145" i="4"/>
  <c r="M157" i="4"/>
  <c r="M168" i="4"/>
  <c r="C177" i="4" a="1"/>
  <c r="C177" i="4" s="1"/>
  <c r="D558" i="3"/>
  <c r="C180" i="4" a="1"/>
  <c r="C180" i="4" s="1"/>
  <c r="C561" i="3" a="1"/>
  <c r="C561" i="3" s="1"/>
  <c r="C183" i="4" a="1"/>
  <c r="C183" i="4" s="1"/>
  <c r="D564" i="3"/>
  <c r="C564" i="3" a="1"/>
  <c r="C564" i="3" s="1"/>
  <c r="C571" i="3" a="1"/>
  <c r="C571" i="3" s="1"/>
  <c r="D573" i="3"/>
  <c r="C194" i="4" a="1"/>
  <c r="C194" i="4" s="1"/>
  <c r="D575" i="3"/>
  <c r="C575" i="3" a="1"/>
  <c r="C575" i="3" s="1"/>
  <c r="C516" i="3" a="1"/>
  <c r="C516" i="3" s="1"/>
  <c r="C528" i="3" a="1"/>
  <c r="C528" i="3" s="1"/>
  <c r="C550" i="3" a="1"/>
  <c r="C550" i="3" s="1"/>
  <c r="C554" i="3" a="1"/>
  <c r="C554" i="3" s="1"/>
  <c r="D528" i="3"/>
  <c r="C185" i="4" a="1"/>
  <c r="C185" i="4" s="1"/>
  <c r="D567" i="3"/>
  <c r="M174" i="4"/>
  <c r="M186" i="4"/>
  <c r="C567" i="3" a="1"/>
  <c r="C567" i="3" s="1"/>
  <c r="G201" i="4"/>
  <c r="I200" i="4"/>
  <c r="K200" i="4" s="1"/>
  <c r="D578" i="3" l="1"/>
  <c r="O4" i="4"/>
  <c r="O5" i="4"/>
  <c r="F186" i="3"/>
  <c r="F208" i="3"/>
  <c r="F269" i="3"/>
  <c r="F123" i="3"/>
  <c r="F285" i="3"/>
  <c r="F132" i="3"/>
  <c r="F127" i="3"/>
  <c r="F273" i="3"/>
  <c r="F241" i="3"/>
  <c r="F72" i="3"/>
  <c r="F135" i="3"/>
  <c r="F249" i="3"/>
  <c r="F143" i="3"/>
  <c r="F18" i="3"/>
  <c r="F217" i="3"/>
  <c r="F150" i="3"/>
  <c r="F40" i="3"/>
  <c r="F116" i="3"/>
  <c r="F112" i="3"/>
  <c r="F221" i="3"/>
  <c r="F292" i="3"/>
  <c r="F41" i="3"/>
  <c r="F94" i="3"/>
  <c r="F36" i="3"/>
  <c r="F29" i="3"/>
  <c r="F63" i="3"/>
  <c r="F27" i="3"/>
  <c r="F75" i="3"/>
  <c r="F67" i="3"/>
  <c r="F56" i="3"/>
  <c r="G83" i="3"/>
  <c r="F107" i="3"/>
  <c r="G85" i="3"/>
  <c r="G99" i="3"/>
  <c r="G132" i="3"/>
  <c r="F168" i="3"/>
  <c r="F156" i="3"/>
  <c r="F164" i="3"/>
  <c r="F149" i="3"/>
  <c r="G144" i="3"/>
  <c r="G157" i="3"/>
  <c r="G151" i="3"/>
  <c r="F183" i="3"/>
  <c r="G198" i="3"/>
  <c r="G194" i="3"/>
  <c r="F209" i="3"/>
  <c r="F227" i="3"/>
  <c r="G237" i="3"/>
  <c r="G214" i="3"/>
  <c r="F265" i="3"/>
  <c r="F288" i="3"/>
  <c r="F268" i="3"/>
  <c r="G242" i="3"/>
  <c r="F287" i="3"/>
  <c r="G304" i="3"/>
  <c r="G307" i="3"/>
  <c r="G329" i="3"/>
  <c r="F320" i="3"/>
  <c r="F282" i="3"/>
  <c r="F326" i="3"/>
  <c r="G28" i="3"/>
  <c r="F21" i="3"/>
  <c r="F44" i="3"/>
  <c r="G62" i="3"/>
  <c r="G40" i="3"/>
  <c r="F49" i="3"/>
  <c r="F68" i="3"/>
  <c r="G78" i="3"/>
  <c r="G92" i="3"/>
  <c r="F92" i="3"/>
  <c r="G82" i="3"/>
  <c r="F137" i="3"/>
  <c r="G97" i="3"/>
  <c r="F109" i="3"/>
  <c r="G100" i="3"/>
  <c r="F113" i="3"/>
  <c r="F153" i="3"/>
  <c r="F175" i="3"/>
  <c r="G162" i="3"/>
  <c r="F171" i="3"/>
  <c r="F172" i="3"/>
  <c r="F223" i="3"/>
  <c r="F216" i="3"/>
  <c r="G208" i="3"/>
  <c r="G201" i="3"/>
  <c r="F211" i="3"/>
  <c r="F272" i="3"/>
  <c r="F255" i="3"/>
  <c r="F253" i="3"/>
  <c r="G264" i="3"/>
  <c r="F251" i="3"/>
  <c r="F244" i="3"/>
  <c r="G312" i="3"/>
  <c r="G317" i="3"/>
  <c r="F315" i="3"/>
  <c r="G296" i="3"/>
  <c r="F324" i="3"/>
  <c r="F301" i="3"/>
  <c r="F274" i="3"/>
  <c r="F13" i="3"/>
  <c r="H6" i="3"/>
  <c r="F8" i="3"/>
  <c r="F7" i="3"/>
  <c r="G19" i="3"/>
  <c r="F14" i="3"/>
  <c r="H5" i="3"/>
  <c r="F19" i="3"/>
  <c r="F35" i="3"/>
  <c r="G47" i="3"/>
  <c r="F66" i="3"/>
  <c r="G53" i="3"/>
  <c r="F73" i="3"/>
  <c r="F79" i="3"/>
  <c r="F80" i="3"/>
  <c r="F93" i="3"/>
  <c r="F83" i="3"/>
  <c r="F106" i="3"/>
  <c r="F70" i="3"/>
  <c r="F108" i="3"/>
  <c r="F99" i="3"/>
  <c r="F115" i="3"/>
  <c r="F103" i="3"/>
  <c r="G146" i="3"/>
  <c r="F117" i="3"/>
  <c r="F145" i="3"/>
  <c r="F173" i="3"/>
  <c r="F187" i="3"/>
  <c r="G195" i="3"/>
  <c r="G181" i="3"/>
  <c r="F182" i="3"/>
  <c r="F219" i="3"/>
  <c r="F199" i="3"/>
  <c r="F200" i="3"/>
  <c r="G204" i="3"/>
  <c r="F198" i="3"/>
  <c r="F250" i="3"/>
  <c r="G238" i="3"/>
  <c r="G252" i="3"/>
  <c r="G250" i="3"/>
  <c r="F246" i="3"/>
  <c r="F261" i="3"/>
  <c r="F270" i="3"/>
  <c r="F294" i="3"/>
  <c r="F316" i="3"/>
  <c r="F317" i="3"/>
  <c r="F319" i="3"/>
  <c r="F281" i="3"/>
  <c r="G319" i="3"/>
  <c r="F311" i="3"/>
  <c r="G300" i="3"/>
  <c r="G325" i="3"/>
  <c r="F15" i="3"/>
  <c r="F51" i="3"/>
  <c r="G18" i="3"/>
  <c r="F47" i="3"/>
  <c r="G66" i="3"/>
  <c r="F89" i="3"/>
  <c r="G79" i="3"/>
  <c r="F119" i="3"/>
  <c r="F74" i="3"/>
  <c r="F96" i="3"/>
  <c r="F97" i="3"/>
  <c r="G69" i="3"/>
  <c r="G108" i="3"/>
  <c r="F154" i="3"/>
  <c r="F124" i="3"/>
  <c r="G116" i="3"/>
  <c r="F185" i="3"/>
  <c r="F163" i="3"/>
  <c r="F174" i="3"/>
  <c r="G185" i="3"/>
  <c r="G218" i="3"/>
  <c r="F254" i="3"/>
  <c r="F224" i="3"/>
  <c r="F302" i="3"/>
  <c r="G249" i="3"/>
  <c r="F240" i="3"/>
  <c r="F278" i="3"/>
  <c r="G260" i="3"/>
  <c r="G269" i="3"/>
  <c r="F243" i="3"/>
  <c r="F293" i="3"/>
  <c r="F325" i="3"/>
  <c r="F277" i="3"/>
  <c r="G314" i="3"/>
  <c r="F310" i="3"/>
  <c r="G323" i="3"/>
  <c r="F283" i="3"/>
  <c r="F5" i="3"/>
  <c r="F4" i="3"/>
  <c r="M4" i="3" s="1"/>
  <c r="F20" i="3"/>
  <c r="G13" i="3"/>
  <c r="F48" i="3"/>
  <c r="F43" i="3"/>
  <c r="F53" i="3"/>
  <c r="G61" i="3"/>
  <c r="F54" i="3"/>
  <c r="G59" i="3"/>
  <c r="F104" i="3"/>
  <c r="G73" i="3"/>
  <c r="F65" i="3"/>
  <c r="F90" i="3"/>
  <c r="G90" i="3"/>
  <c r="G114" i="3"/>
  <c r="G102" i="3"/>
  <c r="F138" i="3"/>
  <c r="F140" i="3"/>
  <c r="F151" i="3"/>
  <c r="G172" i="3"/>
  <c r="G171" i="3"/>
  <c r="G180" i="3"/>
  <c r="F206" i="3"/>
  <c r="G199" i="3"/>
  <c r="F192" i="3"/>
  <c r="F225" i="3"/>
  <c r="G197" i="3"/>
  <c r="F239" i="3"/>
  <c r="F280" i="3"/>
  <c r="F234" i="3"/>
  <c r="F275" i="3"/>
  <c r="G263" i="3"/>
  <c r="G315" i="3"/>
  <c r="G316" i="3"/>
  <c r="G318" i="3"/>
  <c r="G289" i="3"/>
  <c r="F323" i="3"/>
  <c r="G8" i="3"/>
  <c r="F17" i="3"/>
  <c r="G7" i="3"/>
  <c r="H7" i="3" s="1"/>
  <c r="G14" i="3"/>
  <c r="G70" i="3"/>
  <c r="G72" i="3"/>
  <c r="G45" i="3"/>
  <c r="G42" i="3"/>
  <c r="F62" i="3"/>
  <c r="F110" i="3"/>
  <c r="F105" i="3"/>
  <c r="F64" i="3"/>
  <c r="G58" i="3"/>
  <c r="G105" i="3"/>
  <c r="G107" i="3"/>
  <c r="G154" i="3"/>
  <c r="F134" i="3"/>
  <c r="G124" i="3"/>
  <c r="F189" i="3"/>
  <c r="G173" i="3"/>
  <c r="G176" i="3"/>
  <c r="F181" i="3"/>
  <c r="F184" i="3"/>
  <c r="F262" i="3"/>
  <c r="G190" i="3"/>
  <c r="F230" i="3"/>
  <c r="G259" i="3"/>
  <c r="F299" i="3"/>
  <c r="F300" i="3"/>
  <c r="G245" i="3"/>
  <c r="F242" i="3"/>
  <c r="F284" i="3"/>
  <c r="F276" i="3"/>
  <c r="G292" i="3"/>
  <c r="G324" i="3"/>
  <c r="G276" i="3"/>
  <c r="G294" i="3"/>
  <c r="F327" i="3"/>
  <c r="G309" i="3"/>
  <c r="G297" i="3"/>
  <c r="G282" i="3"/>
  <c r="F10" i="3"/>
  <c r="F11" i="3"/>
  <c r="G9" i="3"/>
  <c r="F16" i="3"/>
  <c r="F23" i="3"/>
  <c r="G11" i="3"/>
  <c r="G21" i="3"/>
  <c r="F45" i="3"/>
  <c r="F60" i="3"/>
  <c r="G76" i="3"/>
  <c r="G64" i="3"/>
  <c r="F126" i="3"/>
  <c r="F121" i="3"/>
  <c r="F91" i="3"/>
  <c r="G141" i="3"/>
  <c r="G121" i="3"/>
  <c r="G167" i="3"/>
  <c r="G137" i="3"/>
  <c r="G139" i="3"/>
  <c r="G123" i="3"/>
  <c r="F125" i="3"/>
  <c r="G138" i="3"/>
  <c r="F160" i="3"/>
  <c r="F188" i="3"/>
  <c r="F178" i="3"/>
  <c r="F166" i="3"/>
  <c r="F157" i="3"/>
  <c r="G183" i="3"/>
  <c r="F197" i="3"/>
  <c r="F203" i="3"/>
  <c r="F245" i="3"/>
  <c r="F286" i="3"/>
  <c r="F229" i="3"/>
  <c r="F237" i="3"/>
  <c r="F291" i="3"/>
  <c r="F264" i="3"/>
  <c r="F328" i="3"/>
  <c r="F329" i="3"/>
  <c r="F279" i="3"/>
  <c r="F289" i="3"/>
  <c r="F331" i="3"/>
  <c r="F290" i="3"/>
  <c r="G331" i="3"/>
  <c r="G322" i="3"/>
  <c r="F252" i="3"/>
  <c r="F32" i="3"/>
  <c r="F25" i="3"/>
  <c r="F38" i="3"/>
  <c r="F39" i="3"/>
  <c r="F46" i="3"/>
  <c r="F69" i="3"/>
  <c r="G54" i="3"/>
  <c r="F111" i="3"/>
  <c r="F77" i="3"/>
  <c r="G94" i="3"/>
  <c r="G63" i="3"/>
  <c r="F59" i="3"/>
  <c r="G115" i="3"/>
  <c r="F142" i="3"/>
  <c r="G143" i="3"/>
  <c r="G133" i="3"/>
  <c r="F131" i="3"/>
  <c r="G177" i="3"/>
  <c r="F165" i="3"/>
  <c r="G161" i="3"/>
  <c r="F177" i="3"/>
  <c r="F193" i="3"/>
  <c r="F205" i="3"/>
  <c r="G207" i="3"/>
  <c r="F210" i="3"/>
  <c r="F222" i="3"/>
  <c r="F191" i="3"/>
  <c r="F170" i="3"/>
  <c r="G202" i="3"/>
  <c r="F220" i="3"/>
  <c r="F304" i="3"/>
  <c r="G244" i="3"/>
  <c r="F260" i="3"/>
  <c r="G280" i="3"/>
  <c r="F263" i="3"/>
  <c r="G241" i="3"/>
  <c r="F228" i="3"/>
  <c r="G251" i="3"/>
  <c r="F236" i="3"/>
  <c r="F303" i="3"/>
  <c r="F314" i="3"/>
  <c r="F295" i="3"/>
  <c r="G326" i="3"/>
  <c r="G278" i="3"/>
  <c r="F321" i="3"/>
  <c r="F298" i="3"/>
  <c r="G17" i="3"/>
  <c r="G15" i="3"/>
  <c r="G31" i="3"/>
  <c r="G24" i="3"/>
  <c r="F12" i="3"/>
  <c r="F22" i="3"/>
  <c r="F34" i="3"/>
  <c r="G41" i="3"/>
  <c r="G36" i="3"/>
  <c r="G57" i="3"/>
  <c r="F55" i="3"/>
  <c r="G71" i="3"/>
  <c r="G86" i="3"/>
  <c r="G80" i="3"/>
  <c r="G125" i="3"/>
  <c r="F120" i="3"/>
  <c r="G113" i="3"/>
  <c r="G130" i="3"/>
  <c r="F122" i="3"/>
  <c r="F86" i="3"/>
  <c r="F102" i="3"/>
  <c r="F169" i="3"/>
  <c r="F136" i="3"/>
  <c r="G142" i="3"/>
  <c r="G131" i="3"/>
  <c r="F148" i="3"/>
  <c r="F167" i="3"/>
  <c r="G187" i="3"/>
  <c r="F190" i="3"/>
  <c r="G156" i="3"/>
  <c r="F194" i="3"/>
  <c r="F213" i="3"/>
  <c r="G209" i="3"/>
  <c r="F204" i="3"/>
  <c r="G169" i="3"/>
  <c r="F267" i="3"/>
  <c r="F233" i="3"/>
  <c r="G284" i="3"/>
  <c r="G227" i="3"/>
  <c r="G234" i="3"/>
  <c r="F296" i="3"/>
  <c r="G302" i="3"/>
  <c r="G327" i="3"/>
  <c r="G328" i="3"/>
  <c r="G330" i="3"/>
  <c r="F309" i="3"/>
  <c r="F322" i="3"/>
  <c r="F312" i="3"/>
  <c r="F266" i="3"/>
  <c r="F28" i="3"/>
  <c r="F30" i="3"/>
  <c r="F24" i="3"/>
  <c r="F33" i="3"/>
  <c r="G51" i="3"/>
  <c r="F31" i="3"/>
  <c r="F37" i="3"/>
  <c r="G38" i="3"/>
  <c r="G44" i="3"/>
  <c r="F42" i="3"/>
  <c r="G68" i="3"/>
  <c r="F76" i="3"/>
  <c r="F88" i="3"/>
  <c r="F87" i="3"/>
  <c r="F95" i="3"/>
  <c r="F78" i="3"/>
  <c r="G128" i="3"/>
  <c r="F114" i="3"/>
  <c r="F100" i="3"/>
  <c r="F144" i="3"/>
  <c r="G135" i="3"/>
  <c r="G145" i="3"/>
  <c r="F130" i="3"/>
  <c r="F159" i="3"/>
  <c r="F201" i="3"/>
  <c r="F146" i="3"/>
  <c r="G164" i="3"/>
  <c r="G178" i="3"/>
  <c r="G192" i="3"/>
  <c r="G212" i="3"/>
  <c r="G216" i="3"/>
  <c r="F238" i="3"/>
  <c r="G266" i="3"/>
  <c r="F231" i="3"/>
  <c r="F232" i="3"/>
  <c r="G267" i="3"/>
  <c r="G255" i="3"/>
  <c r="G235" i="3"/>
  <c r="G272" i="3"/>
  <c r="G313" i="3"/>
  <c r="F305" i="3"/>
  <c r="F307" i="3"/>
  <c r="G288" i="3"/>
  <c r="G320" i="3"/>
  <c r="G265" i="3"/>
  <c r="G12" i="3"/>
  <c r="F9" i="3"/>
  <c r="G26" i="3"/>
  <c r="G55" i="3"/>
  <c r="G84" i="3"/>
  <c r="F84" i="3"/>
  <c r="G106" i="3"/>
  <c r="G77" i="3"/>
  <c r="F81" i="3"/>
  <c r="G122" i="3"/>
  <c r="F118" i="3"/>
  <c r="F101" i="3"/>
  <c r="F128" i="3"/>
  <c r="F141" i="3"/>
  <c r="F161" i="3"/>
  <c r="F158" i="3"/>
  <c r="F152" i="3"/>
  <c r="F133" i="3"/>
  <c r="F162" i="3"/>
  <c r="F196" i="3"/>
  <c r="G203" i="3"/>
  <c r="F207" i="3"/>
  <c r="F226" i="3"/>
  <c r="F214" i="3"/>
  <c r="F257" i="3"/>
  <c r="G268" i="3"/>
  <c r="F248" i="3"/>
  <c r="F235" i="3"/>
  <c r="F259" i="3"/>
  <c r="G246" i="3"/>
  <c r="F306" i="3"/>
  <c r="F308" i="3"/>
  <c r="F330" i="3"/>
  <c r="G308" i="3"/>
  <c r="G281" i="3"/>
  <c r="F258" i="3"/>
  <c r="G321" i="3"/>
  <c r="G311" i="3"/>
  <c r="F26" i="3"/>
  <c r="G23" i="3"/>
  <c r="F52" i="3"/>
  <c r="F82" i="3"/>
  <c r="F61" i="3"/>
  <c r="F50" i="3"/>
  <c r="F58" i="3"/>
  <c r="F57" i="3"/>
  <c r="F85" i="3"/>
  <c r="G75" i="3"/>
  <c r="F129" i="3"/>
  <c r="F71" i="3"/>
  <c r="F98" i="3"/>
  <c r="G98" i="3"/>
  <c r="G101" i="3"/>
  <c r="G112" i="3"/>
  <c r="F147" i="3"/>
  <c r="F139" i="3"/>
  <c r="G129" i="3"/>
  <c r="F176" i="3"/>
  <c r="G170" i="3"/>
  <c r="F180" i="3"/>
  <c r="F155" i="3"/>
  <c r="F179" i="3"/>
  <c r="G193" i="3"/>
  <c r="F195" i="3"/>
  <c r="F218" i="3"/>
  <c r="F212" i="3"/>
  <c r="G211" i="3"/>
  <c r="F202" i="3"/>
  <c r="G213" i="3"/>
  <c r="G256" i="3"/>
  <c r="G230" i="3"/>
  <c r="G231" i="3"/>
  <c r="F215" i="3"/>
  <c r="F271" i="3"/>
  <c r="F256" i="3"/>
  <c r="G258" i="3"/>
  <c r="F247" i="3"/>
  <c r="F313" i="3"/>
  <c r="F318" i="3"/>
  <c r="G305" i="3"/>
  <c r="F297" i="3"/>
  <c r="G257" i="3"/>
  <c r="G273" i="3"/>
  <c r="O17" i="4"/>
  <c r="O8" i="4"/>
  <c r="O10" i="4"/>
  <c r="O11" i="4"/>
  <c r="O16" i="4"/>
  <c r="O15" i="4"/>
  <c r="O13" i="4"/>
  <c r="O12" i="4"/>
  <c r="O9" i="4"/>
  <c r="O6" i="4"/>
  <c r="O14" i="4"/>
  <c r="O7" i="4"/>
  <c r="D5553" i="2"/>
  <c r="D5554" i="2"/>
  <c r="C578" i="3" s="1" a="1"/>
  <c r="C578" i="3" s="1"/>
  <c r="G578" i="3" s="1"/>
  <c r="D5555" i="2"/>
  <c r="D5552" i="2"/>
  <c r="D42" i="4"/>
  <c r="D147" i="4"/>
  <c r="T2" i="3"/>
  <c r="E62" i="3" s="1"/>
  <c r="D134" i="4"/>
  <c r="D168" i="4"/>
  <c r="D157" i="4"/>
  <c r="D126" i="4"/>
  <c r="D122" i="4"/>
  <c r="D114" i="4"/>
  <c r="D186" i="4"/>
  <c r="D135" i="4"/>
  <c r="D162" i="4"/>
  <c r="D174" i="4"/>
  <c r="D5547" i="2"/>
  <c r="C577" i="3" s="1" a="1"/>
  <c r="C577" i="3" s="1"/>
  <c r="G577" i="3" s="1"/>
  <c r="D5546" i="2"/>
  <c r="D5551" i="2"/>
  <c r="D5550" i="2"/>
  <c r="D5545" i="2"/>
  <c r="D5549" i="2"/>
  <c r="D5548" i="2"/>
  <c r="D88" i="4"/>
  <c r="D118" i="4"/>
  <c r="D107" i="4"/>
  <c r="F535" i="3"/>
  <c r="D121" i="4"/>
  <c r="D158" i="4"/>
  <c r="D109" i="4"/>
  <c r="D106" i="4"/>
  <c r="F201" i="4"/>
  <c r="C201" i="4" s="1"/>
  <c r="D128" i="4"/>
  <c r="D97" i="4"/>
  <c r="D111" i="4"/>
  <c r="D68" i="4"/>
  <c r="D145" i="4"/>
  <c r="D127" i="4"/>
  <c r="D76" i="4"/>
  <c r="F545" i="3"/>
  <c r="F484" i="3"/>
  <c r="F348" i="3"/>
  <c r="F422" i="3"/>
  <c r="F342" i="3"/>
  <c r="F414" i="3"/>
  <c r="D64" i="4"/>
  <c r="D39" i="4"/>
  <c r="D32" i="4"/>
  <c r="D58" i="4"/>
  <c r="F382" i="3"/>
  <c r="D116" i="4"/>
  <c r="F381" i="3"/>
  <c r="F566" i="3"/>
  <c r="F380" i="3"/>
  <c r="F373" i="3"/>
  <c r="F355" i="3"/>
  <c r="M179" i="4"/>
  <c r="D179" i="4"/>
  <c r="M138" i="4"/>
  <c r="D138" i="4"/>
  <c r="D154" i="4"/>
  <c r="M154" i="4"/>
  <c r="G495" i="3"/>
  <c r="F548" i="3"/>
  <c r="F560" i="3"/>
  <c r="G525" i="3"/>
  <c r="F525" i="3"/>
  <c r="D160" i="4"/>
  <c r="M160" i="4"/>
  <c r="G486" i="3"/>
  <c r="F522" i="3"/>
  <c r="D129" i="4"/>
  <c r="M129" i="4"/>
  <c r="G531" i="3"/>
  <c r="D67" i="4"/>
  <c r="M67" i="4"/>
  <c r="F440" i="3"/>
  <c r="D72" i="4"/>
  <c r="M72" i="4"/>
  <c r="D91" i="4"/>
  <c r="M91" i="4"/>
  <c r="D96" i="4"/>
  <c r="M96" i="4"/>
  <c r="G458" i="3"/>
  <c r="G384" i="3"/>
  <c r="G364" i="3"/>
  <c r="G422" i="3"/>
  <c r="D43" i="4"/>
  <c r="M43" i="4"/>
  <c r="D61" i="4"/>
  <c r="M61" i="4"/>
  <c r="G437" i="3"/>
  <c r="G371" i="3"/>
  <c r="D34" i="4"/>
  <c r="M34" i="4"/>
  <c r="F453" i="3"/>
  <c r="F404" i="3"/>
  <c r="F350" i="3"/>
  <c r="G391" i="3"/>
  <c r="D25" i="4"/>
  <c r="M25" i="4"/>
  <c r="M196" i="4"/>
  <c r="D196" i="4"/>
  <c r="G556" i="3"/>
  <c r="G548" i="3"/>
  <c r="G542" i="3"/>
  <c r="G536" i="3"/>
  <c r="G517" i="3"/>
  <c r="G567" i="3"/>
  <c r="F568" i="3"/>
  <c r="F559" i="3"/>
  <c r="F572" i="3"/>
  <c r="D175" i="4"/>
  <c r="M175" i="4"/>
  <c r="M193" i="4"/>
  <c r="D193" i="4"/>
  <c r="G552" i="3"/>
  <c r="F549" i="3"/>
  <c r="F517" i="3"/>
  <c r="F543" i="3"/>
  <c r="F537" i="3"/>
  <c r="F512" i="3"/>
  <c r="F518" i="3"/>
  <c r="F496" i="3"/>
  <c r="G513" i="3"/>
  <c r="G523" i="3"/>
  <c r="F540" i="3"/>
  <c r="F495" i="3"/>
  <c r="F526" i="3"/>
  <c r="F505" i="3"/>
  <c r="F493" i="3"/>
  <c r="F487" i="3"/>
  <c r="F490" i="3"/>
  <c r="D105" i="4"/>
  <c r="M105" i="4"/>
  <c r="G471" i="3"/>
  <c r="G521" i="3"/>
  <c r="F532" i="3"/>
  <c r="F476" i="3"/>
  <c r="D93" i="4"/>
  <c r="M93" i="4"/>
  <c r="F445" i="3"/>
  <c r="G410" i="3"/>
  <c r="D86" i="4"/>
  <c r="M86" i="4"/>
  <c r="G450" i="3"/>
  <c r="G433" i="3"/>
  <c r="G466" i="3"/>
  <c r="D81" i="4"/>
  <c r="M81" i="4"/>
  <c r="F466" i="3"/>
  <c r="F459" i="3"/>
  <c r="M70" i="4"/>
  <c r="D70" i="4"/>
  <c r="D35" i="4"/>
  <c r="M35" i="4"/>
  <c r="F436" i="3"/>
  <c r="D41" i="4"/>
  <c r="M41" i="4"/>
  <c r="F401" i="3"/>
  <c r="M50" i="4"/>
  <c r="D50" i="4"/>
  <c r="D62" i="4"/>
  <c r="M62" i="4"/>
  <c r="F428" i="3"/>
  <c r="F431" i="3"/>
  <c r="G378" i="3"/>
  <c r="G429" i="3"/>
  <c r="M71" i="4"/>
  <c r="D71" i="4"/>
  <c r="G369" i="3"/>
  <c r="D30" i="4"/>
  <c r="M30" i="4"/>
  <c r="F393" i="3"/>
  <c r="F343" i="3"/>
  <c r="G373" i="3"/>
  <c r="G360" i="3"/>
  <c r="G575" i="3"/>
  <c r="G572" i="3"/>
  <c r="F553" i="3"/>
  <c r="D167" i="4"/>
  <c r="M167" i="4"/>
  <c r="G509" i="3"/>
  <c r="D130" i="4"/>
  <c r="M130" i="4"/>
  <c r="D136" i="4"/>
  <c r="M136" i="4"/>
  <c r="G492" i="3"/>
  <c r="F514" i="3"/>
  <c r="D166" i="4"/>
  <c r="M166" i="4"/>
  <c r="F524" i="3"/>
  <c r="D178" i="4"/>
  <c r="M178" i="4"/>
  <c r="D144" i="4"/>
  <c r="M144" i="4"/>
  <c r="D143" i="4"/>
  <c r="M143" i="4"/>
  <c r="M110" i="4"/>
  <c r="D110" i="4"/>
  <c r="F483" i="3"/>
  <c r="F472" i="3"/>
  <c r="G468" i="3"/>
  <c r="D90" i="4"/>
  <c r="M90" i="4"/>
  <c r="D140" i="4"/>
  <c r="M140" i="4"/>
  <c r="G484" i="3"/>
  <c r="F458" i="3"/>
  <c r="D94" i="4"/>
  <c r="M94" i="4"/>
  <c r="F426" i="3"/>
  <c r="D29" i="4"/>
  <c r="M29" i="4"/>
  <c r="D69" i="4"/>
  <c r="M69" i="4"/>
  <c r="G423" i="3"/>
  <c r="F467" i="3"/>
  <c r="G470" i="3"/>
  <c r="G465" i="3"/>
  <c r="G476" i="3"/>
  <c r="F411" i="3"/>
  <c r="F376" i="3"/>
  <c r="F398" i="3"/>
  <c r="G418" i="3"/>
  <c r="G399" i="3"/>
  <c r="G438" i="3"/>
  <c r="G419" i="3"/>
  <c r="F442" i="3"/>
  <c r="G366" i="3"/>
  <c r="F430" i="3"/>
  <c r="F437" i="3"/>
  <c r="M22" i="4"/>
  <c r="D22" i="4"/>
  <c r="G361" i="3"/>
  <c r="F392" i="3"/>
  <c r="F374" i="3"/>
  <c r="F399" i="3"/>
  <c r="G336" i="3"/>
  <c r="F346" i="3"/>
  <c r="U2" i="3"/>
  <c r="D190" i="4"/>
  <c r="M190" i="4"/>
  <c r="F573" i="3"/>
  <c r="D161" i="4"/>
  <c r="M161" i="4"/>
  <c r="M155" i="4"/>
  <c r="D155" i="4"/>
  <c r="D132" i="4"/>
  <c r="M132" i="4"/>
  <c r="D101" i="4"/>
  <c r="M101" i="4"/>
  <c r="D150" i="4"/>
  <c r="M150" i="4"/>
  <c r="G460" i="3"/>
  <c r="D44" i="4"/>
  <c r="M44" i="4"/>
  <c r="F474" i="3"/>
  <c r="G463" i="3"/>
  <c r="F460" i="3"/>
  <c r="D85" i="4"/>
  <c r="M85" i="4"/>
  <c r="F471" i="3"/>
  <c r="F477" i="3"/>
  <c r="D77" i="4"/>
  <c r="M77" i="4"/>
  <c r="G405" i="3"/>
  <c r="G435" i="3"/>
  <c r="F419" i="3"/>
  <c r="G389" i="3"/>
  <c r="G400" i="3"/>
  <c r="F439" i="3"/>
  <c r="D46" i="4"/>
  <c r="M46" i="4"/>
  <c r="G430" i="3"/>
  <c r="F420" i="3"/>
  <c r="D60" i="4"/>
  <c r="M60" i="4"/>
  <c r="F427" i="3"/>
  <c r="D48" i="4"/>
  <c r="M48" i="4"/>
  <c r="F387" i="3"/>
  <c r="F356" i="3"/>
  <c r="F362" i="3"/>
  <c r="F368" i="3"/>
  <c r="G340" i="3"/>
  <c r="G398" i="3"/>
  <c r="G332" i="3"/>
  <c r="D177" i="4"/>
  <c r="M177" i="4"/>
  <c r="F556" i="3"/>
  <c r="F562" i="3"/>
  <c r="F576" i="3"/>
  <c r="D173" i="4"/>
  <c r="M173" i="4"/>
  <c r="D171" i="4"/>
  <c r="M171" i="4"/>
  <c r="G507" i="3"/>
  <c r="G494" i="3"/>
  <c r="F491" i="3"/>
  <c r="F513" i="3"/>
  <c r="F488" i="3"/>
  <c r="M142" i="4"/>
  <c r="D142" i="4"/>
  <c r="F507" i="3"/>
  <c r="F520" i="3"/>
  <c r="G469" i="3"/>
  <c r="F469" i="3"/>
  <c r="F508" i="3"/>
  <c r="F485" i="3"/>
  <c r="D194" i="4"/>
  <c r="M194" i="4"/>
  <c r="G543" i="3"/>
  <c r="D181" i="4"/>
  <c r="M181" i="4"/>
  <c r="D191" i="4"/>
  <c r="M191" i="4"/>
  <c r="G534" i="3"/>
  <c r="D113" i="4"/>
  <c r="M113" i="4"/>
  <c r="G512" i="3"/>
  <c r="F479" i="3"/>
  <c r="G540" i="3"/>
  <c r="F510" i="3"/>
  <c r="G506" i="3"/>
  <c r="F519" i="3"/>
  <c r="F515" i="3"/>
  <c r="D87" i="4"/>
  <c r="M87" i="4"/>
  <c r="G514" i="3"/>
  <c r="M103" i="4"/>
  <c r="D103" i="4"/>
  <c r="F489" i="3"/>
  <c r="F447" i="3"/>
  <c r="F464" i="3"/>
  <c r="D59" i="4"/>
  <c r="M59" i="4"/>
  <c r="D84" i="4"/>
  <c r="M84" i="4"/>
  <c r="G447" i="3"/>
  <c r="G432" i="3"/>
  <c r="D54" i="4"/>
  <c r="M54" i="4"/>
  <c r="G393" i="3"/>
  <c r="G417" i="3"/>
  <c r="D49" i="4"/>
  <c r="M49" i="4"/>
  <c r="M38" i="4"/>
  <c r="D38" i="4"/>
  <c r="D55" i="4"/>
  <c r="M55" i="4"/>
  <c r="G386" i="3"/>
  <c r="G351" i="3"/>
  <c r="F375" i="3"/>
  <c r="F341" i="3"/>
  <c r="F415" i="3"/>
  <c r="F358" i="3"/>
  <c r="G370" i="3"/>
  <c r="F332" i="3"/>
  <c r="F333" i="3"/>
  <c r="F347" i="3"/>
  <c r="V2" i="3"/>
  <c r="D185" i="4"/>
  <c r="M185" i="4"/>
  <c r="F570" i="3"/>
  <c r="D131" i="4"/>
  <c r="M131" i="4"/>
  <c r="F541" i="3"/>
  <c r="G493" i="3"/>
  <c r="G518" i="3"/>
  <c r="D133" i="4"/>
  <c r="M133" i="4"/>
  <c r="G500" i="3"/>
  <c r="G520" i="3"/>
  <c r="F500" i="3"/>
  <c r="G473" i="3"/>
  <c r="D82" i="4"/>
  <c r="M82" i="4"/>
  <c r="G439" i="3"/>
  <c r="D89" i="4"/>
  <c r="M89" i="4"/>
  <c r="G454" i="3"/>
  <c r="M95" i="4"/>
  <c r="D95" i="4"/>
  <c r="D66" i="4"/>
  <c r="M66" i="4"/>
  <c r="G404" i="3"/>
  <c r="F433" i="3"/>
  <c r="F391" i="3"/>
  <c r="G428" i="3"/>
  <c r="D37" i="4"/>
  <c r="M37" i="4"/>
  <c r="F386" i="3"/>
  <c r="D57" i="4"/>
  <c r="M57" i="4"/>
  <c r="F400" i="3"/>
  <c r="G408" i="3"/>
  <c r="F403" i="3"/>
  <c r="F438" i="3"/>
  <c r="D45" i="4"/>
  <c r="M45" i="4"/>
  <c r="G402" i="3"/>
  <c r="G349" i="3"/>
  <c r="G356" i="3"/>
  <c r="F352" i="3"/>
  <c r="G374" i="3"/>
  <c r="F349" i="3"/>
  <c r="F361" i="3"/>
  <c r="G338" i="3"/>
  <c r="F371" i="3"/>
  <c r="G341" i="3"/>
  <c r="G345" i="3"/>
  <c r="M169" i="4"/>
  <c r="D169" i="4"/>
  <c r="G570" i="3"/>
  <c r="G497" i="3"/>
  <c r="F567" i="3"/>
  <c r="F528" i="3"/>
  <c r="F516" i="3"/>
  <c r="F533" i="3"/>
  <c r="D125" i="4"/>
  <c r="M125" i="4"/>
  <c r="F558" i="3"/>
  <c r="D100" i="4"/>
  <c r="M100" i="4"/>
  <c r="G571" i="3"/>
  <c r="F544" i="3"/>
  <c r="F557" i="3"/>
  <c r="G576" i="3"/>
  <c r="G569" i="3"/>
  <c r="D153" i="4"/>
  <c r="M153" i="4"/>
  <c r="F555" i="3"/>
  <c r="F539" i="3"/>
  <c r="G504" i="3"/>
  <c r="G551" i="3"/>
  <c r="M159" i="4"/>
  <c r="D159" i="4"/>
  <c r="F509" i="3"/>
  <c r="D151" i="4"/>
  <c r="M151" i="4"/>
  <c r="G488" i="3"/>
  <c r="G485" i="3"/>
  <c r="G557" i="3"/>
  <c r="M137" i="4"/>
  <c r="D137" i="4"/>
  <c r="F470" i="3"/>
  <c r="G496" i="3"/>
  <c r="F506" i="3"/>
  <c r="F499" i="3"/>
  <c r="F501" i="3"/>
  <c r="G480" i="3"/>
  <c r="D65" i="4"/>
  <c r="M65" i="4"/>
  <c r="D92" i="4"/>
  <c r="M92" i="4"/>
  <c r="F450" i="3"/>
  <c r="D23" i="4"/>
  <c r="M23" i="4"/>
  <c r="F446" i="3"/>
  <c r="F434" i="3"/>
  <c r="F390" i="3"/>
  <c r="F441" i="3"/>
  <c r="F429" i="3"/>
  <c r="F406" i="3"/>
  <c r="G392" i="3"/>
  <c r="F435" i="3"/>
  <c r="D18" i="4"/>
  <c r="M18" i="4"/>
  <c r="G401" i="3"/>
  <c r="D56" i="4"/>
  <c r="M56" i="4"/>
  <c r="F413" i="3"/>
  <c r="D21" i="4"/>
  <c r="M21" i="4"/>
  <c r="G409" i="3"/>
  <c r="F357" i="3"/>
  <c r="F354" i="3"/>
  <c r="F339" i="3"/>
  <c r="G350" i="3"/>
  <c r="G414" i="3"/>
  <c r="F359" i="3"/>
  <c r="F334" i="3"/>
  <c r="G568" i="3"/>
  <c r="G553" i="3"/>
  <c r="G566" i="3"/>
  <c r="D123" i="4"/>
  <c r="M123" i="4"/>
  <c r="F552" i="3"/>
  <c r="F551" i="3"/>
  <c r="G481" i="3"/>
  <c r="F494" i="3"/>
  <c r="M104" i="4"/>
  <c r="D104" i="4"/>
  <c r="G501" i="3"/>
  <c r="G456" i="3"/>
  <c r="D115" i="4"/>
  <c r="M115" i="4"/>
  <c r="G505" i="3"/>
  <c r="F521" i="3"/>
  <c r="F481" i="3"/>
  <c r="G413" i="3"/>
  <c r="F461" i="3"/>
  <c r="F456" i="3"/>
  <c r="F486" i="3"/>
  <c r="F455" i="3"/>
  <c r="F462" i="3"/>
  <c r="G397" i="3"/>
  <c r="G388" i="3"/>
  <c r="M24" i="4"/>
  <c r="D24" i="4"/>
  <c r="F385" i="3"/>
  <c r="F388" i="3"/>
  <c r="G434" i="3"/>
  <c r="G380" i="3"/>
  <c r="D26" i="4"/>
  <c r="M26" i="4"/>
  <c r="F402" i="3"/>
  <c r="M31" i="4"/>
  <c r="D31" i="4"/>
  <c r="F410" i="3"/>
  <c r="G365" i="3"/>
  <c r="F396" i="3"/>
  <c r="G334" i="3"/>
  <c r="G337" i="3"/>
  <c r="F370" i="3"/>
  <c r="G344" i="3"/>
  <c r="G382" i="3"/>
  <c r="G348" i="3"/>
  <c r="G372" i="3"/>
  <c r="F351" i="3"/>
  <c r="D33" i="4"/>
  <c r="M33" i="4"/>
  <c r="G357" i="3"/>
  <c r="M192" i="4"/>
  <c r="D192" i="4"/>
  <c r="G554" i="3"/>
  <c r="G546" i="3"/>
  <c r="F577" i="3"/>
  <c r="G529" i="3"/>
  <c r="G550" i="3"/>
  <c r="F565" i="3"/>
  <c r="G544" i="3"/>
  <c r="D188" i="4"/>
  <c r="M188" i="4"/>
  <c r="F569" i="3"/>
  <c r="F530" i="3"/>
  <c r="G522" i="3"/>
  <c r="D170" i="4"/>
  <c r="M170" i="4"/>
  <c r="G530" i="3"/>
  <c r="M176" i="4"/>
  <c r="D176" i="4"/>
  <c r="G489" i="3"/>
  <c r="M124" i="4"/>
  <c r="D124" i="4"/>
  <c r="M117" i="4"/>
  <c r="D117" i="4"/>
  <c r="D119" i="4"/>
  <c r="M119" i="4"/>
  <c r="M139" i="4"/>
  <c r="D139" i="4"/>
  <c r="D99" i="4"/>
  <c r="M99" i="4"/>
  <c r="M74" i="4"/>
  <c r="D74" i="4"/>
  <c r="G421" i="3"/>
  <c r="D73" i="4"/>
  <c r="M73" i="4"/>
  <c r="G461" i="3"/>
  <c r="F397" i="3"/>
  <c r="M51" i="4"/>
  <c r="D51" i="4"/>
  <c r="G387" i="3"/>
  <c r="M47" i="4"/>
  <c r="D47" i="4"/>
  <c r="G383" i="3"/>
  <c r="G390" i="3"/>
  <c r="D53" i="4"/>
  <c r="M53" i="4"/>
  <c r="F367" i="3"/>
  <c r="F394" i="3"/>
  <c r="M20" i="4"/>
  <c r="D20" i="4"/>
  <c r="F418" i="3"/>
  <c r="F409" i="3"/>
  <c r="D28" i="4"/>
  <c r="M28" i="4"/>
  <c r="F395" i="3"/>
  <c r="G339" i="3"/>
  <c r="F421" i="3"/>
  <c r="F345" i="3"/>
  <c r="F383" i="3"/>
  <c r="F337" i="3"/>
  <c r="G333" i="3"/>
  <c r="G516" i="3"/>
  <c r="G564" i="3"/>
  <c r="M195" i="4"/>
  <c r="D195" i="4"/>
  <c r="F564" i="3"/>
  <c r="M172" i="4"/>
  <c r="D172" i="4"/>
  <c r="G499" i="3"/>
  <c r="G537" i="3"/>
  <c r="D112" i="4"/>
  <c r="M112" i="4"/>
  <c r="D75" i="4"/>
  <c r="M75" i="4"/>
  <c r="M183" i="4"/>
  <c r="D183" i="4"/>
  <c r="M163" i="4"/>
  <c r="D163" i="4"/>
  <c r="F547" i="3"/>
  <c r="D182" i="4"/>
  <c r="M182" i="4"/>
  <c r="F571" i="3"/>
  <c r="D187" i="4"/>
  <c r="M187" i="4"/>
  <c r="G545" i="3"/>
  <c r="F534" i="3"/>
  <c r="F538" i="3"/>
  <c r="F531" i="3"/>
  <c r="F502" i="3"/>
  <c r="F542" i="3"/>
  <c r="G459" i="3"/>
  <c r="F527" i="3"/>
  <c r="F511" i="3"/>
  <c r="F482" i="3"/>
  <c r="D79" i="4"/>
  <c r="M79" i="4"/>
  <c r="G453" i="3"/>
  <c r="G472" i="3"/>
  <c r="F478" i="3"/>
  <c r="F449" i="3"/>
  <c r="G464" i="3"/>
  <c r="D80" i="4"/>
  <c r="M80" i="4"/>
  <c r="G385" i="3"/>
  <c r="F423" i="3"/>
  <c r="G431" i="3"/>
  <c r="G379" i="3"/>
  <c r="G424" i="3"/>
  <c r="F443" i="3"/>
  <c r="D40" i="4"/>
  <c r="D36" i="4"/>
  <c r="M36" i="4"/>
  <c r="F363" i="3"/>
  <c r="G362" i="3"/>
  <c r="F360" i="3"/>
  <c r="F340" i="3"/>
  <c r="F369" i="3"/>
  <c r="F335" i="3"/>
  <c r="F378" i="3"/>
  <c r="F344" i="3"/>
  <c r="F366" i="3"/>
  <c r="F336" i="3"/>
  <c r="F408" i="3"/>
  <c r="F529" i="3"/>
  <c r="F574" i="3"/>
  <c r="G561" i="3"/>
  <c r="M165" i="4"/>
  <c r="D165" i="4"/>
  <c r="D189" i="4"/>
  <c r="M189" i="4"/>
  <c r="M148" i="4"/>
  <c r="D148" i="4"/>
  <c r="G533" i="3"/>
  <c r="G487" i="3"/>
  <c r="M149" i="4"/>
  <c r="D149" i="4"/>
  <c r="F457" i="3"/>
  <c r="F504" i="3"/>
  <c r="M120" i="4"/>
  <c r="D120" i="4"/>
  <c r="M108" i="4"/>
  <c r="D108" i="4"/>
  <c r="G483" i="3"/>
  <c r="D78" i="4"/>
  <c r="M78" i="4"/>
  <c r="G510" i="3"/>
  <c r="F498" i="3"/>
  <c r="D98" i="4"/>
  <c r="M98" i="4"/>
  <c r="G474" i="3"/>
  <c r="F451" i="3"/>
  <c r="G467" i="3"/>
  <c r="F454" i="3"/>
  <c r="G462" i="3"/>
  <c r="G477" i="3"/>
  <c r="F465" i="3"/>
  <c r="G451" i="3"/>
  <c r="G416" i="3"/>
  <c r="F384" i="3"/>
  <c r="F424" i="3"/>
  <c r="G443" i="3"/>
  <c r="F425" i="3"/>
  <c r="D19" i="4"/>
  <c r="M19" i="4"/>
  <c r="G415" i="3"/>
  <c r="D27" i="4"/>
  <c r="M27" i="4"/>
  <c r="F405" i="3"/>
  <c r="G394" i="3"/>
  <c r="G411" i="3"/>
  <c r="G368" i="3"/>
  <c r="F379" i="3"/>
  <c r="G363" i="3"/>
  <c r="F407" i="3"/>
  <c r="G352" i="3"/>
  <c r="F578" i="3"/>
  <c r="G563" i="3"/>
  <c r="J201" i="4"/>
  <c r="H201" i="4"/>
  <c r="G565" i="3"/>
  <c r="G560" i="3"/>
  <c r="D146" i="4"/>
  <c r="M146" i="4"/>
  <c r="E553" i="3"/>
  <c r="F554" i="3"/>
  <c r="M141" i="4"/>
  <c r="D141" i="4"/>
  <c r="G535" i="3"/>
  <c r="M156" i="4"/>
  <c r="D156" i="4"/>
  <c r="I201" i="4"/>
  <c r="K201" i="4" s="1"/>
  <c r="G528" i="3"/>
  <c r="D180" i="4"/>
  <c r="M180" i="4"/>
  <c r="F563" i="3"/>
  <c r="G573" i="3"/>
  <c r="D184" i="4"/>
  <c r="M184" i="4"/>
  <c r="F575" i="3"/>
  <c r="F561" i="3"/>
  <c r="F550" i="3"/>
  <c r="F546" i="3"/>
  <c r="D164" i="4"/>
  <c r="M164" i="4"/>
  <c r="M152" i="4"/>
  <c r="D152" i="4"/>
  <c r="F503" i="3"/>
  <c r="F536" i="3"/>
  <c r="G547" i="3"/>
  <c r="G532" i="3"/>
  <c r="G559" i="3"/>
  <c r="G524" i="3"/>
  <c r="F492" i="3"/>
  <c r="F497" i="3"/>
  <c r="G541" i="3"/>
  <c r="M102" i="4"/>
  <c r="D102" i="4"/>
  <c r="F480" i="3"/>
  <c r="F523" i="3"/>
  <c r="G457" i="3"/>
  <c r="G475" i="3"/>
  <c r="F475" i="3"/>
  <c r="G444" i="3"/>
  <c r="F468" i="3"/>
  <c r="F473" i="3"/>
  <c r="D63" i="4"/>
  <c r="D52" i="4"/>
  <c r="F463" i="3"/>
  <c r="F448" i="3"/>
  <c r="D83" i="4"/>
  <c r="M83" i="4"/>
  <c r="F452" i="3"/>
  <c r="F389" i="3"/>
  <c r="F417" i="3"/>
  <c r="F432" i="3"/>
  <c r="F444" i="3"/>
  <c r="G442" i="3"/>
  <c r="F372" i="3"/>
  <c r="F377" i="3"/>
  <c r="E415" i="3"/>
  <c r="F416" i="3"/>
  <c r="G395" i="3"/>
  <c r="G452" i="3"/>
  <c r="G403" i="3"/>
  <c r="G354" i="3"/>
  <c r="F338" i="3"/>
  <c r="F412" i="3"/>
  <c r="E411" i="3"/>
  <c r="F365" i="3"/>
  <c r="E364" i="3"/>
  <c r="G377" i="3"/>
  <c r="F364" i="3"/>
  <c r="G406" i="3"/>
  <c r="F353" i="3"/>
  <c r="E451" i="3" l="1"/>
  <c r="E406" i="3"/>
  <c r="E562" i="3"/>
  <c r="E453" i="3"/>
  <c r="E369" i="3"/>
  <c r="E545" i="3"/>
  <c r="E378" i="3"/>
  <c r="E424" i="3"/>
  <c r="E336" i="3"/>
  <c r="E462" i="3"/>
  <c r="E522" i="3"/>
  <c r="E368" i="3"/>
  <c r="E456" i="3"/>
  <c r="E570" i="3"/>
  <c r="E393" i="3"/>
  <c r="E352" i="3"/>
  <c r="E508" i="3"/>
  <c r="E479" i="3"/>
  <c r="E535" i="3"/>
  <c r="E337" i="3"/>
  <c r="E431" i="3"/>
  <c r="E416" i="3"/>
  <c r="E574" i="3"/>
  <c r="E464" i="3"/>
  <c r="E528" i="3"/>
  <c r="E388" i="3"/>
  <c r="E472" i="3"/>
  <c r="E577" i="3"/>
  <c r="E362" i="3"/>
  <c r="E443" i="3"/>
  <c r="E549" i="3"/>
  <c r="E560" i="3"/>
  <c r="E502" i="3"/>
  <c r="E363" i="3"/>
  <c r="E467" i="3"/>
  <c r="E474" i="3"/>
  <c r="E491" i="3"/>
  <c r="E335" i="3"/>
  <c r="H328" i="3"/>
  <c r="Q328" i="3" s="1"/>
  <c r="H183" i="3"/>
  <c r="E578" i="3"/>
  <c r="E407" i="3"/>
  <c r="E358" i="3"/>
  <c r="H41" i="3"/>
  <c r="P41" i="3" s="1"/>
  <c r="H209" i="3"/>
  <c r="R209" i="3" s="1"/>
  <c r="H8" i="3"/>
  <c r="O8" i="3" s="1"/>
  <c r="H84" i="3"/>
  <c r="O84" i="3" s="1"/>
  <c r="H226" i="3"/>
  <c r="N226" i="3" s="1"/>
  <c r="H296" i="3"/>
  <c r="O296" i="3" s="1"/>
  <c r="H71" i="3"/>
  <c r="P71" i="3" s="1"/>
  <c r="H60" i="3"/>
  <c r="M60" i="3" s="1"/>
  <c r="H106" i="3"/>
  <c r="O106" i="3" s="1"/>
  <c r="H250" i="3"/>
  <c r="P250" i="3" s="1"/>
  <c r="H278" i="3"/>
  <c r="M278" i="3" s="1"/>
  <c r="H242" i="3"/>
  <c r="N242" i="3" s="1"/>
  <c r="H294" i="3"/>
  <c r="R294" i="3" s="1"/>
  <c r="H132" i="3"/>
  <c r="M132" i="3" s="1"/>
  <c r="H302" i="3"/>
  <c r="R302" i="3" s="1"/>
  <c r="H319" i="3"/>
  <c r="M319" i="3" s="1"/>
  <c r="H190" i="3"/>
  <c r="N190" i="3" s="1"/>
  <c r="H318" i="3"/>
  <c r="M318" i="3" s="1"/>
  <c r="H146" i="3"/>
  <c r="Q146" i="3" s="1"/>
  <c r="H213" i="3"/>
  <c r="P213" i="3" s="1"/>
  <c r="H121" i="3"/>
  <c r="H245" i="3"/>
  <c r="N245" i="3" s="1"/>
  <c r="H227" i="3"/>
  <c r="Q227" i="3" s="1"/>
  <c r="H138" i="3"/>
  <c r="N138" i="3" s="1"/>
  <c r="H128" i="3"/>
  <c r="O128" i="3" s="1"/>
  <c r="H112" i="3"/>
  <c r="M112" i="3" s="1"/>
  <c r="H269" i="3"/>
  <c r="P269" i="3" s="1"/>
  <c r="H75" i="3"/>
  <c r="N75" i="3" s="1"/>
  <c r="H281" i="3"/>
  <c r="N281" i="3" s="1"/>
  <c r="H235" i="3"/>
  <c r="P235" i="3" s="1"/>
  <c r="H177" i="3"/>
  <c r="Q177" i="3" s="1"/>
  <c r="H139" i="3"/>
  <c r="P139" i="3" s="1"/>
  <c r="H61" i="3"/>
  <c r="M61" i="3" s="1"/>
  <c r="H313" i="3"/>
  <c r="Q313" i="3" s="1"/>
  <c r="H54" i="3"/>
  <c r="O54" i="3" s="1"/>
  <c r="H179" i="3"/>
  <c r="Q179" i="3" s="1"/>
  <c r="H12" i="3"/>
  <c r="O12" i="3" s="1"/>
  <c r="H202" i="3"/>
  <c r="M202" i="3" s="1"/>
  <c r="H115" i="3"/>
  <c r="R115" i="3" s="1"/>
  <c r="H305" i="3"/>
  <c r="M305" i="3" s="1"/>
  <c r="H142" i="3"/>
  <c r="P142" i="3" s="1"/>
  <c r="H21" i="3"/>
  <c r="N21" i="3" s="1"/>
  <c r="H282" i="3"/>
  <c r="M282" i="3" s="1"/>
  <c r="H78" i="3"/>
  <c r="P78" i="3" s="1"/>
  <c r="H268" i="3"/>
  <c r="R268" i="3" s="1"/>
  <c r="H214" i="3"/>
  <c r="M214" i="3" s="1"/>
  <c r="H197" i="3"/>
  <c r="Q197" i="3" s="1"/>
  <c r="H156" i="3"/>
  <c r="M156" i="3" s="1"/>
  <c r="H9" i="3"/>
  <c r="R9" i="3" s="1"/>
  <c r="H308" i="3"/>
  <c r="Q308" i="3" s="1"/>
  <c r="H129" i="3"/>
  <c r="Q129" i="3" s="1"/>
  <c r="H212" i="3"/>
  <c r="P212" i="3" s="1"/>
  <c r="H320" i="3"/>
  <c r="O320" i="3" s="1"/>
  <c r="H43" i="3"/>
  <c r="Q43" i="3" s="1"/>
  <c r="H331" i="3"/>
  <c r="Q331" i="3" s="1"/>
  <c r="H249" i="3"/>
  <c r="Q249" i="3" s="1"/>
  <c r="H124" i="3"/>
  <c r="O124" i="3" s="1"/>
  <c r="H90" i="3"/>
  <c r="R90" i="3" s="1"/>
  <c r="H144" i="3"/>
  <c r="R144" i="3" s="1"/>
  <c r="H98" i="3"/>
  <c r="N98" i="3" s="1"/>
  <c r="H28" i="3"/>
  <c r="O28" i="3" s="1"/>
  <c r="H253" i="3"/>
  <c r="O253" i="3" s="1"/>
  <c r="H58" i="3"/>
  <c r="O58" i="3" s="1"/>
  <c r="H329" i="3"/>
  <c r="P329" i="3" s="1"/>
  <c r="H82" i="3"/>
  <c r="Q82" i="3" s="1"/>
  <c r="H10" i="3"/>
  <c r="P10" i="3" s="1"/>
  <c r="H194" i="3"/>
  <c r="R194" i="3" s="1"/>
  <c r="H145" i="3"/>
  <c r="N145" i="3" s="1"/>
  <c r="O4" i="3"/>
  <c r="H113" i="3"/>
  <c r="Q113" i="3" s="1"/>
  <c r="H246" i="3"/>
  <c r="O246" i="3" s="1"/>
  <c r="H300" i="3"/>
  <c r="Q300" i="3" s="1"/>
  <c r="H135" i="3"/>
  <c r="Q135" i="3" s="1"/>
  <c r="H77" i="3"/>
  <c r="M77" i="3" s="1"/>
  <c r="H85" i="3"/>
  <c r="N85" i="3" s="1"/>
  <c r="H72" i="3"/>
  <c r="Q72" i="3" s="1"/>
  <c r="H207" i="3"/>
  <c r="M207" i="3" s="1"/>
  <c r="H32" i="3"/>
  <c r="O32" i="3" s="1"/>
  <c r="H206" i="3"/>
  <c r="N206" i="3" s="1"/>
  <c r="H105" i="3"/>
  <c r="P105" i="3" s="1"/>
  <c r="H258" i="3"/>
  <c r="Q258" i="3" s="1"/>
  <c r="H56" i="3"/>
  <c r="O56" i="3" s="1"/>
  <c r="H292" i="3"/>
  <c r="Q292" i="3" s="1"/>
  <c r="H86" i="3"/>
  <c r="R86" i="3" s="1"/>
  <c r="H83" i="3"/>
  <c r="R83" i="3" s="1"/>
  <c r="H274" i="3"/>
  <c r="Q274" i="3" s="1"/>
  <c r="H185" i="3"/>
  <c r="N185" i="3" s="1"/>
  <c r="H312" i="3"/>
  <c r="Q312" i="3" s="1"/>
  <c r="H263" i="3"/>
  <c r="N263" i="3" s="1"/>
  <c r="H317" i="3"/>
  <c r="Q317" i="3" s="1"/>
  <c r="H50" i="3"/>
  <c r="O50" i="3" s="1"/>
  <c r="H259" i="3"/>
  <c r="P259" i="3" s="1"/>
  <c r="H167" i="3"/>
  <c r="Q167" i="3" s="1"/>
  <c r="H27" i="3"/>
  <c r="P27" i="3" s="1"/>
  <c r="H264" i="3"/>
  <c r="Q264" i="3" s="1"/>
  <c r="H244" i="3"/>
  <c r="M244" i="3" s="1"/>
  <c r="H326" i="3"/>
  <c r="Q326" i="3" s="1"/>
  <c r="H256" i="3"/>
  <c r="Q256" i="3" s="1"/>
  <c r="H161" i="3"/>
  <c r="Q161" i="3" s="1"/>
  <c r="H120" i="3"/>
  <c r="O120" i="3" s="1"/>
  <c r="H198" i="3"/>
  <c r="N198" i="3" s="1"/>
  <c r="H324" i="3"/>
  <c r="Q324" i="3" s="1"/>
  <c r="H285" i="3"/>
  <c r="O285" i="3" s="1"/>
  <c r="H191" i="3"/>
  <c r="Q191" i="3" s="1"/>
  <c r="H48" i="3"/>
  <c r="O48" i="3" s="1"/>
  <c r="H66" i="3"/>
  <c r="M66" i="3" s="1"/>
  <c r="H307" i="3"/>
  <c r="Q307" i="3" s="1"/>
  <c r="H116" i="3"/>
  <c r="M116" i="3" s="1"/>
  <c r="H92" i="3"/>
  <c r="R92" i="3" s="1"/>
  <c r="H169" i="3"/>
  <c r="Q169" i="3" s="1"/>
  <c r="R113" i="3"/>
  <c r="O328" i="3"/>
  <c r="M124" i="3"/>
  <c r="E195" i="3"/>
  <c r="R106" i="3"/>
  <c r="M106" i="3"/>
  <c r="N106" i="3"/>
  <c r="Q106" i="3"/>
  <c r="H25" i="3"/>
  <c r="P191" i="3"/>
  <c r="H148" i="3"/>
  <c r="H147" i="3"/>
  <c r="E94" i="3"/>
  <c r="H38" i="3"/>
  <c r="E29" i="3"/>
  <c r="H330" i="3"/>
  <c r="H222" i="3"/>
  <c r="E166" i="3"/>
  <c r="H80" i="3"/>
  <c r="H17" i="3"/>
  <c r="E76" i="3"/>
  <c r="E38" i="3"/>
  <c r="E289" i="3"/>
  <c r="E202" i="3"/>
  <c r="H137" i="3"/>
  <c r="E125" i="3"/>
  <c r="H11" i="3"/>
  <c r="H295" i="3"/>
  <c r="E183" i="3"/>
  <c r="E133" i="3"/>
  <c r="H70" i="3"/>
  <c r="H289" i="3"/>
  <c r="H73" i="3"/>
  <c r="H323" i="3"/>
  <c r="E292" i="3"/>
  <c r="E173" i="3"/>
  <c r="H108" i="3"/>
  <c r="H79" i="3"/>
  <c r="E14" i="3"/>
  <c r="E318" i="3"/>
  <c r="H204" i="3"/>
  <c r="E102" i="3"/>
  <c r="H201" i="3"/>
  <c r="H175" i="3"/>
  <c r="H97" i="3"/>
  <c r="H151" i="3"/>
  <c r="E55" i="3"/>
  <c r="E35" i="3"/>
  <c r="E296" i="3"/>
  <c r="E255" i="3"/>
  <c r="R213" i="3"/>
  <c r="N213" i="3"/>
  <c r="E178" i="3"/>
  <c r="E128" i="3"/>
  <c r="E60" i="3"/>
  <c r="H321" i="3"/>
  <c r="E256" i="3"/>
  <c r="E83" i="3"/>
  <c r="H265" i="3"/>
  <c r="H272" i="3"/>
  <c r="H266" i="3"/>
  <c r="H164" i="3"/>
  <c r="E86" i="3"/>
  <c r="H240" i="3"/>
  <c r="H239" i="3"/>
  <c r="H236" i="3"/>
  <c r="E101" i="3"/>
  <c r="H30" i="3"/>
  <c r="H29" i="3"/>
  <c r="E313" i="3"/>
  <c r="E262" i="3"/>
  <c r="E169" i="3"/>
  <c r="E176" i="3"/>
  <c r="H143" i="3"/>
  <c r="E263" i="3"/>
  <c r="H64" i="3"/>
  <c r="H297" i="3"/>
  <c r="E180" i="3"/>
  <c r="H154" i="3"/>
  <c r="H14" i="3"/>
  <c r="E137" i="3"/>
  <c r="E47" i="3"/>
  <c r="H262" i="3"/>
  <c r="H69" i="3"/>
  <c r="E245" i="3"/>
  <c r="H217" i="3"/>
  <c r="H195" i="3"/>
  <c r="E82" i="3"/>
  <c r="E65" i="3"/>
  <c r="H208" i="3"/>
  <c r="E174" i="3"/>
  <c r="H237" i="3"/>
  <c r="H163" i="3"/>
  <c r="E167" i="3"/>
  <c r="H306" i="3"/>
  <c r="E146" i="3"/>
  <c r="E305" i="3"/>
  <c r="E100" i="3"/>
  <c r="H279" i="3"/>
  <c r="E36" i="3"/>
  <c r="H284" i="3"/>
  <c r="E212" i="3"/>
  <c r="E147" i="3"/>
  <c r="E21" i="3"/>
  <c r="E297" i="3"/>
  <c r="H280" i="3"/>
  <c r="E141" i="3"/>
  <c r="E37" i="3"/>
  <c r="E330" i="3"/>
  <c r="E290" i="3"/>
  <c r="E159" i="3"/>
  <c r="H310" i="3"/>
  <c r="H303" i="3"/>
  <c r="E298" i="3"/>
  <c r="H166" i="3"/>
  <c r="E109" i="3"/>
  <c r="E279" i="3"/>
  <c r="E205" i="3"/>
  <c r="E242" i="3"/>
  <c r="E301" i="3"/>
  <c r="E162" i="3"/>
  <c r="E88" i="3"/>
  <c r="E9" i="3"/>
  <c r="O250" i="3"/>
  <c r="E199" i="3"/>
  <c r="E114" i="3"/>
  <c r="E92" i="3"/>
  <c r="H47" i="3"/>
  <c r="E7" i="3"/>
  <c r="H277" i="3"/>
  <c r="H221" i="3"/>
  <c r="E136" i="3"/>
  <c r="E48" i="3"/>
  <c r="E325" i="3"/>
  <c r="E286" i="3"/>
  <c r="H157" i="3"/>
  <c r="H153" i="3"/>
  <c r="H261" i="3"/>
  <c r="E270" i="3"/>
  <c r="E201" i="3"/>
  <c r="E81" i="3"/>
  <c r="E257" i="3"/>
  <c r="E213" i="3"/>
  <c r="E237" i="3"/>
  <c r="E143" i="3"/>
  <c r="E87" i="3"/>
  <c r="E27" i="3"/>
  <c r="E302" i="3"/>
  <c r="H293" i="3"/>
  <c r="E190" i="3"/>
  <c r="H174" i="3"/>
  <c r="E110" i="3"/>
  <c r="Q183" i="3"/>
  <c r="O183" i="3"/>
  <c r="M183" i="3"/>
  <c r="N183" i="3"/>
  <c r="P183" i="3"/>
  <c r="R183" i="3"/>
  <c r="Q121" i="3"/>
  <c r="N121" i="3"/>
  <c r="M121" i="3"/>
  <c r="P121" i="3"/>
  <c r="R121" i="3"/>
  <c r="O121" i="3"/>
  <c r="H89" i="3"/>
  <c r="E22" i="3"/>
  <c r="H309" i="3"/>
  <c r="E275" i="3"/>
  <c r="R259" i="3"/>
  <c r="H176" i="3"/>
  <c r="Q7" i="3"/>
  <c r="M7" i="3"/>
  <c r="N7" i="3"/>
  <c r="O7" i="3"/>
  <c r="P7" i="3"/>
  <c r="R7" i="3"/>
  <c r="E238" i="3"/>
  <c r="H180" i="3"/>
  <c r="H102" i="3"/>
  <c r="E103" i="3"/>
  <c r="H13" i="3"/>
  <c r="E309" i="3"/>
  <c r="H325" i="3"/>
  <c r="E316" i="3"/>
  <c r="E186" i="3"/>
  <c r="E314" i="3"/>
  <c r="E215" i="3"/>
  <c r="E152" i="3"/>
  <c r="H95" i="3"/>
  <c r="H40" i="3"/>
  <c r="E281" i="3"/>
  <c r="E226" i="3"/>
  <c r="E66" i="3"/>
  <c r="H165" i="3"/>
  <c r="H287" i="3"/>
  <c r="E214" i="3"/>
  <c r="H223" i="3"/>
  <c r="H224" i="3"/>
  <c r="H87" i="3"/>
  <c r="H88" i="3"/>
  <c r="E151" i="3"/>
  <c r="E117" i="3"/>
  <c r="H248" i="3"/>
  <c r="E99" i="3"/>
  <c r="E265" i="3"/>
  <c r="H327" i="3"/>
  <c r="H131" i="3"/>
  <c r="H130" i="3"/>
  <c r="E164" i="3"/>
  <c r="E24" i="3"/>
  <c r="E288" i="3"/>
  <c r="H196" i="3"/>
  <c r="H134" i="3"/>
  <c r="H76" i="3"/>
  <c r="E15" i="3"/>
  <c r="H189" i="3"/>
  <c r="H107" i="3"/>
  <c r="E61" i="3"/>
  <c r="H20" i="3"/>
  <c r="H316" i="3"/>
  <c r="H114" i="3"/>
  <c r="H59" i="3"/>
  <c r="H314" i="3"/>
  <c r="E184" i="3"/>
  <c r="E96" i="3"/>
  <c r="E315" i="3"/>
  <c r="H252" i="3"/>
  <c r="E172" i="3"/>
  <c r="E98" i="3"/>
  <c r="O6" i="3"/>
  <c r="Q6" i="3"/>
  <c r="R6" i="3"/>
  <c r="M6" i="3"/>
  <c r="N6" i="3"/>
  <c r="P6" i="3"/>
  <c r="E252" i="3"/>
  <c r="H52" i="3"/>
  <c r="E208" i="3"/>
  <c r="H99" i="3"/>
  <c r="E74" i="3"/>
  <c r="H275" i="3"/>
  <c r="E317" i="3"/>
  <c r="H211" i="3"/>
  <c r="E179" i="3"/>
  <c r="H101" i="3"/>
  <c r="E84" i="3"/>
  <c r="E51" i="3"/>
  <c r="E258" i="3"/>
  <c r="E225" i="3"/>
  <c r="H122" i="3"/>
  <c r="H55" i="3"/>
  <c r="H288" i="3"/>
  <c r="H255" i="3"/>
  <c r="H216" i="3"/>
  <c r="E200" i="3"/>
  <c r="E30" i="3"/>
  <c r="E232" i="3"/>
  <c r="E193" i="3"/>
  <c r="E11" i="3"/>
  <c r="E320" i="3"/>
  <c r="E235" i="3"/>
  <c r="H67" i="3"/>
  <c r="E31" i="3"/>
  <c r="E236" i="3"/>
  <c r="E156" i="3"/>
  <c r="E124" i="3"/>
  <c r="H141" i="3"/>
  <c r="E326" i="3"/>
  <c r="E283" i="3"/>
  <c r="E229" i="3"/>
  <c r="H173" i="3"/>
  <c r="H210" i="3"/>
  <c r="H171" i="3"/>
  <c r="H127" i="3"/>
  <c r="H260" i="3"/>
  <c r="E46" i="3"/>
  <c r="E198" i="3"/>
  <c r="E79" i="3"/>
  <c r="E34" i="3"/>
  <c r="E12" i="3"/>
  <c r="E222" i="3"/>
  <c r="E112" i="3"/>
  <c r="E319" i="3"/>
  <c r="H160" i="3"/>
  <c r="H46" i="3"/>
  <c r="H231" i="3"/>
  <c r="H170" i="3"/>
  <c r="H23" i="3"/>
  <c r="E157" i="3"/>
  <c r="H301" i="3"/>
  <c r="H228" i="3"/>
  <c r="H229" i="3"/>
  <c r="E158" i="3"/>
  <c r="E75" i="3"/>
  <c r="H51" i="3"/>
  <c r="E311" i="3"/>
  <c r="E266" i="3"/>
  <c r="E54" i="3"/>
  <c r="H24" i="3"/>
  <c r="H291" i="3"/>
  <c r="H290" i="3"/>
  <c r="H251" i="3"/>
  <c r="E209" i="3"/>
  <c r="E58" i="3"/>
  <c r="E68" i="3"/>
  <c r="E278" i="3"/>
  <c r="E59" i="3"/>
  <c r="H186" i="3"/>
  <c r="H117" i="3"/>
  <c r="H118" i="3"/>
  <c r="H42" i="3"/>
  <c r="E16" i="3"/>
  <c r="H315" i="3"/>
  <c r="H184" i="3"/>
  <c r="E19" i="3"/>
  <c r="H298" i="3"/>
  <c r="E253" i="3"/>
  <c r="E95" i="3"/>
  <c r="E293" i="3"/>
  <c r="H238" i="3"/>
  <c r="E144" i="3"/>
  <c r="E107" i="3"/>
  <c r="E254" i="3"/>
  <c r="E91" i="3"/>
  <c r="H62" i="3"/>
  <c r="E148" i="3"/>
  <c r="H140" i="3"/>
  <c r="E312" i="3"/>
  <c r="H111" i="3"/>
  <c r="H35" i="3"/>
  <c r="E206" i="3"/>
  <c r="H39" i="3"/>
  <c r="E306" i="3"/>
  <c r="H267" i="3"/>
  <c r="E113" i="3"/>
  <c r="H81" i="3"/>
  <c r="H168" i="3"/>
  <c r="H155" i="3"/>
  <c r="H126" i="3"/>
  <c r="H57" i="3"/>
  <c r="H37" i="3"/>
  <c r="H220" i="3"/>
  <c r="H219" i="3"/>
  <c r="E228" i="3"/>
  <c r="E165" i="3"/>
  <c r="H123" i="3"/>
  <c r="E44" i="3"/>
  <c r="H22" i="3"/>
  <c r="E241" i="3"/>
  <c r="H45" i="3"/>
  <c r="E224" i="3"/>
  <c r="H172" i="3"/>
  <c r="H103" i="3"/>
  <c r="E53" i="3"/>
  <c r="E277" i="3"/>
  <c r="H218" i="3"/>
  <c r="E123" i="3"/>
  <c r="H18" i="3"/>
  <c r="E310" i="3"/>
  <c r="E218" i="3"/>
  <c r="E78" i="3"/>
  <c r="E18" i="3"/>
  <c r="E273" i="3"/>
  <c r="E171" i="3"/>
  <c r="E287" i="3"/>
  <c r="E26" i="3"/>
  <c r="R4" i="3"/>
  <c r="H299" i="3"/>
  <c r="H273" i="3"/>
  <c r="E246" i="3"/>
  <c r="H230" i="3"/>
  <c r="E217" i="3"/>
  <c r="E175" i="3"/>
  <c r="E56" i="3"/>
  <c r="H16" i="3"/>
  <c r="E234" i="3"/>
  <c r="E160" i="3"/>
  <c r="E80" i="3"/>
  <c r="H26" i="3"/>
  <c r="H225" i="3"/>
  <c r="H68" i="3"/>
  <c r="E32" i="3"/>
  <c r="E135" i="3"/>
  <c r="H31" i="3"/>
  <c r="E303" i="3"/>
  <c r="E130" i="3"/>
  <c r="H63" i="3"/>
  <c r="H322" i="3"/>
  <c r="E285" i="3"/>
  <c r="H136" i="3"/>
  <c r="E90" i="3"/>
  <c r="E188" i="3"/>
  <c r="E276" i="3"/>
  <c r="E73" i="3"/>
  <c r="E249" i="3"/>
  <c r="E116" i="3"/>
  <c r="N5" i="3"/>
  <c r="M5" i="3"/>
  <c r="O5" i="3"/>
  <c r="P5" i="3"/>
  <c r="Q5" i="3"/>
  <c r="R5" i="3"/>
  <c r="E271" i="3"/>
  <c r="H100" i="3"/>
  <c r="H104" i="3"/>
  <c r="E43" i="3"/>
  <c r="E264" i="3"/>
  <c r="Q4" i="3"/>
  <c r="H232" i="3"/>
  <c r="H286" i="3"/>
  <c r="H243" i="3"/>
  <c r="E57" i="3"/>
  <c r="E25" i="3"/>
  <c r="H203" i="3"/>
  <c r="E140" i="3"/>
  <c r="E304" i="3"/>
  <c r="H192" i="3"/>
  <c r="E129" i="3"/>
  <c r="E321" i="3"/>
  <c r="E295" i="3"/>
  <c r="H182" i="3"/>
  <c r="E189" i="3"/>
  <c r="H125" i="3"/>
  <c r="H36" i="3"/>
  <c r="E227" i="3"/>
  <c r="E45" i="3"/>
  <c r="E328" i="3"/>
  <c r="H152" i="3"/>
  <c r="E120" i="3"/>
  <c r="H276" i="3"/>
  <c r="E322" i="3"/>
  <c r="E191" i="3"/>
  <c r="E89" i="3"/>
  <c r="H74" i="3"/>
  <c r="E4" i="3"/>
  <c r="E50" i="3"/>
  <c r="E269" i="3"/>
  <c r="E181" i="3"/>
  <c r="E69" i="3"/>
  <c r="E72" i="3"/>
  <c r="E210" i="3"/>
  <c r="E108" i="3"/>
  <c r="E20" i="3"/>
  <c r="E163" i="3"/>
  <c r="E106" i="3"/>
  <c r="P4" i="3"/>
  <c r="H233" i="3"/>
  <c r="E559" i="3"/>
  <c r="E3" i="3"/>
  <c r="E33" i="3"/>
  <c r="E142" i="3"/>
  <c r="E291" i="3"/>
  <c r="E267" i="3"/>
  <c r="E216" i="3"/>
  <c r="E207" i="3"/>
  <c r="E161" i="3"/>
  <c r="E138" i="3"/>
  <c r="E77" i="3"/>
  <c r="E41" i="3"/>
  <c r="E6" i="3"/>
  <c r="E132" i="3"/>
  <c r="E49" i="3"/>
  <c r="E145" i="3"/>
  <c r="E71" i="3"/>
  <c r="E196" i="3"/>
  <c r="E150" i="3"/>
  <c r="E121" i="3"/>
  <c r="E85" i="3"/>
  <c r="E17" i="3"/>
  <c r="E259" i="3"/>
  <c r="E223" i="3"/>
  <c r="E111" i="3"/>
  <c r="E119" i="3"/>
  <c r="E251" i="3"/>
  <c r="E93" i="3"/>
  <c r="E221" i="3"/>
  <c r="E185" i="3"/>
  <c r="E134" i="3"/>
  <c r="E126" i="3"/>
  <c r="E280" i="3"/>
  <c r="E233" i="3"/>
  <c r="E149" i="3"/>
  <c r="E40" i="3"/>
  <c r="E268" i="3"/>
  <c r="E284" i="3"/>
  <c r="E248" i="3"/>
  <c r="E122" i="3"/>
  <c r="E272" i="3"/>
  <c r="E240" i="3"/>
  <c r="E131" i="3"/>
  <c r="E115" i="3"/>
  <c r="E5" i="3"/>
  <c r="E204" i="3"/>
  <c r="E211" i="3"/>
  <c r="E220" i="3"/>
  <c r="E219" i="3"/>
  <c r="E154" i="3"/>
  <c r="E39" i="3"/>
  <c r="E52" i="3"/>
  <c r="H257" i="3"/>
  <c r="E194" i="3"/>
  <c r="E97" i="3"/>
  <c r="E329" i="3"/>
  <c r="E247" i="3"/>
  <c r="E8" i="3"/>
  <c r="E231" i="3"/>
  <c r="H205" i="3"/>
  <c r="E23" i="3"/>
  <c r="H234" i="3"/>
  <c r="H187" i="3"/>
  <c r="H49" i="3"/>
  <c r="H15" i="3"/>
  <c r="H241" i="3"/>
  <c r="H133" i="3"/>
  <c r="H94" i="3"/>
  <c r="E327" i="3"/>
  <c r="E177" i="3"/>
  <c r="E10" i="3"/>
  <c r="E261" i="3"/>
  <c r="E63" i="3"/>
  <c r="E274" i="3"/>
  <c r="E139" i="3"/>
  <c r="E324" i="3"/>
  <c r="E239" i="3"/>
  <c r="E153" i="3"/>
  <c r="E118" i="3"/>
  <c r="H181" i="3"/>
  <c r="H53" i="3"/>
  <c r="E13" i="3"/>
  <c r="E300" i="3"/>
  <c r="E243" i="3"/>
  <c r="E170" i="3"/>
  <c r="H91" i="3"/>
  <c r="E182" i="3"/>
  <c r="E28" i="3"/>
  <c r="N4" i="3"/>
  <c r="H188" i="3"/>
  <c r="H270" i="3"/>
  <c r="H271" i="3"/>
  <c r="H193" i="3"/>
  <c r="E70" i="3"/>
  <c r="H311" i="3"/>
  <c r="E307" i="3"/>
  <c r="E127" i="3"/>
  <c r="H119" i="3"/>
  <c r="E230" i="3"/>
  <c r="H178" i="3"/>
  <c r="H158" i="3"/>
  <c r="H44" i="3"/>
  <c r="E308" i="3"/>
  <c r="H247" i="3"/>
  <c r="E203" i="3"/>
  <c r="H200" i="3"/>
  <c r="E168" i="3"/>
  <c r="H93" i="3"/>
  <c r="E294" i="3"/>
  <c r="H254" i="3"/>
  <c r="H215" i="3"/>
  <c r="E192" i="3"/>
  <c r="E244" i="3"/>
  <c r="E187" i="3"/>
  <c r="H149" i="3"/>
  <c r="H150" i="3"/>
  <c r="H33" i="3"/>
  <c r="H34" i="3"/>
  <c r="E299" i="3"/>
  <c r="E104" i="3"/>
  <c r="E331" i="3"/>
  <c r="H199" i="3"/>
  <c r="E64" i="3"/>
  <c r="E42" i="3"/>
  <c r="E282" i="3"/>
  <c r="E260" i="3"/>
  <c r="E197" i="3"/>
  <c r="H159" i="3"/>
  <c r="E105" i="3"/>
  <c r="H65" i="3"/>
  <c r="H19" i="3"/>
  <c r="E323" i="3"/>
  <c r="E250" i="3"/>
  <c r="H162" i="3"/>
  <c r="H109" i="3"/>
  <c r="H110" i="3"/>
  <c r="E67" i="3"/>
  <c r="H304" i="3"/>
  <c r="E155" i="3"/>
  <c r="H96" i="3"/>
  <c r="H283" i="3"/>
  <c r="E408" i="3"/>
  <c r="E334" i="3"/>
  <c r="E422" i="3"/>
  <c r="H578" i="3"/>
  <c r="E333" i="3"/>
  <c r="E397" i="3"/>
  <c r="E537" i="3"/>
  <c r="E377" i="3"/>
  <c r="E343" i="3"/>
  <c r="E530" i="3"/>
  <c r="E546" i="3"/>
  <c r="E510" i="3"/>
  <c r="E533" i="3"/>
  <c r="E396" i="3"/>
  <c r="E529" i="3"/>
  <c r="E541" i="3"/>
  <c r="E563" i="3"/>
  <c r="E371" i="3"/>
  <c r="E573" i="3"/>
  <c r="E501" i="3"/>
  <c r="E395" i="3"/>
  <c r="E454" i="3"/>
  <c r="H577" i="3"/>
  <c r="O577" i="3" s="1"/>
  <c r="E557" i="3"/>
  <c r="E387" i="3"/>
  <c r="E455" i="3"/>
  <c r="E505" i="3"/>
  <c r="E423" i="3"/>
  <c r="E339" i="3"/>
  <c r="E477" i="3"/>
  <c r="E394" i="3"/>
  <c r="E366" i="3"/>
  <c r="E556" i="3"/>
  <c r="E356" i="3"/>
  <c r="E469" i="3"/>
  <c r="E532" i="3"/>
  <c r="E564" i="3"/>
  <c r="E401" i="3"/>
  <c r="E551" i="3"/>
  <c r="E405" i="3"/>
  <c r="E470" i="3"/>
  <c r="E409" i="3"/>
  <c r="E412" i="3"/>
  <c r="E353" i="3"/>
  <c r="E428" i="3"/>
  <c r="E429" i="3"/>
  <c r="E338" i="3"/>
  <c r="E437" i="3"/>
  <c r="E340" i="3"/>
  <c r="E575" i="3"/>
  <c r="E355" i="3"/>
  <c r="E404" i="3"/>
  <c r="E383" i="3"/>
  <c r="E450" i="3"/>
  <c r="E442" i="3"/>
  <c r="E382" i="3"/>
  <c r="E568" i="3"/>
  <c r="E384" i="3"/>
  <c r="E460" i="3"/>
  <c r="E385" i="3"/>
  <c r="E555" i="3"/>
  <c r="H500" i="3"/>
  <c r="P500" i="3" s="1"/>
  <c r="E417" i="3"/>
  <c r="E350" i="3"/>
  <c r="E461" i="3"/>
  <c r="E520" i="3"/>
  <c r="E433" i="3"/>
  <c r="E478" i="3"/>
  <c r="E398" i="3"/>
  <c r="E482" i="3"/>
  <c r="E513" i="3"/>
  <c r="E436" i="3"/>
  <c r="E410" i="3"/>
  <c r="E552" i="3"/>
  <c r="E361" i="3"/>
  <c r="E419" i="3"/>
  <c r="E514" i="3"/>
  <c r="E468" i="3"/>
  <c r="E490" i="3"/>
  <c r="E373" i="3"/>
  <c r="E538" i="3"/>
  <c r="E540" i="3"/>
  <c r="E463" i="3"/>
  <c r="E386" i="3"/>
  <c r="E476" i="3"/>
  <c r="E572" i="3"/>
  <c r="E402" i="3"/>
  <c r="E390" i="3"/>
  <c r="E446" i="3"/>
  <c r="E518" i="3"/>
  <c r="E438" i="3"/>
  <c r="E344" i="3"/>
  <c r="E576" i="3"/>
  <c r="E480" i="3"/>
  <c r="E493" i="3"/>
  <c r="E389" i="3"/>
  <c r="E500" i="3"/>
  <c r="E543" i="3"/>
  <c r="E357" i="3"/>
  <c r="E519" i="3"/>
  <c r="E511" i="3"/>
  <c r="H523" i="3"/>
  <c r="M523" i="3" s="1"/>
  <c r="E434" i="3"/>
  <c r="E498" i="3"/>
  <c r="E399" i="3"/>
  <c r="E332" i="3"/>
  <c r="E414" i="3"/>
  <c r="E488" i="3"/>
  <c r="E506" i="3"/>
  <c r="E367" i="3"/>
  <c r="E426" i="3"/>
  <c r="E473" i="3"/>
  <c r="E471" i="3"/>
  <c r="E392" i="3"/>
  <c r="E475" i="3"/>
  <c r="E525" i="3"/>
  <c r="E531" i="3"/>
  <c r="H541" i="3"/>
  <c r="Q541" i="3" s="1"/>
  <c r="H350" i="3"/>
  <c r="P350" i="3" s="1"/>
  <c r="E521" i="3"/>
  <c r="H551" i="3"/>
  <c r="R551" i="3" s="1"/>
  <c r="H475" i="3"/>
  <c r="O475" i="3" s="1"/>
  <c r="E351" i="3"/>
  <c r="E569" i="3"/>
  <c r="E346" i="3"/>
  <c r="E374" i="3"/>
  <c r="E484" i="3"/>
  <c r="E512" i="3"/>
  <c r="E418" i="3"/>
  <c r="E391" i="3"/>
  <c r="E466" i="3"/>
  <c r="E536" i="3"/>
  <c r="E495" i="3"/>
  <c r="H363" i="3"/>
  <c r="R363" i="3" s="1"/>
  <c r="H510" i="3"/>
  <c r="Q510" i="3" s="1"/>
  <c r="H574" i="3"/>
  <c r="P574" i="3" s="1"/>
  <c r="H368" i="3"/>
  <c r="Q368" i="3" s="1"/>
  <c r="H452" i="3"/>
  <c r="P452" i="3" s="1"/>
  <c r="O27" i="4"/>
  <c r="H528" i="3"/>
  <c r="O528" i="3" s="1"/>
  <c r="H495" i="3"/>
  <c r="M495" i="3" s="1"/>
  <c r="H339" i="3"/>
  <c r="P339" i="3" s="1"/>
  <c r="H504" i="3"/>
  <c r="O504" i="3" s="1"/>
  <c r="H431" i="3"/>
  <c r="P431" i="3" s="1"/>
  <c r="H501" i="3"/>
  <c r="O501" i="3" s="1"/>
  <c r="H416" i="3"/>
  <c r="R416" i="3" s="1"/>
  <c r="H511" i="3"/>
  <c r="R511" i="3" s="1"/>
  <c r="H461" i="3"/>
  <c r="M461" i="3" s="1"/>
  <c r="E342" i="3"/>
  <c r="E427" i="3"/>
  <c r="E548" i="3"/>
  <c r="H379" i="3"/>
  <c r="R379" i="3" s="1"/>
  <c r="H362" i="3"/>
  <c r="P362" i="3" s="1"/>
  <c r="H488" i="3"/>
  <c r="N488" i="3" s="1"/>
  <c r="H395" i="3"/>
  <c r="P395" i="3" s="1"/>
  <c r="E571" i="3"/>
  <c r="H568" i="3"/>
  <c r="R568" i="3" s="1"/>
  <c r="H535" i="3"/>
  <c r="R535" i="3" s="1"/>
  <c r="H499" i="3"/>
  <c r="N499" i="3" s="1"/>
  <c r="H498" i="3"/>
  <c r="Q498" i="3" s="1"/>
  <c r="H520" i="3"/>
  <c r="R520" i="3" s="1"/>
  <c r="E547" i="3"/>
  <c r="H465" i="3"/>
  <c r="Q465" i="3" s="1"/>
  <c r="H533" i="3"/>
  <c r="N533" i="3" s="1"/>
  <c r="H456" i="3"/>
  <c r="M456" i="3" s="1"/>
  <c r="H477" i="3"/>
  <c r="Q477" i="3" s="1"/>
  <c r="H437" i="3"/>
  <c r="R437" i="3" s="1"/>
  <c r="H521" i="3"/>
  <c r="P521" i="3" s="1"/>
  <c r="E458" i="3"/>
  <c r="E444" i="3"/>
  <c r="E452" i="3"/>
  <c r="H474" i="3"/>
  <c r="P474" i="3" s="1"/>
  <c r="H392" i="3"/>
  <c r="R392" i="3" s="1"/>
  <c r="H473" i="3"/>
  <c r="Q473" i="3" s="1"/>
  <c r="H522" i="3"/>
  <c r="P522" i="3" s="1"/>
  <c r="H516" i="3"/>
  <c r="R516" i="3" s="1"/>
  <c r="E465" i="3"/>
  <c r="E486" i="3"/>
  <c r="E558" i="3"/>
  <c r="H406" i="3"/>
  <c r="P406" i="3" s="1"/>
  <c r="O51" i="4"/>
  <c r="H480" i="3"/>
  <c r="R480" i="3" s="1"/>
  <c r="O133" i="4"/>
  <c r="H429" i="3"/>
  <c r="P429" i="3" s="1"/>
  <c r="H503" i="3"/>
  <c r="Q503" i="3" s="1"/>
  <c r="H451" i="3"/>
  <c r="R451" i="3" s="1"/>
  <c r="H442" i="3"/>
  <c r="M442" i="3" s="1"/>
  <c r="H529" i="3"/>
  <c r="O529" i="3" s="1"/>
  <c r="H563" i="3"/>
  <c r="N563" i="3" s="1"/>
  <c r="H430" i="3"/>
  <c r="Q430" i="3" s="1"/>
  <c r="E459" i="3"/>
  <c r="H485" i="3"/>
  <c r="M485" i="3" s="1"/>
  <c r="H564" i="3"/>
  <c r="N564" i="3" s="1"/>
  <c r="E430" i="3"/>
  <c r="E494" i="3"/>
  <c r="E524" i="3"/>
  <c r="E345" i="3"/>
  <c r="E516" i="3"/>
  <c r="H576" i="3"/>
  <c r="H394" i="3"/>
  <c r="O19" i="4"/>
  <c r="H542" i="3"/>
  <c r="O37" i="4"/>
  <c r="H403" i="3"/>
  <c r="H424" i="3"/>
  <c r="H390" i="3"/>
  <c r="O188" i="4"/>
  <c r="O33" i="4"/>
  <c r="H348" i="3"/>
  <c r="H434" i="3"/>
  <c r="H570" i="3"/>
  <c r="H408" i="3"/>
  <c r="H441" i="3"/>
  <c r="H440" i="3"/>
  <c r="H438" i="3"/>
  <c r="H505" i="3"/>
  <c r="H548" i="3"/>
  <c r="O78" i="4"/>
  <c r="O148" i="4"/>
  <c r="H464" i="3"/>
  <c r="O28" i="4"/>
  <c r="H347" i="3"/>
  <c r="H340" i="3"/>
  <c r="H447" i="3"/>
  <c r="H422" i="3"/>
  <c r="H405" i="3"/>
  <c r="H351" i="3"/>
  <c r="H414" i="3"/>
  <c r="H486" i="3"/>
  <c r="H493" i="3"/>
  <c r="H490" i="3"/>
  <c r="H489" i="3"/>
  <c r="O165" i="4"/>
  <c r="O112" i="4"/>
  <c r="O73" i="4"/>
  <c r="O92" i="4"/>
  <c r="H399" i="3"/>
  <c r="H445" i="3"/>
  <c r="H377" i="3"/>
  <c r="H383" i="3"/>
  <c r="H432" i="3"/>
  <c r="H384" i="3"/>
  <c r="H385" i="3"/>
  <c r="O24" i="4"/>
  <c r="H401" i="3"/>
  <c r="O159" i="4"/>
  <c r="H467" i="3"/>
  <c r="H386" i="3"/>
  <c r="H458" i="3"/>
  <c r="H402" i="3"/>
  <c r="H371" i="3"/>
  <c r="O141" i="4"/>
  <c r="H444" i="3"/>
  <c r="H536" i="3"/>
  <c r="H462" i="3"/>
  <c r="H545" i="3"/>
  <c r="O74" i="4"/>
  <c r="O176" i="4"/>
  <c r="H546" i="3"/>
  <c r="H360" i="3"/>
  <c r="H361" i="3"/>
  <c r="H359" i="3"/>
  <c r="H566" i="3"/>
  <c r="H417" i="3"/>
  <c r="H531" i="3"/>
  <c r="H552" i="3"/>
  <c r="O146" i="4"/>
  <c r="H483" i="3"/>
  <c r="O170" i="4"/>
  <c r="H544" i="3"/>
  <c r="H554" i="3"/>
  <c r="H382" i="3"/>
  <c r="H468" i="3"/>
  <c r="H332" i="3"/>
  <c r="H496" i="3"/>
  <c r="H404" i="3"/>
  <c r="H513" i="3"/>
  <c r="H469" i="3"/>
  <c r="H378" i="3"/>
  <c r="H449" i="3"/>
  <c r="H388" i="3"/>
  <c r="H389" i="3"/>
  <c r="H537" i="3"/>
  <c r="H559" i="3"/>
  <c r="H573" i="3"/>
  <c r="H466" i="3"/>
  <c r="H550" i="3"/>
  <c r="H352" i="3"/>
  <c r="O139" i="4"/>
  <c r="H530" i="3"/>
  <c r="H534" i="3"/>
  <c r="H532" i="3"/>
  <c r="H567" i="3"/>
  <c r="H393" i="3"/>
  <c r="H509" i="3"/>
  <c r="E201" i="4"/>
  <c r="L199" i="4"/>
  <c r="D201" i="4"/>
  <c r="H387" i="3"/>
  <c r="O45" i="4"/>
  <c r="H497" i="3"/>
  <c r="H391" i="3"/>
  <c r="H337" i="3"/>
  <c r="H398" i="3"/>
  <c r="H484" i="3"/>
  <c r="H472" i="3"/>
  <c r="H471" i="3"/>
  <c r="H375" i="3"/>
  <c r="H370" i="3"/>
  <c r="H374" i="3"/>
  <c r="H517" i="3"/>
  <c r="H439" i="3"/>
  <c r="H525" i="3"/>
  <c r="H345" i="3"/>
  <c r="H565" i="3"/>
  <c r="H335" i="3"/>
  <c r="H334" i="3"/>
  <c r="O189" i="4"/>
  <c r="O20" i="4"/>
  <c r="H357" i="3"/>
  <c r="H365" i="3"/>
  <c r="H410" i="3"/>
  <c r="H560" i="3"/>
  <c r="H557" i="3"/>
  <c r="H539" i="3"/>
  <c r="H540" i="3"/>
  <c r="O156" i="4"/>
  <c r="H443" i="3"/>
  <c r="O47" i="4"/>
  <c r="O192" i="4"/>
  <c r="O26" i="4"/>
  <c r="H397" i="3"/>
  <c r="O65" i="4"/>
  <c r="O66" i="4"/>
  <c r="H512" i="3"/>
  <c r="H556" i="3"/>
  <c r="H476" i="3"/>
  <c r="H457" i="3"/>
  <c r="H547" i="3"/>
  <c r="O124" i="4"/>
  <c r="H369" i="3"/>
  <c r="H364" i="3"/>
  <c r="H418" i="3"/>
  <c r="H349" i="3"/>
  <c r="H571" i="3"/>
  <c r="H569" i="3"/>
  <c r="H572" i="3"/>
  <c r="H419" i="3"/>
  <c r="H409" i="3"/>
  <c r="H413" i="3"/>
  <c r="H367" i="3"/>
  <c r="H366" i="3"/>
  <c r="H423" i="3"/>
  <c r="H428" i="3"/>
  <c r="H336" i="3"/>
  <c r="H338" i="3"/>
  <c r="H354" i="3"/>
  <c r="H455" i="3"/>
  <c r="H454" i="3"/>
  <c r="H453" i="3"/>
  <c r="H470" i="3"/>
  <c r="O102" i="4"/>
  <c r="H411" i="3"/>
  <c r="H415" i="3"/>
  <c r="H460" i="3"/>
  <c r="H463" i="3"/>
  <c r="H459" i="3"/>
  <c r="H481" i="3"/>
  <c r="H487" i="3"/>
  <c r="O149" i="4"/>
  <c r="F200" i="4"/>
  <c r="O76" i="4"/>
  <c r="O162" i="4"/>
  <c r="O122" i="4"/>
  <c r="O157" i="4"/>
  <c r="O63" i="4"/>
  <c r="O68" i="4"/>
  <c r="O126" i="4"/>
  <c r="O174" i="4"/>
  <c r="O107" i="4"/>
  <c r="O121" i="4"/>
  <c r="O109" i="4"/>
  <c r="O135" i="4"/>
  <c r="O40" i="4"/>
  <c r="O186" i="4"/>
  <c r="O134" i="4"/>
  <c r="O42" i="4"/>
  <c r="O64" i="4"/>
  <c r="O114" i="4"/>
  <c r="O118" i="4"/>
  <c r="O147" i="4"/>
  <c r="O39" i="4"/>
  <c r="O58" i="4"/>
  <c r="O168" i="4"/>
  <c r="O32" i="4"/>
  <c r="O116" i="4"/>
  <c r="O106" i="4"/>
  <c r="O127" i="4"/>
  <c r="O128" i="4"/>
  <c r="O97" i="4"/>
  <c r="O88" i="4"/>
  <c r="O145" i="4"/>
  <c r="O52" i="4"/>
  <c r="O111" i="4"/>
  <c r="O158" i="4"/>
  <c r="O29" i="4"/>
  <c r="O177" i="4"/>
  <c r="O181" i="4"/>
  <c r="O18" i="4"/>
  <c r="O183" i="4"/>
  <c r="O129" i="4"/>
  <c r="O196" i="4"/>
  <c r="O175" i="4"/>
  <c r="O105" i="4"/>
  <c r="O140" i="4"/>
  <c r="O161" i="4"/>
  <c r="O82" i="4"/>
  <c r="O75" i="4"/>
  <c r="O187" i="4"/>
  <c r="O98" i="4"/>
  <c r="O154" i="4"/>
  <c r="O110" i="4"/>
  <c r="O94" i="4"/>
  <c r="O155" i="4"/>
  <c r="O48" i="4"/>
  <c r="O49" i="4"/>
  <c r="O55" i="4"/>
  <c r="O131" i="4"/>
  <c r="O160" i="4"/>
  <c r="O22" i="4"/>
  <c r="O132" i="4"/>
  <c r="O60" i="4"/>
  <c r="O61" i="4"/>
  <c r="O130" i="4"/>
  <c r="O44" i="4"/>
  <c r="O46" i="4"/>
  <c r="O89" i="4"/>
  <c r="O57" i="4"/>
  <c r="O100" i="4"/>
  <c r="O104" i="4"/>
  <c r="O115" i="4"/>
  <c r="O99" i="4"/>
  <c r="O79" i="4"/>
  <c r="O150" i="4"/>
  <c r="O142" i="4"/>
  <c r="O103" i="4"/>
  <c r="O93" i="4"/>
  <c r="O62" i="4"/>
  <c r="O167" i="4"/>
  <c r="O171" i="4"/>
  <c r="O87" i="4"/>
  <c r="O138" i="4"/>
  <c r="O70" i="4"/>
  <c r="O41" i="4"/>
  <c r="O50" i="4"/>
  <c r="O144" i="4"/>
  <c r="O190" i="4"/>
  <c r="O85" i="4"/>
  <c r="O84" i="4"/>
  <c r="O38" i="4"/>
  <c r="O169" i="4"/>
  <c r="O23" i="4"/>
  <c r="O21" i="4"/>
  <c r="O31" i="4"/>
  <c r="O119" i="4"/>
  <c r="O53" i="4"/>
  <c r="O36" i="4"/>
  <c r="O120" i="4"/>
  <c r="O108" i="4"/>
  <c r="O180" i="4"/>
  <c r="O152" i="4"/>
  <c r="O56" i="4"/>
  <c r="O72" i="4"/>
  <c r="O96" i="4"/>
  <c r="O34" i="4"/>
  <c r="O25" i="4"/>
  <c r="O30" i="4"/>
  <c r="O143" i="4"/>
  <c r="O90" i="4"/>
  <c r="O101" i="4"/>
  <c r="O77" i="4"/>
  <c r="O191" i="4"/>
  <c r="O125" i="4"/>
  <c r="O153" i="4"/>
  <c r="O151" i="4"/>
  <c r="O179" i="4"/>
  <c r="O91" i="4"/>
  <c r="O43" i="4"/>
  <c r="O193" i="4"/>
  <c r="O86" i="4"/>
  <c r="O178" i="4"/>
  <c r="O69" i="4"/>
  <c r="O173" i="4"/>
  <c r="O194" i="4"/>
  <c r="O113" i="4"/>
  <c r="O81" i="4"/>
  <c r="O136" i="4"/>
  <c r="O166" i="4"/>
  <c r="O137" i="4"/>
  <c r="O67" i="4"/>
  <c r="O35" i="4"/>
  <c r="O71" i="4"/>
  <c r="O59" i="4"/>
  <c r="O54" i="4"/>
  <c r="O95" i="4"/>
  <c r="O123" i="4"/>
  <c r="O117" i="4"/>
  <c r="O172" i="4"/>
  <c r="O182" i="4"/>
  <c r="O195" i="4"/>
  <c r="O80" i="4"/>
  <c r="H400" i="3"/>
  <c r="H543" i="3"/>
  <c r="H562" i="3"/>
  <c r="H561" i="3"/>
  <c r="H492" i="3"/>
  <c r="O185" i="4"/>
  <c r="H494" i="3"/>
  <c r="O83" i="4"/>
  <c r="O164" i="4"/>
  <c r="O184" i="4"/>
  <c r="O163" i="4"/>
  <c r="H380" i="3"/>
  <c r="H518" i="3"/>
  <c r="H507" i="3"/>
  <c r="H514" i="3"/>
  <c r="H420" i="3"/>
  <c r="H346" i="3"/>
  <c r="H524" i="3"/>
  <c r="H333" i="3"/>
  <c r="H502" i="3"/>
  <c r="H427" i="3"/>
  <c r="E554" i="3"/>
  <c r="E515" i="3"/>
  <c r="E370" i="3"/>
  <c r="E432" i="3"/>
  <c r="H343" i="3"/>
  <c r="H519" i="3"/>
  <c r="E487" i="3"/>
  <c r="E425" i="3"/>
  <c r="E457" i="3"/>
  <c r="E489" i="3"/>
  <c r="E567" i="3"/>
  <c r="H508" i="3"/>
  <c r="H506" i="3"/>
  <c r="H526" i="3"/>
  <c r="H491" i="3"/>
  <c r="H575" i="3"/>
  <c r="H358" i="3"/>
  <c r="H353" i="3"/>
  <c r="H373" i="3"/>
  <c r="H479" i="3"/>
  <c r="H376" i="3"/>
  <c r="H558" i="3"/>
  <c r="H396" i="3"/>
  <c r="H421" i="3"/>
  <c r="H372" i="3"/>
  <c r="H426" i="3"/>
  <c r="H425" i="3"/>
  <c r="H553" i="3"/>
  <c r="E441" i="3"/>
  <c r="E375" i="3"/>
  <c r="E523" i="3"/>
  <c r="H446" i="3"/>
  <c r="E492" i="3"/>
  <c r="E349" i="3"/>
  <c r="H341" i="3"/>
  <c r="H436" i="3"/>
  <c r="H433" i="3"/>
  <c r="H549" i="3"/>
  <c r="E439" i="3"/>
  <c r="H435" i="3"/>
  <c r="E400" i="3"/>
  <c r="E435" i="3"/>
  <c r="H450" i="3"/>
  <c r="E517" i="3"/>
  <c r="H538" i="3"/>
  <c r="H407" i="3"/>
  <c r="H515" i="3"/>
  <c r="H448" i="3"/>
  <c r="H555" i="3"/>
  <c r="E403" i="3"/>
  <c r="H482" i="3"/>
  <c r="H381" i="3"/>
  <c r="H355" i="3"/>
  <c r="H527" i="3"/>
  <c r="H412" i="3"/>
  <c r="H342" i="3"/>
  <c r="H344" i="3"/>
  <c r="H356" i="3"/>
  <c r="H478" i="3"/>
  <c r="E504" i="3"/>
  <c r="E503" i="3"/>
  <c r="E445" i="3"/>
  <c r="E440" i="3"/>
  <c r="E381" i="3"/>
  <c r="E359" i="3"/>
  <c r="E376" i="3"/>
  <c r="E447" i="3"/>
  <c r="E565" i="3"/>
  <c r="E420" i="3"/>
  <c r="E497" i="3"/>
  <c r="E485" i="3"/>
  <c r="E481" i="3"/>
  <c r="E526" i="3"/>
  <c r="E561" i="3"/>
  <c r="E365" i="3"/>
  <c r="E347" i="3"/>
  <c r="E449" i="3"/>
  <c r="E448" i="3"/>
  <c r="E499" i="3"/>
  <c r="E566" i="3"/>
  <c r="E360" i="3"/>
  <c r="E348" i="3"/>
  <c r="E413" i="3"/>
  <c r="E507" i="3"/>
  <c r="E527" i="3"/>
  <c r="E550" i="3"/>
  <c r="E544" i="3"/>
  <c r="E509" i="3"/>
  <c r="E534" i="3"/>
  <c r="E379" i="3"/>
  <c r="E380" i="3"/>
  <c r="E539" i="3"/>
  <c r="E354" i="3"/>
  <c r="E421" i="3"/>
  <c r="E341" i="3"/>
  <c r="E372" i="3"/>
  <c r="E483" i="3"/>
  <c r="E496" i="3"/>
  <c r="E542" i="3"/>
  <c r="Q250" i="3" l="1"/>
  <c r="Q124" i="3"/>
  <c r="M113" i="3"/>
  <c r="N250" i="3"/>
  <c r="M250" i="3"/>
  <c r="R250" i="3"/>
  <c r="M245" i="3"/>
  <c r="R245" i="3"/>
  <c r="Q245" i="3"/>
  <c r="P61" i="3"/>
  <c r="N61" i="3"/>
  <c r="J5" i="3"/>
  <c r="J6" i="3"/>
  <c r="J7" i="3"/>
  <c r="K7" i="3" s="1"/>
  <c r="J183" i="3"/>
  <c r="J4" i="3"/>
  <c r="O139" i="3"/>
  <c r="O213" i="3"/>
  <c r="R328" i="3"/>
  <c r="M213" i="3"/>
  <c r="P328" i="3"/>
  <c r="R60" i="3"/>
  <c r="P249" i="3"/>
  <c r="N328" i="3"/>
  <c r="N249" i="3"/>
  <c r="M328" i="3"/>
  <c r="O268" i="3"/>
  <c r="R242" i="3"/>
  <c r="Q209" i="3"/>
  <c r="P268" i="3"/>
  <c r="O9" i="3"/>
  <c r="P106" i="3"/>
  <c r="Q268" i="3"/>
  <c r="N9" i="3"/>
  <c r="R167" i="3"/>
  <c r="R8" i="3"/>
  <c r="Q8" i="3"/>
  <c r="P8" i="3"/>
  <c r="M41" i="3"/>
  <c r="N8" i="3"/>
  <c r="P245" i="3"/>
  <c r="M8" i="3"/>
  <c r="P132" i="3"/>
  <c r="O245" i="3"/>
  <c r="M128" i="3"/>
  <c r="M242" i="3"/>
  <c r="P138" i="3"/>
  <c r="R132" i="3"/>
  <c r="N124" i="3"/>
  <c r="R128" i="3"/>
  <c r="O132" i="3"/>
  <c r="R41" i="3"/>
  <c r="Q112" i="3"/>
  <c r="P112" i="3"/>
  <c r="M9" i="3"/>
  <c r="Q242" i="3"/>
  <c r="O112" i="3"/>
  <c r="P9" i="3"/>
  <c r="O209" i="3"/>
  <c r="N128" i="3"/>
  <c r="N84" i="3"/>
  <c r="M209" i="3"/>
  <c r="Q12" i="3"/>
  <c r="Q128" i="3"/>
  <c r="Q84" i="3"/>
  <c r="O179" i="3"/>
  <c r="P209" i="3"/>
  <c r="R124" i="3"/>
  <c r="N167" i="3"/>
  <c r="R61" i="3"/>
  <c r="R77" i="3"/>
  <c r="P128" i="3"/>
  <c r="M84" i="3"/>
  <c r="N132" i="3"/>
  <c r="N209" i="3"/>
  <c r="P124" i="3"/>
  <c r="Q278" i="3"/>
  <c r="Q61" i="3"/>
  <c r="Q77" i="3"/>
  <c r="R84" i="3"/>
  <c r="Q132" i="3"/>
  <c r="R191" i="3"/>
  <c r="Q41" i="3"/>
  <c r="O61" i="3"/>
  <c r="O77" i="3"/>
  <c r="N285" i="3"/>
  <c r="M285" i="3"/>
  <c r="O206" i="3"/>
  <c r="P242" i="3"/>
  <c r="P285" i="3"/>
  <c r="M206" i="3"/>
  <c r="O242" i="3"/>
  <c r="R138" i="3"/>
  <c r="R235" i="3"/>
  <c r="R206" i="3"/>
  <c r="Q138" i="3"/>
  <c r="Q194" i="3"/>
  <c r="M138" i="3"/>
  <c r="M179" i="3"/>
  <c r="P194" i="3"/>
  <c r="O138" i="3"/>
  <c r="P179" i="3"/>
  <c r="M302" i="3"/>
  <c r="Q71" i="3"/>
  <c r="R179" i="3"/>
  <c r="N302" i="3"/>
  <c r="R282" i="3"/>
  <c r="R71" i="3"/>
  <c r="N179" i="3"/>
  <c r="Q302" i="3"/>
  <c r="Q282" i="3"/>
  <c r="O71" i="3"/>
  <c r="M235" i="3"/>
  <c r="M296" i="3"/>
  <c r="M226" i="3"/>
  <c r="R32" i="3"/>
  <c r="N43" i="3"/>
  <c r="P21" i="3"/>
  <c r="Q32" i="3"/>
  <c r="N120" i="3"/>
  <c r="M75" i="3"/>
  <c r="O194" i="3"/>
  <c r="O41" i="3"/>
  <c r="N54" i="3"/>
  <c r="Q120" i="3"/>
  <c r="P75" i="3"/>
  <c r="N194" i="3"/>
  <c r="N41" i="3"/>
  <c r="O274" i="3"/>
  <c r="O235" i="3"/>
  <c r="M274" i="3"/>
  <c r="O10" i="3"/>
  <c r="P43" i="3"/>
  <c r="O302" i="3"/>
  <c r="M120" i="3"/>
  <c r="P32" i="3"/>
  <c r="R161" i="3"/>
  <c r="R296" i="3"/>
  <c r="O312" i="3"/>
  <c r="Q319" i="3"/>
  <c r="P161" i="3"/>
  <c r="N296" i="3"/>
  <c r="N312" i="3"/>
  <c r="R305" i="3"/>
  <c r="R318" i="3"/>
  <c r="O161" i="3"/>
  <c r="Q296" i="3"/>
  <c r="P305" i="3"/>
  <c r="Q329" i="3"/>
  <c r="Q318" i="3"/>
  <c r="M161" i="3"/>
  <c r="N235" i="3"/>
  <c r="O75" i="3"/>
  <c r="O305" i="3"/>
  <c r="R58" i="3"/>
  <c r="M198" i="3"/>
  <c r="O264" i="3"/>
  <c r="M294" i="3"/>
  <c r="N274" i="3"/>
  <c r="P84" i="3"/>
  <c r="R75" i="3"/>
  <c r="Q305" i="3"/>
  <c r="N10" i="3"/>
  <c r="Q58" i="3"/>
  <c r="Q116" i="3"/>
  <c r="R274" i="3"/>
  <c r="Q75" i="3"/>
  <c r="M10" i="3"/>
  <c r="P58" i="3"/>
  <c r="P116" i="3"/>
  <c r="N282" i="3"/>
  <c r="M85" i="3"/>
  <c r="N71" i="3"/>
  <c r="Q235" i="3"/>
  <c r="Q213" i="3"/>
  <c r="N32" i="3"/>
  <c r="O191" i="3"/>
  <c r="Q206" i="3"/>
  <c r="M194" i="3"/>
  <c r="M249" i="3"/>
  <c r="R21" i="3"/>
  <c r="M139" i="3"/>
  <c r="M71" i="3"/>
  <c r="M320" i="3"/>
  <c r="M32" i="3"/>
  <c r="P206" i="3"/>
  <c r="R82" i="3"/>
  <c r="R331" i="3"/>
  <c r="R324" i="3"/>
  <c r="P294" i="3"/>
  <c r="M21" i="3"/>
  <c r="R139" i="3"/>
  <c r="Q60" i="3"/>
  <c r="Q50" i="3"/>
  <c r="O331" i="3"/>
  <c r="P324" i="3"/>
  <c r="O294" i="3"/>
  <c r="R146" i="3"/>
  <c r="M78" i="3"/>
  <c r="M142" i="3"/>
  <c r="Q139" i="3"/>
  <c r="N317" i="3"/>
  <c r="M105" i="3"/>
  <c r="N50" i="3"/>
  <c r="N331" i="3"/>
  <c r="O324" i="3"/>
  <c r="P146" i="3"/>
  <c r="Q78" i="3"/>
  <c r="R177" i="3"/>
  <c r="M317" i="3"/>
  <c r="R105" i="3"/>
  <c r="P60" i="3"/>
  <c r="N259" i="3"/>
  <c r="R50" i="3"/>
  <c r="R145" i="3"/>
  <c r="P318" i="3"/>
  <c r="M331" i="3"/>
  <c r="N324" i="3"/>
  <c r="N294" i="3"/>
  <c r="N146" i="3"/>
  <c r="R78" i="3"/>
  <c r="Q190" i="3"/>
  <c r="P177" i="3"/>
  <c r="R317" i="3"/>
  <c r="Q105" i="3"/>
  <c r="O60" i="3"/>
  <c r="M259" i="3"/>
  <c r="R285" i="3"/>
  <c r="R10" i="3"/>
  <c r="P50" i="3"/>
  <c r="M145" i="3"/>
  <c r="O318" i="3"/>
  <c r="P331" i="3"/>
  <c r="M324" i="3"/>
  <c r="Q294" i="3"/>
  <c r="M146" i="3"/>
  <c r="P282" i="3"/>
  <c r="O177" i="3"/>
  <c r="P317" i="3"/>
  <c r="O105" i="3"/>
  <c r="N60" i="3"/>
  <c r="Q285" i="3"/>
  <c r="Q10" i="3"/>
  <c r="M50" i="3"/>
  <c r="Q145" i="3"/>
  <c r="M28" i="3"/>
  <c r="N318" i="3"/>
  <c r="P296" i="3"/>
  <c r="O146" i="3"/>
  <c r="O282" i="3"/>
  <c r="M177" i="3"/>
  <c r="R312" i="3"/>
  <c r="Q207" i="3"/>
  <c r="N28" i="3"/>
  <c r="O43" i="3"/>
  <c r="N177" i="3"/>
  <c r="P312" i="3"/>
  <c r="P72" i="3"/>
  <c r="N577" i="3"/>
  <c r="Q577" i="3"/>
  <c r="N320" i="3"/>
  <c r="M246" i="3"/>
  <c r="N82" i="3"/>
  <c r="N144" i="3"/>
  <c r="R264" i="3"/>
  <c r="N278" i="3"/>
  <c r="P48" i="3"/>
  <c r="Q54" i="3"/>
  <c r="N105" i="3"/>
  <c r="Q320" i="3"/>
  <c r="R226" i="3"/>
  <c r="R227" i="3"/>
  <c r="N264" i="3"/>
  <c r="Q142" i="3"/>
  <c r="M54" i="3"/>
  <c r="Q226" i="3"/>
  <c r="P227" i="3"/>
  <c r="M264" i="3"/>
  <c r="R142" i="3"/>
  <c r="R54" i="3"/>
  <c r="P226" i="3"/>
  <c r="O227" i="3"/>
  <c r="O142" i="3"/>
  <c r="O226" i="3"/>
  <c r="M227" i="3"/>
  <c r="P167" i="3"/>
  <c r="N142" i="3"/>
  <c r="O113" i="3"/>
  <c r="N227" i="3"/>
  <c r="O167" i="3"/>
  <c r="N207" i="3"/>
  <c r="N113" i="3"/>
  <c r="O197" i="3"/>
  <c r="O307" i="3"/>
  <c r="M82" i="3"/>
  <c r="Q144" i="3"/>
  <c r="N197" i="3"/>
  <c r="M167" i="3"/>
  <c r="R278" i="3"/>
  <c r="P190" i="3"/>
  <c r="M56" i="3"/>
  <c r="N307" i="3"/>
  <c r="R577" i="3"/>
  <c r="O259" i="3"/>
  <c r="R320" i="3"/>
  <c r="N27" i="3"/>
  <c r="N191" i="3"/>
  <c r="O145" i="3"/>
  <c r="O82" i="3"/>
  <c r="O144" i="3"/>
  <c r="M197" i="3"/>
  <c r="O249" i="3"/>
  <c r="M43" i="3"/>
  <c r="N268" i="3"/>
  <c r="P278" i="3"/>
  <c r="R116" i="3"/>
  <c r="N78" i="3"/>
  <c r="Q21" i="3"/>
  <c r="O190" i="3"/>
  <c r="O317" i="3"/>
  <c r="N56" i="3"/>
  <c r="N72" i="3"/>
  <c r="M307" i="3"/>
  <c r="P577" i="3"/>
  <c r="Q259" i="3"/>
  <c r="P320" i="3"/>
  <c r="N246" i="3"/>
  <c r="M27" i="3"/>
  <c r="M191" i="3"/>
  <c r="P145" i="3"/>
  <c r="P82" i="3"/>
  <c r="M144" i="3"/>
  <c r="R197" i="3"/>
  <c r="R249" i="3"/>
  <c r="R43" i="3"/>
  <c r="M268" i="3"/>
  <c r="O278" i="3"/>
  <c r="N48" i="3"/>
  <c r="O78" i="3"/>
  <c r="O21" i="3"/>
  <c r="M190" i="3"/>
  <c r="N139" i="3"/>
  <c r="M281" i="3"/>
  <c r="Q56" i="3"/>
  <c r="O72" i="3"/>
  <c r="R246" i="3"/>
  <c r="O27" i="3"/>
  <c r="P144" i="3"/>
  <c r="P197" i="3"/>
  <c r="M48" i="3"/>
  <c r="P54" i="3"/>
  <c r="R263" i="3"/>
  <c r="P56" i="3"/>
  <c r="O329" i="3"/>
  <c r="P28" i="3"/>
  <c r="P302" i="3"/>
  <c r="P326" i="3"/>
  <c r="Q115" i="3"/>
  <c r="O269" i="3"/>
  <c r="Q185" i="3"/>
  <c r="R85" i="3"/>
  <c r="M58" i="3"/>
  <c r="N161" i="3"/>
  <c r="Q212" i="3"/>
  <c r="R129" i="3"/>
  <c r="M312" i="3"/>
  <c r="P274" i="3"/>
  <c r="M72" i="3"/>
  <c r="P77" i="3"/>
  <c r="N58" i="3"/>
  <c r="O212" i="3"/>
  <c r="P129" i="3"/>
  <c r="R190" i="3"/>
  <c r="M86" i="3"/>
  <c r="R72" i="3"/>
  <c r="N77" i="3"/>
  <c r="O135" i="3"/>
  <c r="R319" i="3"/>
  <c r="R198" i="3"/>
  <c r="M212" i="3"/>
  <c r="M129" i="3"/>
  <c r="P115" i="3"/>
  <c r="R281" i="3"/>
  <c r="R269" i="3"/>
  <c r="M263" i="3"/>
  <c r="R185" i="3"/>
  <c r="O86" i="3"/>
  <c r="R112" i="3"/>
  <c r="N135" i="3"/>
  <c r="N329" i="3"/>
  <c r="R253" i="3"/>
  <c r="P319" i="3"/>
  <c r="Q198" i="3"/>
  <c r="N212" i="3"/>
  <c r="O129" i="3"/>
  <c r="N116" i="3"/>
  <c r="O115" i="3"/>
  <c r="Q281" i="3"/>
  <c r="N269" i="3"/>
  <c r="Q263" i="3"/>
  <c r="P185" i="3"/>
  <c r="Q86" i="3"/>
  <c r="P207" i="3"/>
  <c r="Q85" i="3"/>
  <c r="R120" i="3"/>
  <c r="N112" i="3"/>
  <c r="R135" i="3"/>
  <c r="M329" i="3"/>
  <c r="N253" i="3"/>
  <c r="O319" i="3"/>
  <c r="P198" i="3"/>
  <c r="R212" i="3"/>
  <c r="N129" i="3"/>
  <c r="N115" i="3"/>
  <c r="P281" i="3"/>
  <c r="M269" i="3"/>
  <c r="P263" i="3"/>
  <c r="O185" i="3"/>
  <c r="P86" i="3"/>
  <c r="O207" i="3"/>
  <c r="P85" i="3"/>
  <c r="P120" i="3"/>
  <c r="N305" i="3"/>
  <c r="R329" i="3"/>
  <c r="M253" i="3"/>
  <c r="N319" i="3"/>
  <c r="O198" i="3"/>
  <c r="M115" i="3"/>
  <c r="O281" i="3"/>
  <c r="Q269" i="3"/>
  <c r="O263" i="3"/>
  <c r="M185" i="3"/>
  <c r="R207" i="3"/>
  <c r="O85" i="3"/>
  <c r="R28" i="3"/>
  <c r="P307" i="3"/>
  <c r="Q9" i="3"/>
  <c r="Q28" i="3"/>
  <c r="P264" i="3"/>
  <c r="O116" i="3"/>
  <c r="R326" i="3"/>
  <c r="R12" i="3"/>
  <c r="N86" i="3"/>
  <c r="R56" i="3"/>
  <c r="P113" i="3"/>
  <c r="R307" i="3"/>
  <c r="O326" i="3"/>
  <c r="P12" i="3"/>
  <c r="N326" i="3"/>
  <c r="M12" i="3"/>
  <c r="M326" i="3"/>
  <c r="N12" i="3"/>
  <c r="R27" i="3"/>
  <c r="P135" i="3"/>
  <c r="Q27" i="3"/>
  <c r="M135" i="3"/>
  <c r="R98" i="3"/>
  <c r="Q90" i="3"/>
  <c r="Q156" i="3"/>
  <c r="R169" i="3"/>
  <c r="P244" i="3"/>
  <c r="P66" i="3"/>
  <c r="R308" i="3"/>
  <c r="Q214" i="3"/>
  <c r="P202" i="3"/>
  <c r="N313" i="3"/>
  <c r="P83" i="3"/>
  <c r="P292" i="3"/>
  <c r="O258" i="3"/>
  <c r="P300" i="3"/>
  <c r="P92" i="3"/>
  <c r="P256" i="3"/>
  <c r="Q98" i="3"/>
  <c r="P90" i="3"/>
  <c r="N156" i="3"/>
  <c r="O169" i="3"/>
  <c r="R244" i="3"/>
  <c r="O66" i="3"/>
  <c r="P308" i="3"/>
  <c r="P214" i="3"/>
  <c r="N202" i="3"/>
  <c r="M313" i="3"/>
  <c r="N83" i="3"/>
  <c r="O292" i="3"/>
  <c r="N258" i="3"/>
  <c r="O300" i="3"/>
  <c r="O92" i="3"/>
  <c r="R256" i="3"/>
  <c r="P98" i="3"/>
  <c r="O90" i="3"/>
  <c r="R156" i="3"/>
  <c r="M169" i="3"/>
  <c r="Q244" i="3"/>
  <c r="R66" i="3"/>
  <c r="O308" i="3"/>
  <c r="O214" i="3"/>
  <c r="R202" i="3"/>
  <c r="R313" i="3"/>
  <c r="M83" i="3"/>
  <c r="N292" i="3"/>
  <c r="M258" i="3"/>
  <c r="N300" i="3"/>
  <c r="N92" i="3"/>
  <c r="O256" i="3"/>
  <c r="Q246" i="3"/>
  <c r="Q253" i="3"/>
  <c r="O98" i="3"/>
  <c r="M90" i="3"/>
  <c r="P156" i="3"/>
  <c r="P169" i="3"/>
  <c r="O244" i="3"/>
  <c r="Q66" i="3"/>
  <c r="R48" i="3"/>
  <c r="N308" i="3"/>
  <c r="R214" i="3"/>
  <c r="Q202" i="3"/>
  <c r="P313" i="3"/>
  <c r="Q83" i="3"/>
  <c r="M292" i="3"/>
  <c r="R258" i="3"/>
  <c r="M300" i="3"/>
  <c r="M92" i="3"/>
  <c r="N256" i="3"/>
  <c r="P246" i="3"/>
  <c r="P253" i="3"/>
  <c r="M98" i="3"/>
  <c r="N90" i="3"/>
  <c r="O156" i="3"/>
  <c r="N169" i="3"/>
  <c r="N244" i="3"/>
  <c r="N66" i="3"/>
  <c r="Q48" i="3"/>
  <c r="M308" i="3"/>
  <c r="N214" i="3"/>
  <c r="O202" i="3"/>
  <c r="O313" i="3"/>
  <c r="O83" i="3"/>
  <c r="R292" i="3"/>
  <c r="P258" i="3"/>
  <c r="R300" i="3"/>
  <c r="Q92" i="3"/>
  <c r="M256" i="3"/>
  <c r="Q125" i="3"/>
  <c r="M125" i="3"/>
  <c r="O125" i="3"/>
  <c r="P125" i="3"/>
  <c r="R125" i="3"/>
  <c r="N125" i="3"/>
  <c r="M140" i="3"/>
  <c r="Q140" i="3"/>
  <c r="O140" i="3"/>
  <c r="R140" i="3"/>
  <c r="N140" i="3"/>
  <c r="P140" i="3"/>
  <c r="P162" i="3"/>
  <c r="Q162" i="3"/>
  <c r="M162" i="3"/>
  <c r="N162" i="3"/>
  <c r="O162" i="3"/>
  <c r="R162" i="3"/>
  <c r="Q199" i="3"/>
  <c r="N199" i="3"/>
  <c r="M199" i="3"/>
  <c r="O199" i="3"/>
  <c r="R199" i="3"/>
  <c r="P199" i="3"/>
  <c r="Q254" i="3"/>
  <c r="N254" i="3"/>
  <c r="O254" i="3"/>
  <c r="M254" i="3"/>
  <c r="P254" i="3"/>
  <c r="R254" i="3"/>
  <c r="Q119" i="3"/>
  <c r="M119" i="3"/>
  <c r="N119" i="3"/>
  <c r="O119" i="3"/>
  <c r="P119" i="3"/>
  <c r="R119" i="3"/>
  <c r="P91" i="3"/>
  <c r="M91" i="3"/>
  <c r="N91" i="3"/>
  <c r="O91" i="3"/>
  <c r="Q91" i="3"/>
  <c r="R91" i="3"/>
  <c r="M234" i="3"/>
  <c r="N234" i="3"/>
  <c r="O234" i="3"/>
  <c r="P234" i="3"/>
  <c r="Q234" i="3"/>
  <c r="R234" i="3"/>
  <c r="S5" i="3"/>
  <c r="P103" i="3"/>
  <c r="O103" i="3"/>
  <c r="M103" i="3"/>
  <c r="N103" i="3"/>
  <c r="Q103" i="3"/>
  <c r="R103" i="3"/>
  <c r="O37" i="3"/>
  <c r="P37" i="3"/>
  <c r="M37" i="3"/>
  <c r="N37" i="3"/>
  <c r="Q37" i="3"/>
  <c r="R37" i="3"/>
  <c r="Q111" i="3"/>
  <c r="M111" i="3"/>
  <c r="N111" i="3"/>
  <c r="O111" i="3"/>
  <c r="P111" i="3"/>
  <c r="R111" i="3"/>
  <c r="O24" i="3"/>
  <c r="M24" i="3"/>
  <c r="N24" i="3"/>
  <c r="P24" i="3"/>
  <c r="R24" i="3"/>
  <c r="Q24" i="3"/>
  <c r="N170" i="3"/>
  <c r="Q170" i="3"/>
  <c r="M170" i="3"/>
  <c r="O170" i="3"/>
  <c r="P170" i="3"/>
  <c r="R170" i="3"/>
  <c r="Q260" i="3"/>
  <c r="O260" i="3"/>
  <c r="P260" i="3"/>
  <c r="R260" i="3"/>
  <c r="M260" i="3"/>
  <c r="N260" i="3"/>
  <c r="M55" i="3"/>
  <c r="Q55" i="3"/>
  <c r="N55" i="3"/>
  <c r="O55" i="3"/>
  <c r="R55" i="3"/>
  <c r="P55" i="3"/>
  <c r="P99" i="3"/>
  <c r="N99" i="3"/>
  <c r="M99" i="3"/>
  <c r="O99" i="3"/>
  <c r="Q99" i="3"/>
  <c r="R99" i="3"/>
  <c r="Q252" i="3"/>
  <c r="O252" i="3"/>
  <c r="P252" i="3"/>
  <c r="R252" i="3"/>
  <c r="M252" i="3"/>
  <c r="N252" i="3"/>
  <c r="P248" i="3"/>
  <c r="M248" i="3"/>
  <c r="N248" i="3"/>
  <c r="Q248" i="3"/>
  <c r="R248" i="3"/>
  <c r="O248" i="3"/>
  <c r="M102" i="3"/>
  <c r="N102" i="3"/>
  <c r="O102" i="3"/>
  <c r="P102" i="3"/>
  <c r="Q102" i="3"/>
  <c r="R102" i="3"/>
  <c r="Q157" i="3"/>
  <c r="R157" i="3"/>
  <c r="M157" i="3"/>
  <c r="O157" i="3"/>
  <c r="P157" i="3"/>
  <c r="N157" i="3"/>
  <c r="Q163" i="3"/>
  <c r="N163" i="3"/>
  <c r="R163" i="3"/>
  <c r="M163" i="3"/>
  <c r="O163" i="3"/>
  <c r="P163" i="3"/>
  <c r="N70" i="3"/>
  <c r="P70" i="3"/>
  <c r="Q70" i="3"/>
  <c r="R70" i="3"/>
  <c r="M70" i="3"/>
  <c r="O70" i="3"/>
  <c r="R80" i="3"/>
  <c r="O80" i="3"/>
  <c r="M80" i="3"/>
  <c r="Q80" i="3"/>
  <c r="N80" i="3"/>
  <c r="P80" i="3"/>
  <c r="O36" i="3"/>
  <c r="N36" i="3"/>
  <c r="M36" i="3"/>
  <c r="R36" i="3"/>
  <c r="P36" i="3"/>
  <c r="Q36" i="3"/>
  <c r="M172" i="3"/>
  <c r="N172" i="3"/>
  <c r="P172" i="3"/>
  <c r="Q172" i="3"/>
  <c r="R172" i="3"/>
  <c r="O172" i="3"/>
  <c r="P57" i="3"/>
  <c r="M57" i="3"/>
  <c r="O57" i="3"/>
  <c r="N57" i="3"/>
  <c r="Q57" i="3"/>
  <c r="R57" i="3"/>
  <c r="Q298" i="3"/>
  <c r="R298" i="3"/>
  <c r="N298" i="3"/>
  <c r="M298" i="3"/>
  <c r="O298" i="3"/>
  <c r="P298" i="3"/>
  <c r="Q231" i="3"/>
  <c r="R231" i="3"/>
  <c r="M231" i="3"/>
  <c r="N231" i="3"/>
  <c r="O231" i="3"/>
  <c r="P231" i="3"/>
  <c r="Q127" i="3"/>
  <c r="M127" i="3"/>
  <c r="N127" i="3"/>
  <c r="O127" i="3"/>
  <c r="P127" i="3"/>
  <c r="R127" i="3"/>
  <c r="P67" i="3"/>
  <c r="O67" i="3"/>
  <c r="M67" i="3"/>
  <c r="N67" i="3"/>
  <c r="Q67" i="3"/>
  <c r="R67" i="3"/>
  <c r="P122" i="3"/>
  <c r="Q122" i="3"/>
  <c r="R122" i="3"/>
  <c r="M122" i="3"/>
  <c r="N122" i="3"/>
  <c r="O122" i="3"/>
  <c r="R76" i="3"/>
  <c r="M76" i="3"/>
  <c r="P76" i="3"/>
  <c r="Q76" i="3"/>
  <c r="N76" i="3"/>
  <c r="O76" i="3"/>
  <c r="M180" i="3"/>
  <c r="O180" i="3"/>
  <c r="P180" i="3"/>
  <c r="N180" i="3"/>
  <c r="Q180" i="3"/>
  <c r="R180" i="3"/>
  <c r="O89" i="3"/>
  <c r="M89" i="3"/>
  <c r="N89" i="3"/>
  <c r="P89" i="3"/>
  <c r="Q89" i="3"/>
  <c r="R89" i="3"/>
  <c r="Q237" i="3"/>
  <c r="R237" i="3"/>
  <c r="M237" i="3"/>
  <c r="N237" i="3"/>
  <c r="O237" i="3"/>
  <c r="P237" i="3"/>
  <c r="Q143" i="3"/>
  <c r="M143" i="3"/>
  <c r="P143" i="3"/>
  <c r="N143" i="3"/>
  <c r="O143" i="3"/>
  <c r="R143" i="3"/>
  <c r="Q321" i="3"/>
  <c r="O321" i="3"/>
  <c r="P321" i="3"/>
  <c r="R321" i="3"/>
  <c r="M321" i="3"/>
  <c r="N321" i="3"/>
  <c r="Q233" i="3"/>
  <c r="M233" i="3"/>
  <c r="N233" i="3"/>
  <c r="O233" i="3"/>
  <c r="P233" i="3"/>
  <c r="R233" i="3"/>
  <c r="O46" i="3"/>
  <c r="R46" i="3"/>
  <c r="M46" i="3"/>
  <c r="N46" i="3"/>
  <c r="P46" i="3"/>
  <c r="Q46" i="3"/>
  <c r="O52" i="3"/>
  <c r="N52" i="3"/>
  <c r="Q52" i="3"/>
  <c r="R52" i="3"/>
  <c r="P52" i="3"/>
  <c r="M52" i="3"/>
  <c r="P134" i="3"/>
  <c r="N134" i="3"/>
  <c r="O134" i="3"/>
  <c r="Q134" i="3"/>
  <c r="M134" i="3"/>
  <c r="R134" i="3"/>
  <c r="P204" i="3"/>
  <c r="M204" i="3"/>
  <c r="N204" i="3"/>
  <c r="O204" i="3"/>
  <c r="R204" i="3"/>
  <c r="Q204" i="3"/>
  <c r="M222" i="3"/>
  <c r="R222" i="3"/>
  <c r="O222" i="3"/>
  <c r="P222" i="3"/>
  <c r="Q222" i="3"/>
  <c r="N222" i="3"/>
  <c r="N19" i="3"/>
  <c r="P19" i="3"/>
  <c r="Q19" i="3"/>
  <c r="R19" i="3"/>
  <c r="M19" i="3"/>
  <c r="O19" i="3"/>
  <c r="R74" i="3"/>
  <c r="M74" i="3"/>
  <c r="N74" i="3"/>
  <c r="O74" i="3"/>
  <c r="P74" i="3"/>
  <c r="Q74" i="3"/>
  <c r="K5" i="3"/>
  <c r="N45" i="3"/>
  <c r="O45" i="3"/>
  <c r="P45" i="3"/>
  <c r="Q45" i="3"/>
  <c r="R45" i="3"/>
  <c r="M45" i="3"/>
  <c r="Q155" i="3"/>
  <c r="N155" i="3"/>
  <c r="R155" i="3"/>
  <c r="P155" i="3"/>
  <c r="M155" i="3"/>
  <c r="O155" i="3"/>
  <c r="P184" i="3"/>
  <c r="M184" i="3"/>
  <c r="N184" i="3"/>
  <c r="O184" i="3"/>
  <c r="Q184" i="3"/>
  <c r="R184" i="3"/>
  <c r="P160" i="3"/>
  <c r="M160" i="3"/>
  <c r="N160" i="3"/>
  <c r="O160" i="3"/>
  <c r="Q160" i="3"/>
  <c r="R160" i="3"/>
  <c r="M210" i="3"/>
  <c r="N210" i="3"/>
  <c r="P210" i="3"/>
  <c r="Q210" i="3"/>
  <c r="O210" i="3"/>
  <c r="R210" i="3"/>
  <c r="P196" i="3"/>
  <c r="N196" i="3"/>
  <c r="O196" i="3"/>
  <c r="Q196" i="3"/>
  <c r="R196" i="3"/>
  <c r="M196" i="3"/>
  <c r="R88" i="3"/>
  <c r="M88" i="3"/>
  <c r="N88" i="3"/>
  <c r="O88" i="3"/>
  <c r="P88" i="3"/>
  <c r="Q88" i="3"/>
  <c r="P176" i="3"/>
  <c r="O176" i="3"/>
  <c r="M176" i="3"/>
  <c r="N176" i="3"/>
  <c r="Q176" i="3"/>
  <c r="R176" i="3"/>
  <c r="R208" i="3"/>
  <c r="N208" i="3"/>
  <c r="O208" i="3"/>
  <c r="Q208" i="3"/>
  <c r="P208" i="3"/>
  <c r="M208" i="3"/>
  <c r="P69" i="3"/>
  <c r="N69" i="3"/>
  <c r="O69" i="3"/>
  <c r="M69" i="3"/>
  <c r="R69" i="3"/>
  <c r="Q69" i="3"/>
  <c r="N236" i="3"/>
  <c r="O236" i="3"/>
  <c r="P236" i="3"/>
  <c r="Q236" i="3"/>
  <c r="R236" i="3"/>
  <c r="M236" i="3"/>
  <c r="Q151" i="3"/>
  <c r="O151" i="3"/>
  <c r="M151" i="3"/>
  <c r="R151" i="3"/>
  <c r="N151" i="3"/>
  <c r="P151" i="3"/>
  <c r="P295" i="3"/>
  <c r="M295" i="3"/>
  <c r="N295" i="3"/>
  <c r="O295" i="3"/>
  <c r="Q295" i="3"/>
  <c r="R295" i="3"/>
  <c r="Q330" i="3"/>
  <c r="M330" i="3"/>
  <c r="N330" i="3"/>
  <c r="O330" i="3"/>
  <c r="P330" i="3"/>
  <c r="R330" i="3"/>
  <c r="P25" i="3"/>
  <c r="N25" i="3"/>
  <c r="Q25" i="3"/>
  <c r="R25" i="3"/>
  <c r="M25" i="3"/>
  <c r="O25" i="3"/>
  <c r="P65" i="3"/>
  <c r="Q65" i="3"/>
  <c r="R65" i="3"/>
  <c r="M65" i="3"/>
  <c r="O65" i="3"/>
  <c r="N65" i="3"/>
  <c r="O34" i="3"/>
  <c r="M34" i="3"/>
  <c r="Q34" i="3"/>
  <c r="R34" i="3"/>
  <c r="N34" i="3"/>
  <c r="P34" i="3"/>
  <c r="N200" i="3"/>
  <c r="O200" i="3"/>
  <c r="P200" i="3"/>
  <c r="Q200" i="3"/>
  <c r="R200" i="3"/>
  <c r="M200" i="3"/>
  <c r="M182" i="3"/>
  <c r="P182" i="3"/>
  <c r="R182" i="3"/>
  <c r="O182" i="3"/>
  <c r="Q182" i="3"/>
  <c r="N182" i="3"/>
  <c r="P232" i="3"/>
  <c r="N232" i="3"/>
  <c r="O232" i="3"/>
  <c r="Q232" i="3"/>
  <c r="R232" i="3"/>
  <c r="M232" i="3"/>
  <c r="P168" i="3"/>
  <c r="R168" i="3"/>
  <c r="M168" i="3"/>
  <c r="N168" i="3"/>
  <c r="O168" i="3"/>
  <c r="Q168" i="3"/>
  <c r="M62" i="3"/>
  <c r="Q62" i="3"/>
  <c r="R62" i="3"/>
  <c r="O62" i="3"/>
  <c r="N62" i="3"/>
  <c r="P62" i="3"/>
  <c r="Q315" i="3"/>
  <c r="M315" i="3"/>
  <c r="N315" i="3"/>
  <c r="O315" i="3"/>
  <c r="P315" i="3"/>
  <c r="R315" i="3"/>
  <c r="M51" i="3"/>
  <c r="N51" i="3"/>
  <c r="P51" i="3"/>
  <c r="R51" i="3"/>
  <c r="O51" i="3"/>
  <c r="Q51" i="3"/>
  <c r="Q173" i="3"/>
  <c r="R173" i="3"/>
  <c r="M173" i="3"/>
  <c r="N173" i="3"/>
  <c r="O173" i="3"/>
  <c r="P173" i="3"/>
  <c r="Q314" i="3"/>
  <c r="M314" i="3"/>
  <c r="N314" i="3"/>
  <c r="O314" i="3"/>
  <c r="P314" i="3"/>
  <c r="R314" i="3"/>
  <c r="P87" i="3"/>
  <c r="O87" i="3"/>
  <c r="M87" i="3"/>
  <c r="N87" i="3"/>
  <c r="Q87" i="3"/>
  <c r="R87" i="3"/>
  <c r="O261" i="3"/>
  <c r="P261" i="3"/>
  <c r="Q261" i="3"/>
  <c r="M261" i="3"/>
  <c r="N261" i="3"/>
  <c r="R261" i="3"/>
  <c r="Q284" i="3"/>
  <c r="R284" i="3"/>
  <c r="M284" i="3"/>
  <c r="N284" i="3"/>
  <c r="O284" i="3"/>
  <c r="P284" i="3"/>
  <c r="Q262" i="3"/>
  <c r="N262" i="3"/>
  <c r="O262" i="3"/>
  <c r="M262" i="3"/>
  <c r="P262" i="3"/>
  <c r="R262" i="3"/>
  <c r="Q239" i="3"/>
  <c r="P239" i="3"/>
  <c r="R239" i="3"/>
  <c r="M239" i="3"/>
  <c r="N239" i="3"/>
  <c r="O239" i="3"/>
  <c r="P97" i="3"/>
  <c r="O97" i="3"/>
  <c r="M97" i="3"/>
  <c r="N97" i="3"/>
  <c r="Q97" i="3"/>
  <c r="R97" i="3"/>
  <c r="O11" i="3"/>
  <c r="P11" i="3"/>
  <c r="Q11" i="3"/>
  <c r="R11" i="3"/>
  <c r="M11" i="3"/>
  <c r="N11" i="3"/>
  <c r="P126" i="3"/>
  <c r="O126" i="3"/>
  <c r="Q126" i="3"/>
  <c r="R126" i="3"/>
  <c r="M126" i="3"/>
  <c r="N126" i="3"/>
  <c r="Q286" i="3"/>
  <c r="N286" i="3"/>
  <c r="M286" i="3"/>
  <c r="O286" i="3"/>
  <c r="P286" i="3"/>
  <c r="R286" i="3"/>
  <c r="M283" i="3"/>
  <c r="P283" i="3"/>
  <c r="N283" i="3"/>
  <c r="O283" i="3"/>
  <c r="Q283" i="3"/>
  <c r="R283" i="3"/>
  <c r="P33" i="3"/>
  <c r="O33" i="3"/>
  <c r="Q33" i="3"/>
  <c r="M33" i="3"/>
  <c r="N33" i="3"/>
  <c r="R33" i="3"/>
  <c r="Q193" i="3"/>
  <c r="P193" i="3"/>
  <c r="R193" i="3"/>
  <c r="M193" i="3"/>
  <c r="N193" i="3"/>
  <c r="O193" i="3"/>
  <c r="M53" i="3"/>
  <c r="N53" i="3"/>
  <c r="O53" i="3"/>
  <c r="Q53" i="3"/>
  <c r="P53" i="3"/>
  <c r="R53" i="3"/>
  <c r="S4" i="3"/>
  <c r="Q136" i="3"/>
  <c r="R136" i="3"/>
  <c r="O136" i="3"/>
  <c r="P136" i="3"/>
  <c r="M136" i="3"/>
  <c r="N136" i="3"/>
  <c r="O22" i="3"/>
  <c r="R22" i="3"/>
  <c r="M22" i="3"/>
  <c r="N22" i="3"/>
  <c r="P22" i="3"/>
  <c r="Q22" i="3"/>
  <c r="O81" i="3"/>
  <c r="M81" i="3"/>
  <c r="N81" i="3"/>
  <c r="P81" i="3"/>
  <c r="Q81" i="3"/>
  <c r="R81" i="3"/>
  <c r="R59" i="3"/>
  <c r="M59" i="3"/>
  <c r="N59" i="3"/>
  <c r="O59" i="3"/>
  <c r="P59" i="3"/>
  <c r="Q59" i="3"/>
  <c r="P224" i="3"/>
  <c r="M224" i="3"/>
  <c r="N224" i="3"/>
  <c r="O224" i="3"/>
  <c r="Q224" i="3"/>
  <c r="R224" i="3"/>
  <c r="K183" i="3"/>
  <c r="Q153" i="3"/>
  <c r="N153" i="3"/>
  <c r="M153" i="3"/>
  <c r="O153" i="3"/>
  <c r="P153" i="3"/>
  <c r="R153" i="3"/>
  <c r="Q221" i="3"/>
  <c r="R221" i="3"/>
  <c r="P221" i="3"/>
  <c r="M221" i="3"/>
  <c r="N221" i="3"/>
  <c r="O221" i="3"/>
  <c r="P240" i="3"/>
  <c r="M240" i="3"/>
  <c r="N240" i="3"/>
  <c r="O240" i="3"/>
  <c r="Q240" i="3"/>
  <c r="R240" i="3"/>
  <c r="Q175" i="3"/>
  <c r="R175" i="3"/>
  <c r="M175" i="3"/>
  <c r="O175" i="3"/>
  <c r="P175" i="3"/>
  <c r="N175" i="3"/>
  <c r="P79" i="3"/>
  <c r="Q79" i="3"/>
  <c r="O79" i="3"/>
  <c r="M79" i="3"/>
  <c r="N79" i="3"/>
  <c r="R79" i="3"/>
  <c r="O38" i="3"/>
  <c r="R38" i="3"/>
  <c r="N38" i="3"/>
  <c r="P38" i="3"/>
  <c r="Q38" i="3"/>
  <c r="M38" i="3"/>
  <c r="P96" i="3"/>
  <c r="R96" i="3"/>
  <c r="M96" i="3"/>
  <c r="N96" i="3"/>
  <c r="O96" i="3"/>
  <c r="Q96" i="3"/>
  <c r="Q159" i="3"/>
  <c r="M159" i="3"/>
  <c r="N159" i="3"/>
  <c r="O159" i="3"/>
  <c r="P159" i="3"/>
  <c r="R159" i="3"/>
  <c r="P150" i="3"/>
  <c r="Q150" i="3"/>
  <c r="O150" i="3"/>
  <c r="R150" i="3"/>
  <c r="M150" i="3"/>
  <c r="N150" i="3"/>
  <c r="Q247" i="3"/>
  <c r="O247" i="3"/>
  <c r="P247" i="3"/>
  <c r="R247" i="3"/>
  <c r="M247" i="3"/>
  <c r="N247" i="3"/>
  <c r="R271" i="3"/>
  <c r="P271" i="3"/>
  <c r="M271" i="3"/>
  <c r="N271" i="3"/>
  <c r="O271" i="3"/>
  <c r="Q271" i="3"/>
  <c r="Q181" i="3"/>
  <c r="R181" i="3"/>
  <c r="M181" i="3"/>
  <c r="P181" i="3"/>
  <c r="N181" i="3"/>
  <c r="O181" i="3"/>
  <c r="R94" i="3"/>
  <c r="M94" i="3"/>
  <c r="N94" i="3"/>
  <c r="O94" i="3"/>
  <c r="P94" i="3"/>
  <c r="Q94" i="3"/>
  <c r="M230" i="3"/>
  <c r="N230" i="3"/>
  <c r="O230" i="3"/>
  <c r="P230" i="3"/>
  <c r="Q230" i="3"/>
  <c r="R230" i="3"/>
  <c r="O42" i="3"/>
  <c r="R42" i="3"/>
  <c r="M42" i="3"/>
  <c r="N42" i="3"/>
  <c r="P42" i="3"/>
  <c r="Q42" i="3"/>
  <c r="P101" i="3"/>
  <c r="R101" i="3"/>
  <c r="M101" i="3"/>
  <c r="N101" i="3"/>
  <c r="O101" i="3"/>
  <c r="Q101" i="3"/>
  <c r="K6" i="3"/>
  <c r="P114" i="3"/>
  <c r="Q114" i="3"/>
  <c r="R114" i="3"/>
  <c r="N114" i="3"/>
  <c r="O114" i="3"/>
  <c r="M114" i="3"/>
  <c r="Q223" i="3"/>
  <c r="M223" i="3"/>
  <c r="N223" i="3"/>
  <c r="O223" i="3"/>
  <c r="P223" i="3"/>
  <c r="R223" i="3"/>
  <c r="O277" i="3"/>
  <c r="P277" i="3"/>
  <c r="M277" i="3"/>
  <c r="N277" i="3"/>
  <c r="Q277" i="3"/>
  <c r="R277" i="3"/>
  <c r="P279" i="3"/>
  <c r="N279" i="3"/>
  <c r="O279" i="3"/>
  <c r="Q279" i="3"/>
  <c r="R279" i="3"/>
  <c r="M279" i="3"/>
  <c r="Q195" i="3"/>
  <c r="M195" i="3"/>
  <c r="N195" i="3"/>
  <c r="O195" i="3"/>
  <c r="R195" i="3"/>
  <c r="P195" i="3"/>
  <c r="N29" i="3"/>
  <c r="P29" i="3"/>
  <c r="Q29" i="3"/>
  <c r="M29" i="3"/>
  <c r="O29" i="3"/>
  <c r="R29" i="3"/>
  <c r="Q201" i="3"/>
  <c r="R201" i="3"/>
  <c r="O201" i="3"/>
  <c r="M201" i="3"/>
  <c r="N201" i="3"/>
  <c r="P201" i="3"/>
  <c r="M108" i="3"/>
  <c r="N108" i="3"/>
  <c r="P108" i="3"/>
  <c r="R108" i="3"/>
  <c r="O108" i="3"/>
  <c r="Q108" i="3"/>
  <c r="Q137" i="3"/>
  <c r="N137" i="3"/>
  <c r="R137" i="3"/>
  <c r="M137" i="3"/>
  <c r="O137" i="3"/>
  <c r="P137" i="3"/>
  <c r="M93" i="3"/>
  <c r="O93" i="3"/>
  <c r="N93" i="3"/>
  <c r="P93" i="3"/>
  <c r="Q93" i="3"/>
  <c r="R93" i="3"/>
  <c r="R68" i="3"/>
  <c r="N68" i="3"/>
  <c r="O68" i="3"/>
  <c r="Q68" i="3"/>
  <c r="M68" i="3"/>
  <c r="P68" i="3"/>
  <c r="Q171" i="3"/>
  <c r="N171" i="3"/>
  <c r="R171" i="3"/>
  <c r="O171" i="3"/>
  <c r="M171" i="3"/>
  <c r="P171" i="3"/>
  <c r="Q149" i="3"/>
  <c r="P149" i="3"/>
  <c r="R149" i="3"/>
  <c r="M149" i="3"/>
  <c r="N149" i="3"/>
  <c r="O149" i="3"/>
  <c r="Q270" i="3"/>
  <c r="N270" i="3"/>
  <c r="M270" i="3"/>
  <c r="O270" i="3"/>
  <c r="P270" i="3"/>
  <c r="R270" i="3"/>
  <c r="Q133" i="3"/>
  <c r="R133" i="3"/>
  <c r="N133" i="3"/>
  <c r="O133" i="3"/>
  <c r="M133" i="3"/>
  <c r="P133" i="3"/>
  <c r="Q276" i="3"/>
  <c r="R276" i="3"/>
  <c r="M276" i="3"/>
  <c r="N276" i="3"/>
  <c r="O276" i="3"/>
  <c r="P276" i="3"/>
  <c r="Q322" i="3"/>
  <c r="M322" i="3"/>
  <c r="N322" i="3"/>
  <c r="O322" i="3"/>
  <c r="P322" i="3"/>
  <c r="R322" i="3"/>
  <c r="O18" i="3"/>
  <c r="R18" i="3"/>
  <c r="M18" i="3"/>
  <c r="N18" i="3"/>
  <c r="P18" i="3"/>
  <c r="Q18" i="3"/>
  <c r="Q123" i="3"/>
  <c r="R123" i="3"/>
  <c r="M123" i="3"/>
  <c r="N123" i="3"/>
  <c r="O123" i="3"/>
  <c r="P123" i="3"/>
  <c r="M267" i="3"/>
  <c r="N267" i="3"/>
  <c r="P267" i="3"/>
  <c r="Q267" i="3"/>
  <c r="O267" i="3"/>
  <c r="R267" i="3"/>
  <c r="P118" i="3"/>
  <c r="Q118" i="3"/>
  <c r="R118" i="3"/>
  <c r="M118" i="3"/>
  <c r="N118" i="3"/>
  <c r="O118" i="3"/>
  <c r="Q229" i="3"/>
  <c r="R229" i="3"/>
  <c r="M229" i="3"/>
  <c r="N229" i="3"/>
  <c r="O229" i="3"/>
  <c r="P229" i="3"/>
  <c r="Q316" i="3"/>
  <c r="M316" i="3"/>
  <c r="N316" i="3"/>
  <c r="O316" i="3"/>
  <c r="P316" i="3"/>
  <c r="R316" i="3"/>
  <c r="O130" i="3"/>
  <c r="P130" i="3"/>
  <c r="Q130" i="3"/>
  <c r="R130" i="3"/>
  <c r="N130" i="3"/>
  <c r="M130" i="3"/>
  <c r="O40" i="3"/>
  <c r="M40" i="3"/>
  <c r="R40" i="3"/>
  <c r="N40" i="3"/>
  <c r="P40" i="3"/>
  <c r="Q40" i="3"/>
  <c r="S183" i="3"/>
  <c r="Q217" i="3"/>
  <c r="P217" i="3"/>
  <c r="M217" i="3"/>
  <c r="N217" i="3"/>
  <c r="O217" i="3"/>
  <c r="R217" i="3"/>
  <c r="O14" i="3"/>
  <c r="R14" i="3"/>
  <c r="M14" i="3"/>
  <c r="N14" i="3"/>
  <c r="P14" i="3"/>
  <c r="Q14" i="3"/>
  <c r="O30" i="3"/>
  <c r="R30" i="3"/>
  <c r="M30" i="3"/>
  <c r="Q30" i="3"/>
  <c r="N30" i="3"/>
  <c r="P30" i="3"/>
  <c r="M164" i="3"/>
  <c r="N164" i="3"/>
  <c r="P164" i="3"/>
  <c r="R164" i="3"/>
  <c r="O164" i="3"/>
  <c r="Q164" i="3"/>
  <c r="Q147" i="3"/>
  <c r="P147" i="3"/>
  <c r="R147" i="3"/>
  <c r="N147" i="3"/>
  <c r="M147" i="3"/>
  <c r="O147" i="3"/>
  <c r="Q205" i="3"/>
  <c r="O205" i="3"/>
  <c r="R205" i="3"/>
  <c r="N205" i="3"/>
  <c r="M205" i="3"/>
  <c r="P205" i="3"/>
  <c r="O16" i="3"/>
  <c r="M16" i="3"/>
  <c r="N16" i="3"/>
  <c r="P16" i="3"/>
  <c r="Q16" i="3"/>
  <c r="R16" i="3"/>
  <c r="Q311" i="3"/>
  <c r="M311" i="3"/>
  <c r="N311" i="3"/>
  <c r="O311" i="3"/>
  <c r="P311" i="3"/>
  <c r="R311" i="3"/>
  <c r="N304" i="3"/>
  <c r="Q304" i="3"/>
  <c r="R304" i="3"/>
  <c r="M304" i="3"/>
  <c r="O304" i="3"/>
  <c r="P304" i="3"/>
  <c r="O44" i="3"/>
  <c r="N44" i="3"/>
  <c r="R44" i="3"/>
  <c r="P44" i="3"/>
  <c r="Q44" i="3"/>
  <c r="M44" i="3"/>
  <c r="Q188" i="3"/>
  <c r="O188" i="3"/>
  <c r="P188" i="3"/>
  <c r="M188" i="3"/>
  <c r="N188" i="3"/>
  <c r="R188" i="3"/>
  <c r="Q241" i="3"/>
  <c r="M241" i="3"/>
  <c r="N241" i="3"/>
  <c r="O241" i="3"/>
  <c r="R241" i="3"/>
  <c r="P241" i="3"/>
  <c r="Q192" i="3"/>
  <c r="M192" i="3"/>
  <c r="N192" i="3"/>
  <c r="O192" i="3"/>
  <c r="P192" i="3"/>
  <c r="R192" i="3"/>
  <c r="P104" i="3"/>
  <c r="R104" i="3"/>
  <c r="M104" i="3"/>
  <c r="N104" i="3"/>
  <c r="O104" i="3"/>
  <c r="Q104" i="3"/>
  <c r="M63" i="3"/>
  <c r="R63" i="3"/>
  <c r="O63" i="3"/>
  <c r="N63" i="3"/>
  <c r="P63" i="3"/>
  <c r="Q63" i="3"/>
  <c r="M273" i="3"/>
  <c r="N273" i="3"/>
  <c r="O273" i="3"/>
  <c r="P273" i="3"/>
  <c r="Q273" i="3"/>
  <c r="R273" i="3"/>
  <c r="Q117" i="3"/>
  <c r="N117" i="3"/>
  <c r="P117" i="3"/>
  <c r="R117" i="3"/>
  <c r="M117" i="3"/>
  <c r="O117" i="3"/>
  <c r="O228" i="3"/>
  <c r="P228" i="3"/>
  <c r="Q228" i="3"/>
  <c r="R228" i="3"/>
  <c r="M228" i="3"/>
  <c r="N228" i="3"/>
  <c r="Q141" i="3"/>
  <c r="R141" i="3"/>
  <c r="M141" i="3"/>
  <c r="O141" i="3"/>
  <c r="N141" i="3"/>
  <c r="P141" i="3"/>
  <c r="Q211" i="3"/>
  <c r="M211" i="3"/>
  <c r="R211" i="3"/>
  <c r="N211" i="3"/>
  <c r="O211" i="3"/>
  <c r="P211" i="3"/>
  <c r="S6" i="3"/>
  <c r="O20" i="3"/>
  <c r="N20" i="3"/>
  <c r="M20" i="3"/>
  <c r="P20" i="3"/>
  <c r="Q20" i="3"/>
  <c r="R20" i="3"/>
  <c r="Q131" i="3"/>
  <c r="R131" i="3"/>
  <c r="M131" i="3"/>
  <c r="N131" i="3"/>
  <c r="P131" i="3"/>
  <c r="O131" i="3"/>
  <c r="P287" i="3"/>
  <c r="M287" i="3"/>
  <c r="N287" i="3"/>
  <c r="O287" i="3"/>
  <c r="Q287" i="3"/>
  <c r="R287" i="3"/>
  <c r="P95" i="3"/>
  <c r="O95" i="3"/>
  <c r="M95" i="3"/>
  <c r="N95" i="3"/>
  <c r="Q95" i="3"/>
  <c r="R95" i="3"/>
  <c r="Q325" i="3"/>
  <c r="O325" i="3"/>
  <c r="P325" i="3"/>
  <c r="R325" i="3"/>
  <c r="M325" i="3"/>
  <c r="N325" i="3"/>
  <c r="S7" i="3"/>
  <c r="M47" i="3"/>
  <c r="P47" i="3"/>
  <c r="Q47" i="3"/>
  <c r="R47" i="3"/>
  <c r="N47" i="3"/>
  <c r="O47" i="3"/>
  <c r="M166" i="3"/>
  <c r="P166" i="3"/>
  <c r="N166" i="3"/>
  <c r="O166" i="3"/>
  <c r="Q166" i="3"/>
  <c r="R166" i="3"/>
  <c r="R154" i="3"/>
  <c r="Q154" i="3"/>
  <c r="M154" i="3"/>
  <c r="N154" i="3"/>
  <c r="O154" i="3"/>
  <c r="P154" i="3"/>
  <c r="Q266" i="3"/>
  <c r="P266" i="3"/>
  <c r="R266" i="3"/>
  <c r="M266" i="3"/>
  <c r="N266" i="3"/>
  <c r="O266" i="3"/>
  <c r="M148" i="3"/>
  <c r="O148" i="3"/>
  <c r="P148" i="3"/>
  <c r="Q148" i="3"/>
  <c r="R148" i="3"/>
  <c r="N148" i="3"/>
  <c r="M158" i="3"/>
  <c r="P158" i="3"/>
  <c r="N158" i="3"/>
  <c r="O158" i="3"/>
  <c r="Q158" i="3"/>
  <c r="R158" i="3"/>
  <c r="M15" i="3"/>
  <c r="O15" i="3"/>
  <c r="Q15" i="3"/>
  <c r="R15" i="3"/>
  <c r="N15" i="3"/>
  <c r="P15" i="3"/>
  <c r="M257" i="3"/>
  <c r="N257" i="3"/>
  <c r="Q257" i="3"/>
  <c r="R257" i="3"/>
  <c r="O257" i="3"/>
  <c r="P257" i="3"/>
  <c r="O152" i="3"/>
  <c r="R152" i="3"/>
  <c r="M152" i="3"/>
  <c r="N152" i="3"/>
  <c r="P152" i="3"/>
  <c r="Q152" i="3"/>
  <c r="Q100" i="3"/>
  <c r="M100" i="3"/>
  <c r="N100" i="3"/>
  <c r="O100" i="3"/>
  <c r="P100" i="3"/>
  <c r="R100" i="3"/>
  <c r="Q225" i="3"/>
  <c r="P225" i="3"/>
  <c r="M225" i="3"/>
  <c r="N225" i="3"/>
  <c r="O225" i="3"/>
  <c r="R225" i="3"/>
  <c r="M299" i="3"/>
  <c r="P299" i="3"/>
  <c r="N299" i="3"/>
  <c r="O299" i="3"/>
  <c r="Q299" i="3"/>
  <c r="R299" i="3"/>
  <c r="Q218" i="3"/>
  <c r="M218" i="3"/>
  <c r="N218" i="3"/>
  <c r="O218" i="3"/>
  <c r="P218" i="3"/>
  <c r="R218" i="3"/>
  <c r="M39" i="3"/>
  <c r="O39" i="3"/>
  <c r="Q39" i="3"/>
  <c r="R39" i="3"/>
  <c r="N39" i="3"/>
  <c r="P39" i="3"/>
  <c r="M238" i="3"/>
  <c r="N238" i="3"/>
  <c r="O238" i="3"/>
  <c r="P238" i="3"/>
  <c r="Q238" i="3"/>
  <c r="R238" i="3"/>
  <c r="P186" i="3"/>
  <c r="Q186" i="3"/>
  <c r="R186" i="3"/>
  <c r="M186" i="3"/>
  <c r="N186" i="3"/>
  <c r="O186" i="3"/>
  <c r="M251" i="3"/>
  <c r="N251" i="3"/>
  <c r="P251" i="3"/>
  <c r="Q251" i="3"/>
  <c r="O251" i="3"/>
  <c r="R251" i="3"/>
  <c r="P301" i="3"/>
  <c r="M301" i="3"/>
  <c r="N301" i="3"/>
  <c r="O301" i="3"/>
  <c r="Q301" i="3"/>
  <c r="R301" i="3"/>
  <c r="N216" i="3"/>
  <c r="P216" i="3"/>
  <c r="Q216" i="3"/>
  <c r="M216" i="3"/>
  <c r="O216" i="3"/>
  <c r="R216" i="3"/>
  <c r="Q327" i="3"/>
  <c r="M327" i="3"/>
  <c r="N327" i="3"/>
  <c r="O327" i="3"/>
  <c r="P327" i="3"/>
  <c r="R327" i="3"/>
  <c r="Q165" i="3"/>
  <c r="R165" i="3"/>
  <c r="M165" i="3"/>
  <c r="O165" i="3"/>
  <c r="P165" i="3"/>
  <c r="N165" i="3"/>
  <c r="M174" i="3"/>
  <c r="P174" i="3"/>
  <c r="N174" i="3"/>
  <c r="O174" i="3"/>
  <c r="R174" i="3"/>
  <c r="Q174" i="3"/>
  <c r="Q272" i="3"/>
  <c r="M272" i="3"/>
  <c r="N272" i="3"/>
  <c r="R272" i="3"/>
  <c r="O272" i="3"/>
  <c r="P272" i="3"/>
  <c r="Q323" i="3"/>
  <c r="M323" i="3"/>
  <c r="N323" i="3"/>
  <c r="O323" i="3"/>
  <c r="P323" i="3"/>
  <c r="R323" i="3"/>
  <c r="P110" i="3"/>
  <c r="Q110" i="3"/>
  <c r="R110" i="3"/>
  <c r="M110" i="3"/>
  <c r="N110" i="3"/>
  <c r="O110" i="3"/>
  <c r="R178" i="3"/>
  <c r="M178" i="3"/>
  <c r="N178" i="3"/>
  <c r="O178" i="3"/>
  <c r="P178" i="3"/>
  <c r="Q178" i="3"/>
  <c r="P49" i="3"/>
  <c r="M49" i="3"/>
  <c r="N49" i="3"/>
  <c r="Q49" i="3"/>
  <c r="R49" i="3"/>
  <c r="O49" i="3"/>
  <c r="O26" i="3"/>
  <c r="M26" i="3"/>
  <c r="N26" i="3"/>
  <c r="P26" i="3"/>
  <c r="Q26" i="3"/>
  <c r="R26" i="3"/>
  <c r="Q219" i="3"/>
  <c r="N219" i="3"/>
  <c r="M219" i="3"/>
  <c r="O219" i="3"/>
  <c r="P219" i="3"/>
  <c r="R219" i="3"/>
  <c r="Q290" i="3"/>
  <c r="R290" i="3"/>
  <c r="N290" i="3"/>
  <c r="M290" i="3"/>
  <c r="O290" i="3"/>
  <c r="P290" i="3"/>
  <c r="R255" i="3"/>
  <c r="N255" i="3"/>
  <c r="O255" i="3"/>
  <c r="P255" i="3"/>
  <c r="Q255" i="3"/>
  <c r="M255" i="3"/>
  <c r="M275" i="3"/>
  <c r="P275" i="3"/>
  <c r="N275" i="3"/>
  <c r="O275" i="3"/>
  <c r="Q275" i="3"/>
  <c r="R275" i="3"/>
  <c r="P107" i="3"/>
  <c r="N107" i="3"/>
  <c r="O107" i="3"/>
  <c r="M107" i="3"/>
  <c r="Q107" i="3"/>
  <c r="R107" i="3"/>
  <c r="M13" i="3"/>
  <c r="N13" i="3"/>
  <c r="O13" i="3"/>
  <c r="P13" i="3"/>
  <c r="Q13" i="3"/>
  <c r="R13" i="3"/>
  <c r="P303" i="3"/>
  <c r="R303" i="3"/>
  <c r="M303" i="3"/>
  <c r="N303" i="3"/>
  <c r="O303" i="3"/>
  <c r="Q303" i="3"/>
  <c r="Q306" i="3"/>
  <c r="M306" i="3"/>
  <c r="N306" i="3"/>
  <c r="O306" i="3"/>
  <c r="P306" i="3"/>
  <c r="R306" i="3"/>
  <c r="M297" i="3"/>
  <c r="N297" i="3"/>
  <c r="O297" i="3"/>
  <c r="P297" i="3"/>
  <c r="Q297" i="3"/>
  <c r="R297" i="3"/>
  <c r="M265" i="3"/>
  <c r="N265" i="3"/>
  <c r="Q265" i="3"/>
  <c r="R265" i="3"/>
  <c r="P265" i="3"/>
  <c r="O265" i="3"/>
  <c r="N73" i="3"/>
  <c r="O73" i="3"/>
  <c r="R73" i="3"/>
  <c r="P73" i="3"/>
  <c r="Q73" i="3"/>
  <c r="M73" i="3"/>
  <c r="Q243" i="3"/>
  <c r="N243" i="3"/>
  <c r="P243" i="3"/>
  <c r="R243" i="3"/>
  <c r="M243" i="3"/>
  <c r="O243" i="3"/>
  <c r="Q109" i="3"/>
  <c r="M109" i="3"/>
  <c r="O109" i="3"/>
  <c r="P109" i="3"/>
  <c r="R109" i="3"/>
  <c r="N109" i="3"/>
  <c r="Q215" i="3"/>
  <c r="P215" i="3"/>
  <c r="M215" i="3"/>
  <c r="N215" i="3"/>
  <c r="O215" i="3"/>
  <c r="R215" i="3"/>
  <c r="N187" i="3"/>
  <c r="Q187" i="3"/>
  <c r="M187" i="3"/>
  <c r="O187" i="3"/>
  <c r="P187" i="3"/>
  <c r="R187" i="3"/>
  <c r="Q203" i="3"/>
  <c r="M203" i="3"/>
  <c r="N203" i="3"/>
  <c r="P203" i="3"/>
  <c r="R203" i="3"/>
  <c r="O203" i="3"/>
  <c r="M31" i="3"/>
  <c r="P31" i="3"/>
  <c r="Q31" i="3"/>
  <c r="R31" i="3"/>
  <c r="O31" i="3"/>
  <c r="N31" i="3"/>
  <c r="O220" i="3"/>
  <c r="M220" i="3"/>
  <c r="N220" i="3"/>
  <c r="P220" i="3"/>
  <c r="Q220" i="3"/>
  <c r="R220" i="3"/>
  <c r="O35" i="3"/>
  <c r="P35" i="3"/>
  <c r="Q35" i="3"/>
  <c r="M35" i="3"/>
  <c r="N35" i="3"/>
  <c r="R35" i="3"/>
  <c r="M291" i="3"/>
  <c r="P291" i="3"/>
  <c r="N291" i="3"/>
  <c r="O291" i="3"/>
  <c r="Q291" i="3"/>
  <c r="R291" i="3"/>
  <c r="M23" i="3"/>
  <c r="Q23" i="3"/>
  <c r="R23" i="3"/>
  <c r="N23" i="3"/>
  <c r="O23" i="3"/>
  <c r="P23" i="3"/>
  <c r="Q288" i="3"/>
  <c r="N288" i="3"/>
  <c r="R288" i="3"/>
  <c r="M288" i="3"/>
  <c r="O288" i="3"/>
  <c r="P288" i="3"/>
  <c r="Q189" i="3"/>
  <c r="M189" i="3"/>
  <c r="N189" i="3"/>
  <c r="O189" i="3"/>
  <c r="P189" i="3"/>
  <c r="R189" i="3"/>
  <c r="Q309" i="3"/>
  <c r="O309" i="3"/>
  <c r="P309" i="3"/>
  <c r="R309" i="3"/>
  <c r="M309" i="3"/>
  <c r="N309" i="3"/>
  <c r="P293" i="3"/>
  <c r="M293" i="3"/>
  <c r="N293" i="3"/>
  <c r="O293" i="3"/>
  <c r="Q293" i="3"/>
  <c r="R293" i="3"/>
  <c r="Q310" i="3"/>
  <c r="M310" i="3"/>
  <c r="N310" i="3"/>
  <c r="O310" i="3"/>
  <c r="P310" i="3"/>
  <c r="R310" i="3"/>
  <c r="Q280" i="3"/>
  <c r="N280" i="3"/>
  <c r="R280" i="3"/>
  <c r="M280" i="3"/>
  <c r="O280" i="3"/>
  <c r="P280" i="3"/>
  <c r="M64" i="3"/>
  <c r="P64" i="3"/>
  <c r="N64" i="3"/>
  <c r="O64" i="3"/>
  <c r="Q64" i="3"/>
  <c r="R64" i="3"/>
  <c r="M289" i="3"/>
  <c r="N289" i="3"/>
  <c r="O289" i="3"/>
  <c r="P289" i="3"/>
  <c r="Q289" i="3"/>
  <c r="R289" i="3"/>
  <c r="P17" i="3"/>
  <c r="M17" i="3"/>
  <c r="N17" i="3"/>
  <c r="O17" i="3"/>
  <c r="Q17" i="3"/>
  <c r="R17" i="3"/>
  <c r="K4" i="3"/>
  <c r="M577" i="3"/>
  <c r="P578" i="3"/>
  <c r="O578" i="3"/>
  <c r="N578" i="3"/>
  <c r="R578" i="3"/>
  <c r="Q578" i="3"/>
  <c r="M578" i="3"/>
  <c r="R501" i="3"/>
  <c r="Q516" i="3"/>
  <c r="P501" i="3"/>
  <c r="O500" i="3"/>
  <c r="Q339" i="3"/>
  <c r="R522" i="3"/>
  <c r="Q452" i="3"/>
  <c r="Q501" i="3"/>
  <c r="Q520" i="3"/>
  <c r="O520" i="3"/>
  <c r="P520" i="3"/>
  <c r="N452" i="3"/>
  <c r="O339" i="3"/>
  <c r="M339" i="3"/>
  <c r="N339" i="3"/>
  <c r="R339" i="3"/>
  <c r="N474" i="3"/>
  <c r="Q500" i="3"/>
  <c r="R499" i="3"/>
  <c r="R500" i="3"/>
  <c r="O430" i="3"/>
  <c r="R430" i="3"/>
  <c r="N522" i="3"/>
  <c r="M499" i="3"/>
  <c r="Q523" i="3"/>
  <c r="N350" i="3"/>
  <c r="M504" i="3"/>
  <c r="O499" i="3"/>
  <c r="Q504" i="3"/>
  <c r="R523" i="3"/>
  <c r="M500" i="3"/>
  <c r="P430" i="3"/>
  <c r="R474" i="3"/>
  <c r="O516" i="3"/>
  <c r="M416" i="3"/>
  <c r="P475" i="3"/>
  <c r="O416" i="3"/>
  <c r="Q475" i="3"/>
  <c r="N495" i="3"/>
  <c r="M501" i="3"/>
  <c r="O452" i="3"/>
  <c r="N523" i="3"/>
  <c r="R475" i="3"/>
  <c r="N501" i="3"/>
  <c r="O523" i="3"/>
  <c r="M452" i="3"/>
  <c r="P523" i="3"/>
  <c r="M510" i="3"/>
  <c r="P495" i="3"/>
  <c r="N510" i="3"/>
  <c r="M574" i="3"/>
  <c r="R495" i="3"/>
  <c r="R395" i="3"/>
  <c r="P503" i="3"/>
  <c r="N395" i="3"/>
  <c r="M528" i="3"/>
  <c r="Q499" i="3"/>
  <c r="O503" i="3"/>
  <c r="Q362" i="3"/>
  <c r="N528" i="3"/>
  <c r="O485" i="3"/>
  <c r="P528" i="3"/>
  <c r="Q528" i="3"/>
  <c r="R528" i="3"/>
  <c r="N504" i="3"/>
  <c r="M503" i="3"/>
  <c r="Q495" i="3"/>
  <c r="M529" i="3"/>
  <c r="M350" i="3"/>
  <c r="O498" i="3"/>
  <c r="M498" i="3"/>
  <c r="N416" i="3"/>
  <c r="N498" i="3"/>
  <c r="O488" i="3"/>
  <c r="Q488" i="3"/>
  <c r="P416" i="3"/>
  <c r="R452" i="3"/>
  <c r="M522" i="3"/>
  <c r="Q416" i="3"/>
  <c r="N574" i="3"/>
  <c r="P461" i="3"/>
  <c r="O522" i="3"/>
  <c r="Q574" i="3"/>
  <c r="M431" i="3"/>
  <c r="Q442" i="3"/>
  <c r="O363" i="3"/>
  <c r="Q522" i="3"/>
  <c r="N475" i="3"/>
  <c r="M363" i="3"/>
  <c r="P488" i="3"/>
  <c r="Q406" i="3"/>
  <c r="N430" i="3"/>
  <c r="R362" i="3"/>
  <c r="O395" i="3"/>
  <c r="Q395" i="3"/>
  <c r="P504" i="3"/>
  <c r="R504" i="3"/>
  <c r="O574" i="3"/>
  <c r="M474" i="3"/>
  <c r="O442" i="3"/>
  <c r="R574" i="3"/>
  <c r="O474" i="3"/>
  <c r="P442" i="3"/>
  <c r="Q431" i="3"/>
  <c r="Q521" i="3"/>
  <c r="R431" i="3"/>
  <c r="M362" i="3"/>
  <c r="Q461" i="3"/>
  <c r="N362" i="3"/>
  <c r="N363" i="3"/>
  <c r="N500" i="3"/>
  <c r="O362" i="3"/>
  <c r="P363" i="3"/>
  <c r="Q363" i="3"/>
  <c r="N379" i="3"/>
  <c r="R498" i="3"/>
  <c r="R442" i="3"/>
  <c r="R488" i="3"/>
  <c r="N461" i="3"/>
  <c r="P485" i="3"/>
  <c r="P499" i="3"/>
  <c r="M475" i="3"/>
  <c r="N503" i="3"/>
  <c r="P498" i="3"/>
  <c r="N442" i="3"/>
  <c r="M488" i="3"/>
  <c r="O461" i="3"/>
  <c r="R461" i="3"/>
  <c r="N451" i="3"/>
  <c r="Q535" i="3"/>
  <c r="M568" i="3"/>
  <c r="M451" i="3"/>
  <c r="P551" i="3"/>
  <c r="M551" i="3"/>
  <c r="O480" i="3"/>
  <c r="Q350" i="3"/>
  <c r="N551" i="3"/>
  <c r="R350" i="3"/>
  <c r="N431" i="3"/>
  <c r="O551" i="3"/>
  <c r="M368" i="3"/>
  <c r="O350" i="3"/>
  <c r="O431" i="3"/>
  <c r="R529" i="3"/>
  <c r="Q551" i="3"/>
  <c r="N368" i="3"/>
  <c r="P535" i="3"/>
  <c r="O568" i="3"/>
  <c r="O368" i="3"/>
  <c r="M520" i="3"/>
  <c r="Q474" i="3"/>
  <c r="Q429" i="3"/>
  <c r="M395" i="3"/>
  <c r="R429" i="3"/>
  <c r="O465" i="3"/>
  <c r="N520" i="3"/>
  <c r="M511" i="3"/>
  <c r="R503" i="3"/>
  <c r="M430" i="3"/>
  <c r="N511" i="3"/>
  <c r="R541" i="3"/>
  <c r="Q511" i="3"/>
  <c r="M541" i="3"/>
  <c r="O473" i="3"/>
  <c r="O511" i="3"/>
  <c r="M429" i="3"/>
  <c r="O563" i="3"/>
  <c r="N541" i="3"/>
  <c r="P511" i="3"/>
  <c r="N429" i="3"/>
  <c r="N529" i="3"/>
  <c r="O541" i="3"/>
  <c r="O429" i="3"/>
  <c r="P529" i="3"/>
  <c r="P541" i="3"/>
  <c r="Q529" i="3"/>
  <c r="Q533" i="3"/>
  <c r="P368" i="3"/>
  <c r="N516" i="3"/>
  <c r="R510" i="3"/>
  <c r="O495" i="3"/>
  <c r="M465" i="3"/>
  <c r="R368" i="3"/>
  <c r="N392" i="3"/>
  <c r="P477" i="3"/>
  <c r="N465" i="3"/>
  <c r="O392" i="3"/>
  <c r="R477" i="3"/>
  <c r="P465" i="3"/>
  <c r="N406" i="3"/>
  <c r="Q392" i="3"/>
  <c r="P456" i="3"/>
  <c r="O510" i="3"/>
  <c r="R465" i="3"/>
  <c r="O406" i="3"/>
  <c r="R456" i="3"/>
  <c r="P510" i="3"/>
  <c r="M535" i="3"/>
  <c r="Q563" i="3"/>
  <c r="R406" i="3"/>
  <c r="N535" i="3"/>
  <c r="O564" i="3"/>
  <c r="R563" i="3"/>
  <c r="M406" i="3"/>
  <c r="O533" i="3"/>
  <c r="O535" i="3"/>
  <c r="P564" i="3"/>
  <c r="P533" i="3"/>
  <c r="Q485" i="3"/>
  <c r="Q451" i="3"/>
  <c r="Q456" i="3"/>
  <c r="M379" i="3"/>
  <c r="M480" i="3"/>
  <c r="N473" i="3"/>
  <c r="N568" i="3"/>
  <c r="O379" i="3"/>
  <c r="Q564" i="3"/>
  <c r="N480" i="3"/>
  <c r="R473" i="3"/>
  <c r="M477" i="3"/>
  <c r="Q437" i="3"/>
  <c r="P568" i="3"/>
  <c r="P379" i="3"/>
  <c r="R564" i="3"/>
  <c r="P480" i="3"/>
  <c r="M473" i="3"/>
  <c r="N477" i="3"/>
  <c r="W2" i="3"/>
  <c r="X2" i="3" s="1"/>
  <c r="J179" i="3" s="1"/>
  <c r="O437" i="3"/>
  <c r="R521" i="3"/>
  <c r="Q568" i="3"/>
  <c r="Q379" i="3"/>
  <c r="M564" i="3"/>
  <c r="Q480" i="3"/>
  <c r="P473" i="3"/>
  <c r="O477" i="3"/>
  <c r="P437" i="3"/>
  <c r="M521" i="3"/>
  <c r="M437" i="3"/>
  <c r="N521" i="3"/>
  <c r="N485" i="3"/>
  <c r="M563" i="3"/>
  <c r="O451" i="3"/>
  <c r="M516" i="3"/>
  <c r="M392" i="3"/>
  <c r="N456" i="3"/>
  <c r="R533" i="3"/>
  <c r="N437" i="3"/>
  <c r="O521" i="3"/>
  <c r="R485" i="3"/>
  <c r="P563" i="3"/>
  <c r="P451" i="3"/>
  <c r="P516" i="3"/>
  <c r="P392" i="3"/>
  <c r="O456" i="3"/>
  <c r="M533" i="3"/>
  <c r="R397" i="3"/>
  <c r="P397" i="3"/>
  <c r="N397" i="3"/>
  <c r="M397" i="3"/>
  <c r="Q397" i="3"/>
  <c r="O397" i="3"/>
  <c r="R560" i="3"/>
  <c r="Q560" i="3"/>
  <c r="N560" i="3"/>
  <c r="M560" i="3"/>
  <c r="P560" i="3"/>
  <c r="O560" i="3"/>
  <c r="O365" i="3"/>
  <c r="N365" i="3"/>
  <c r="M365" i="3"/>
  <c r="R365" i="3"/>
  <c r="Q365" i="3"/>
  <c r="P365" i="3"/>
  <c r="R335" i="3"/>
  <c r="O335" i="3"/>
  <c r="N335" i="3"/>
  <c r="M335" i="3"/>
  <c r="Q335" i="3"/>
  <c r="P335" i="3"/>
  <c r="O370" i="3"/>
  <c r="N370" i="3"/>
  <c r="M370" i="3"/>
  <c r="R370" i="3"/>
  <c r="Q370" i="3"/>
  <c r="P370" i="3"/>
  <c r="M398" i="3"/>
  <c r="Q398" i="3"/>
  <c r="R398" i="3"/>
  <c r="P398" i="3"/>
  <c r="O398" i="3"/>
  <c r="N398" i="3"/>
  <c r="N462" i="3"/>
  <c r="Q462" i="3"/>
  <c r="P462" i="3"/>
  <c r="M462" i="3"/>
  <c r="R462" i="3"/>
  <c r="O462" i="3"/>
  <c r="Q493" i="3"/>
  <c r="O493" i="3"/>
  <c r="N493" i="3"/>
  <c r="M493" i="3"/>
  <c r="R493" i="3"/>
  <c r="P493" i="3"/>
  <c r="M438" i="3"/>
  <c r="R438" i="3"/>
  <c r="Q438" i="3"/>
  <c r="P438" i="3"/>
  <c r="N438" i="3"/>
  <c r="O438" i="3"/>
  <c r="R396" i="3"/>
  <c r="O396" i="3"/>
  <c r="Q396" i="3"/>
  <c r="P396" i="3"/>
  <c r="N396" i="3"/>
  <c r="M396" i="3"/>
  <c r="O519" i="3"/>
  <c r="N519" i="3"/>
  <c r="P519" i="3"/>
  <c r="R519" i="3"/>
  <c r="Q519" i="3"/>
  <c r="M519" i="3"/>
  <c r="O400" i="3"/>
  <c r="M400" i="3"/>
  <c r="R400" i="3"/>
  <c r="Q400" i="3"/>
  <c r="P400" i="3"/>
  <c r="N400" i="3"/>
  <c r="R487" i="3"/>
  <c r="Q487" i="3"/>
  <c r="O487" i="3"/>
  <c r="N487" i="3"/>
  <c r="P487" i="3"/>
  <c r="M487" i="3"/>
  <c r="P470" i="3"/>
  <c r="R470" i="3"/>
  <c r="O470" i="3"/>
  <c r="N470" i="3"/>
  <c r="M470" i="3"/>
  <c r="Q470" i="3"/>
  <c r="N547" i="3"/>
  <c r="M547" i="3"/>
  <c r="R547" i="3"/>
  <c r="Q547" i="3"/>
  <c r="P547" i="3"/>
  <c r="O547" i="3"/>
  <c r="Q357" i="3"/>
  <c r="P357" i="3"/>
  <c r="O357" i="3"/>
  <c r="M357" i="3"/>
  <c r="R357" i="3"/>
  <c r="N357" i="3"/>
  <c r="R375" i="3"/>
  <c r="O375" i="3"/>
  <c r="Q375" i="3"/>
  <c r="P375" i="3"/>
  <c r="N375" i="3"/>
  <c r="M375" i="3"/>
  <c r="R496" i="3"/>
  <c r="P496" i="3"/>
  <c r="O496" i="3"/>
  <c r="N496" i="3"/>
  <c r="Q496" i="3"/>
  <c r="M496" i="3"/>
  <c r="O531" i="3"/>
  <c r="N531" i="3"/>
  <c r="M531" i="3"/>
  <c r="R531" i="3"/>
  <c r="P531" i="3"/>
  <c r="Q531" i="3"/>
  <c r="Q402" i="3"/>
  <c r="O402" i="3"/>
  <c r="M402" i="3"/>
  <c r="R402" i="3"/>
  <c r="P402" i="3"/>
  <c r="N402" i="3"/>
  <c r="Q486" i="3"/>
  <c r="N486" i="3"/>
  <c r="O486" i="3"/>
  <c r="M486" i="3"/>
  <c r="R486" i="3"/>
  <c r="P486" i="3"/>
  <c r="O440" i="3"/>
  <c r="R440" i="3"/>
  <c r="Q440" i="3"/>
  <c r="P440" i="3"/>
  <c r="N440" i="3"/>
  <c r="M440" i="3"/>
  <c r="O543" i="3"/>
  <c r="R543" i="3"/>
  <c r="Q543" i="3"/>
  <c r="P543" i="3"/>
  <c r="M543" i="3"/>
  <c r="N543" i="3"/>
  <c r="P342" i="3"/>
  <c r="O342" i="3"/>
  <c r="N342" i="3"/>
  <c r="R342" i="3"/>
  <c r="Q342" i="3"/>
  <c r="M342" i="3"/>
  <c r="O355" i="3"/>
  <c r="N355" i="3"/>
  <c r="R355" i="3"/>
  <c r="Q355" i="3"/>
  <c r="P355" i="3"/>
  <c r="M355" i="3"/>
  <c r="R482" i="3"/>
  <c r="P482" i="3"/>
  <c r="O482" i="3"/>
  <c r="Q482" i="3"/>
  <c r="M482" i="3"/>
  <c r="N482" i="3"/>
  <c r="N450" i="3"/>
  <c r="P450" i="3"/>
  <c r="M450" i="3"/>
  <c r="R450" i="3"/>
  <c r="Q450" i="3"/>
  <c r="O450" i="3"/>
  <c r="O514" i="3"/>
  <c r="M514" i="3"/>
  <c r="Q514" i="3"/>
  <c r="R514" i="3"/>
  <c r="P514" i="3"/>
  <c r="N514" i="3"/>
  <c r="O457" i="3"/>
  <c r="Q457" i="3"/>
  <c r="P457" i="3"/>
  <c r="N457" i="3"/>
  <c r="M457" i="3"/>
  <c r="R457" i="3"/>
  <c r="Q565" i="3"/>
  <c r="P565" i="3"/>
  <c r="O565" i="3"/>
  <c r="M565" i="3"/>
  <c r="R565" i="3"/>
  <c r="N565" i="3"/>
  <c r="Q345" i="3"/>
  <c r="P345" i="3"/>
  <c r="M345" i="3"/>
  <c r="R345" i="3"/>
  <c r="O345" i="3"/>
  <c r="N345" i="3"/>
  <c r="R332" i="3"/>
  <c r="Q332" i="3"/>
  <c r="P332" i="3"/>
  <c r="M332" i="3"/>
  <c r="O332" i="3"/>
  <c r="N332" i="3"/>
  <c r="R417" i="3"/>
  <c r="O417" i="3"/>
  <c r="N417" i="3"/>
  <c r="M417" i="3"/>
  <c r="Q417" i="3"/>
  <c r="P417" i="3"/>
  <c r="N489" i="3"/>
  <c r="Q489" i="3"/>
  <c r="P489" i="3"/>
  <c r="O489" i="3"/>
  <c r="M489" i="3"/>
  <c r="R489" i="3"/>
  <c r="N414" i="3"/>
  <c r="M414" i="3"/>
  <c r="R414" i="3"/>
  <c r="Q414" i="3"/>
  <c r="P414" i="3"/>
  <c r="O414" i="3"/>
  <c r="R441" i="3"/>
  <c r="P441" i="3"/>
  <c r="O441" i="3"/>
  <c r="N441" i="3"/>
  <c r="M441" i="3"/>
  <c r="Q441" i="3"/>
  <c r="O542" i="3"/>
  <c r="M542" i="3"/>
  <c r="R542" i="3"/>
  <c r="Q542" i="3"/>
  <c r="N542" i="3"/>
  <c r="P542" i="3"/>
  <c r="Q506" i="3"/>
  <c r="R506" i="3"/>
  <c r="O506" i="3"/>
  <c r="N506" i="3"/>
  <c r="M506" i="3"/>
  <c r="P506" i="3"/>
  <c r="R356" i="3"/>
  <c r="Q356" i="3"/>
  <c r="P356" i="3"/>
  <c r="O356" i="3"/>
  <c r="M356" i="3"/>
  <c r="N356" i="3"/>
  <c r="P538" i="3"/>
  <c r="O538" i="3"/>
  <c r="N538" i="3"/>
  <c r="M538" i="3"/>
  <c r="Q538" i="3"/>
  <c r="R538" i="3"/>
  <c r="P549" i="3"/>
  <c r="O549" i="3"/>
  <c r="M549" i="3"/>
  <c r="R549" i="3"/>
  <c r="N549" i="3"/>
  <c r="Q549" i="3"/>
  <c r="M479" i="3"/>
  <c r="R479" i="3"/>
  <c r="Q479" i="3"/>
  <c r="P479" i="3"/>
  <c r="O479" i="3"/>
  <c r="N479" i="3"/>
  <c r="P491" i="3"/>
  <c r="O491" i="3"/>
  <c r="M491" i="3"/>
  <c r="R491" i="3"/>
  <c r="Q491" i="3"/>
  <c r="N491" i="3"/>
  <c r="O343" i="3"/>
  <c r="N343" i="3"/>
  <c r="R343" i="3"/>
  <c r="Q343" i="3"/>
  <c r="P343" i="3"/>
  <c r="M343" i="3"/>
  <c r="N507" i="3"/>
  <c r="R507" i="3"/>
  <c r="Q507" i="3"/>
  <c r="O507" i="3"/>
  <c r="M507" i="3"/>
  <c r="P507" i="3"/>
  <c r="O481" i="3"/>
  <c r="M481" i="3"/>
  <c r="R481" i="3"/>
  <c r="Q481" i="3"/>
  <c r="P481" i="3"/>
  <c r="N481" i="3"/>
  <c r="Q453" i="3"/>
  <c r="P453" i="3"/>
  <c r="O453" i="3"/>
  <c r="N453" i="3"/>
  <c r="R453" i="3"/>
  <c r="M453" i="3"/>
  <c r="Q412" i="3"/>
  <c r="P412" i="3"/>
  <c r="M412" i="3"/>
  <c r="R412" i="3"/>
  <c r="O412" i="3"/>
  <c r="N412" i="3"/>
  <c r="P435" i="3"/>
  <c r="R435" i="3"/>
  <c r="Q435" i="3"/>
  <c r="O435" i="3"/>
  <c r="N435" i="3"/>
  <c r="M435" i="3"/>
  <c r="N433" i="3"/>
  <c r="R433" i="3"/>
  <c r="Q433" i="3"/>
  <c r="O433" i="3"/>
  <c r="P433" i="3"/>
  <c r="M433" i="3"/>
  <c r="Q553" i="3"/>
  <c r="P553" i="3"/>
  <c r="M553" i="3"/>
  <c r="R553" i="3"/>
  <c r="N553" i="3"/>
  <c r="O553" i="3"/>
  <c r="R373" i="3"/>
  <c r="P373" i="3"/>
  <c r="Q373" i="3"/>
  <c r="O373" i="3"/>
  <c r="N373" i="3"/>
  <c r="M373" i="3"/>
  <c r="Q518" i="3"/>
  <c r="P518" i="3"/>
  <c r="M518" i="3"/>
  <c r="R518" i="3"/>
  <c r="O518" i="3"/>
  <c r="N518" i="3"/>
  <c r="O492" i="3"/>
  <c r="R492" i="3"/>
  <c r="Q492" i="3"/>
  <c r="N492" i="3"/>
  <c r="M492" i="3"/>
  <c r="P492" i="3"/>
  <c r="Q459" i="3"/>
  <c r="O459" i="3"/>
  <c r="N459" i="3"/>
  <c r="P459" i="3"/>
  <c r="M459" i="3"/>
  <c r="R459" i="3"/>
  <c r="R454" i="3"/>
  <c r="M454" i="3"/>
  <c r="P454" i="3"/>
  <c r="O454" i="3"/>
  <c r="N454" i="3"/>
  <c r="Q454" i="3"/>
  <c r="O428" i="3"/>
  <c r="R428" i="3"/>
  <c r="Q428" i="3"/>
  <c r="N428" i="3"/>
  <c r="M428" i="3"/>
  <c r="P428" i="3"/>
  <c r="Q349" i="3"/>
  <c r="P349" i="3"/>
  <c r="O349" i="3"/>
  <c r="N349" i="3"/>
  <c r="R349" i="3"/>
  <c r="M349" i="3"/>
  <c r="R443" i="3"/>
  <c r="Q443" i="3"/>
  <c r="P443" i="3"/>
  <c r="O443" i="3"/>
  <c r="N443" i="3"/>
  <c r="M443" i="3"/>
  <c r="R525" i="3"/>
  <c r="Q525" i="3"/>
  <c r="N525" i="3"/>
  <c r="M525" i="3"/>
  <c r="P525" i="3"/>
  <c r="O525" i="3"/>
  <c r="R387" i="3"/>
  <c r="O387" i="3"/>
  <c r="Q387" i="3"/>
  <c r="P387" i="3"/>
  <c r="N387" i="3"/>
  <c r="M387" i="3"/>
  <c r="P550" i="3"/>
  <c r="O550" i="3"/>
  <c r="R550" i="3"/>
  <c r="Q550" i="3"/>
  <c r="N550" i="3"/>
  <c r="M550" i="3"/>
  <c r="Q378" i="3"/>
  <c r="O378" i="3"/>
  <c r="R378" i="3"/>
  <c r="P378" i="3"/>
  <c r="N378" i="3"/>
  <c r="M378" i="3"/>
  <c r="N536" i="3"/>
  <c r="M536" i="3"/>
  <c r="R536" i="3"/>
  <c r="Q536" i="3"/>
  <c r="O536" i="3"/>
  <c r="P536" i="3"/>
  <c r="N458" i="3"/>
  <c r="M458" i="3"/>
  <c r="Q458" i="3"/>
  <c r="P458" i="3"/>
  <c r="O458" i="3"/>
  <c r="R458" i="3"/>
  <c r="R490" i="3"/>
  <c r="P490" i="3"/>
  <c r="O490" i="3"/>
  <c r="N490" i="3"/>
  <c r="Q490" i="3"/>
  <c r="M490" i="3"/>
  <c r="R351" i="3"/>
  <c r="Q351" i="3"/>
  <c r="P351" i="3"/>
  <c r="N351" i="3"/>
  <c r="M351" i="3"/>
  <c r="O351" i="3"/>
  <c r="O408" i="3"/>
  <c r="P408" i="3"/>
  <c r="R408" i="3"/>
  <c r="Q408" i="3"/>
  <c r="N408" i="3"/>
  <c r="M408" i="3"/>
  <c r="R478" i="3"/>
  <c r="P478" i="3"/>
  <c r="O478" i="3"/>
  <c r="N478" i="3"/>
  <c r="Q478" i="3"/>
  <c r="M478" i="3"/>
  <c r="O376" i="3"/>
  <c r="M376" i="3"/>
  <c r="P376" i="3"/>
  <c r="N376" i="3"/>
  <c r="R376" i="3"/>
  <c r="Q376" i="3"/>
  <c r="R425" i="3"/>
  <c r="N425" i="3"/>
  <c r="Q425" i="3"/>
  <c r="P425" i="3"/>
  <c r="O425" i="3"/>
  <c r="M425" i="3"/>
  <c r="P526" i="3"/>
  <c r="O526" i="3"/>
  <c r="N526" i="3"/>
  <c r="M526" i="3"/>
  <c r="Q526" i="3"/>
  <c r="R526" i="3"/>
  <c r="O502" i="3"/>
  <c r="M502" i="3"/>
  <c r="Q502" i="3"/>
  <c r="P502" i="3"/>
  <c r="R502" i="3"/>
  <c r="N502" i="3"/>
  <c r="R346" i="3"/>
  <c r="Q346" i="3"/>
  <c r="O346" i="3"/>
  <c r="N346" i="3"/>
  <c r="M346" i="3"/>
  <c r="P346" i="3"/>
  <c r="Q380" i="3"/>
  <c r="N380" i="3"/>
  <c r="R380" i="3"/>
  <c r="P380" i="3"/>
  <c r="O380" i="3"/>
  <c r="M380" i="3"/>
  <c r="R463" i="3"/>
  <c r="O463" i="3"/>
  <c r="P463" i="3"/>
  <c r="N463" i="3"/>
  <c r="Q463" i="3"/>
  <c r="M463" i="3"/>
  <c r="M455" i="3"/>
  <c r="P455" i="3"/>
  <c r="O455" i="3"/>
  <c r="N455" i="3"/>
  <c r="R455" i="3"/>
  <c r="Q455" i="3"/>
  <c r="P423" i="3"/>
  <c r="R423" i="3"/>
  <c r="Q423" i="3"/>
  <c r="N423" i="3"/>
  <c r="O423" i="3"/>
  <c r="M423" i="3"/>
  <c r="M418" i="3"/>
  <c r="R418" i="3"/>
  <c r="P418" i="3"/>
  <c r="Q418" i="3"/>
  <c r="O418" i="3"/>
  <c r="N418" i="3"/>
  <c r="Q337" i="3"/>
  <c r="P337" i="3"/>
  <c r="O337" i="3"/>
  <c r="R337" i="3"/>
  <c r="N337" i="3"/>
  <c r="M337" i="3"/>
  <c r="N393" i="3"/>
  <c r="R393" i="3"/>
  <c r="M393" i="3"/>
  <c r="Q393" i="3"/>
  <c r="P393" i="3"/>
  <c r="O393" i="3"/>
  <c r="R466" i="3"/>
  <c r="P466" i="3"/>
  <c r="O466" i="3"/>
  <c r="Q466" i="3"/>
  <c r="M466" i="3"/>
  <c r="N466" i="3"/>
  <c r="R468" i="3"/>
  <c r="Q468" i="3"/>
  <c r="N468" i="3"/>
  <c r="O468" i="3"/>
  <c r="M468" i="3"/>
  <c r="P468" i="3"/>
  <c r="O444" i="3"/>
  <c r="R444" i="3"/>
  <c r="Q444" i="3"/>
  <c r="P444" i="3"/>
  <c r="N444" i="3"/>
  <c r="M444" i="3"/>
  <c r="Q394" i="3"/>
  <c r="P394" i="3"/>
  <c r="M394" i="3"/>
  <c r="O394" i="3"/>
  <c r="N394" i="3"/>
  <c r="R394" i="3"/>
  <c r="R460" i="3"/>
  <c r="Q460" i="3"/>
  <c r="O460" i="3"/>
  <c r="N460" i="3"/>
  <c r="M460" i="3"/>
  <c r="P460" i="3"/>
  <c r="P354" i="3"/>
  <c r="O354" i="3"/>
  <c r="N354" i="3"/>
  <c r="M354" i="3"/>
  <c r="R354" i="3"/>
  <c r="Q354" i="3"/>
  <c r="P439" i="3"/>
  <c r="R439" i="3"/>
  <c r="Q439" i="3"/>
  <c r="O439" i="3"/>
  <c r="N439" i="3"/>
  <c r="M439" i="3"/>
  <c r="P391" i="3"/>
  <c r="R391" i="3"/>
  <c r="Q391" i="3"/>
  <c r="O391" i="3"/>
  <c r="N391" i="3"/>
  <c r="M391" i="3"/>
  <c r="R537" i="3"/>
  <c r="Q537" i="3"/>
  <c r="O537" i="3"/>
  <c r="N537" i="3"/>
  <c r="M537" i="3"/>
  <c r="P537" i="3"/>
  <c r="P382" i="3"/>
  <c r="R382" i="3"/>
  <c r="Q382" i="3"/>
  <c r="O382" i="3"/>
  <c r="N382" i="3"/>
  <c r="M382" i="3"/>
  <c r="Q483" i="3"/>
  <c r="O483" i="3"/>
  <c r="N483" i="3"/>
  <c r="M483" i="3"/>
  <c r="R483" i="3"/>
  <c r="P483" i="3"/>
  <c r="P464" i="3"/>
  <c r="N464" i="3"/>
  <c r="M464" i="3"/>
  <c r="R464" i="3"/>
  <c r="Q464" i="3"/>
  <c r="O464" i="3"/>
  <c r="P403" i="3"/>
  <c r="R403" i="3"/>
  <c r="Q403" i="3"/>
  <c r="O403" i="3"/>
  <c r="N403" i="3"/>
  <c r="M403" i="3"/>
  <c r="P415" i="3"/>
  <c r="R415" i="3"/>
  <c r="Q415" i="3"/>
  <c r="N415" i="3"/>
  <c r="O415" i="3"/>
  <c r="M415" i="3"/>
  <c r="P338" i="3"/>
  <c r="O338" i="3"/>
  <c r="R338" i="3"/>
  <c r="Q338" i="3"/>
  <c r="N338" i="3"/>
  <c r="M338" i="3"/>
  <c r="O364" i="3"/>
  <c r="R364" i="3"/>
  <c r="Q364" i="3"/>
  <c r="N364" i="3"/>
  <c r="M364" i="3"/>
  <c r="P364" i="3"/>
  <c r="R567" i="3"/>
  <c r="Q567" i="3"/>
  <c r="O567" i="3"/>
  <c r="N567" i="3"/>
  <c r="M567" i="3"/>
  <c r="P567" i="3"/>
  <c r="Q449" i="3"/>
  <c r="P449" i="3"/>
  <c r="R449" i="3"/>
  <c r="O449" i="3"/>
  <c r="N449" i="3"/>
  <c r="M449" i="3"/>
  <c r="R385" i="3"/>
  <c r="P385" i="3"/>
  <c r="M385" i="3"/>
  <c r="Q385" i="3"/>
  <c r="O385" i="3"/>
  <c r="N385" i="3"/>
  <c r="N405" i="3"/>
  <c r="R405" i="3"/>
  <c r="Q405" i="3"/>
  <c r="P405" i="3"/>
  <c r="O405" i="3"/>
  <c r="M405" i="3"/>
  <c r="R570" i="3"/>
  <c r="P570" i="3"/>
  <c r="O570" i="3"/>
  <c r="N570" i="3"/>
  <c r="M570" i="3"/>
  <c r="Q570" i="3"/>
  <c r="N576" i="3"/>
  <c r="M576" i="3"/>
  <c r="R576" i="3"/>
  <c r="Q576" i="3"/>
  <c r="P576" i="3"/>
  <c r="O576" i="3"/>
  <c r="P527" i="3"/>
  <c r="O527" i="3"/>
  <c r="N527" i="3"/>
  <c r="R527" i="3"/>
  <c r="M527" i="3"/>
  <c r="Q527" i="3"/>
  <c r="P515" i="3"/>
  <c r="O515" i="3"/>
  <c r="Q515" i="3"/>
  <c r="N515" i="3"/>
  <c r="M515" i="3"/>
  <c r="R515" i="3"/>
  <c r="M341" i="3"/>
  <c r="P341" i="3"/>
  <c r="O341" i="3"/>
  <c r="N341" i="3"/>
  <c r="R341" i="3"/>
  <c r="Q341" i="3"/>
  <c r="R372" i="3"/>
  <c r="Q372" i="3"/>
  <c r="P372" i="3"/>
  <c r="O372" i="3"/>
  <c r="N372" i="3"/>
  <c r="M372" i="3"/>
  <c r="M353" i="3"/>
  <c r="R353" i="3"/>
  <c r="P353" i="3"/>
  <c r="O353" i="3"/>
  <c r="N353" i="3"/>
  <c r="Q353" i="3"/>
  <c r="P446" i="3"/>
  <c r="R446" i="3"/>
  <c r="Q446" i="3"/>
  <c r="O446" i="3"/>
  <c r="N446" i="3"/>
  <c r="M446" i="3"/>
  <c r="N421" i="3"/>
  <c r="O421" i="3"/>
  <c r="M421" i="3"/>
  <c r="Q421" i="3"/>
  <c r="R421" i="3"/>
  <c r="P421" i="3"/>
  <c r="N524" i="3"/>
  <c r="M524" i="3"/>
  <c r="R524" i="3"/>
  <c r="Q524" i="3"/>
  <c r="O524" i="3"/>
  <c r="P524" i="3"/>
  <c r="O420" i="3"/>
  <c r="Q420" i="3"/>
  <c r="P420" i="3"/>
  <c r="N420" i="3"/>
  <c r="M420" i="3"/>
  <c r="R420" i="3"/>
  <c r="Q494" i="3"/>
  <c r="P494" i="3"/>
  <c r="O494" i="3"/>
  <c r="M494" i="3"/>
  <c r="R494" i="3"/>
  <c r="N494" i="3"/>
  <c r="M411" i="3"/>
  <c r="Q411" i="3"/>
  <c r="O411" i="3"/>
  <c r="N411" i="3"/>
  <c r="R411" i="3"/>
  <c r="P411" i="3"/>
  <c r="N336" i="3"/>
  <c r="M336" i="3"/>
  <c r="Q336" i="3"/>
  <c r="O336" i="3"/>
  <c r="R336" i="3"/>
  <c r="P336" i="3"/>
  <c r="Q366" i="3"/>
  <c r="O366" i="3"/>
  <c r="R366" i="3"/>
  <c r="P366" i="3"/>
  <c r="N366" i="3"/>
  <c r="M366" i="3"/>
  <c r="R572" i="3"/>
  <c r="Q572" i="3"/>
  <c r="P572" i="3"/>
  <c r="N572" i="3"/>
  <c r="M572" i="3"/>
  <c r="O572" i="3"/>
  <c r="R517" i="3"/>
  <c r="Q517" i="3"/>
  <c r="N517" i="3"/>
  <c r="M517" i="3"/>
  <c r="P517" i="3"/>
  <c r="O517" i="3"/>
  <c r="R532" i="3"/>
  <c r="O532" i="3"/>
  <c r="N532" i="3"/>
  <c r="M532" i="3"/>
  <c r="Q532" i="3"/>
  <c r="P532" i="3"/>
  <c r="O469" i="3"/>
  <c r="M469" i="3"/>
  <c r="R469" i="3"/>
  <c r="P469" i="3"/>
  <c r="N469" i="3"/>
  <c r="Q469" i="3"/>
  <c r="P566" i="3"/>
  <c r="O566" i="3"/>
  <c r="N566" i="3"/>
  <c r="R566" i="3"/>
  <c r="Q566" i="3"/>
  <c r="M566" i="3"/>
  <c r="R384" i="3"/>
  <c r="O384" i="3"/>
  <c r="Q384" i="3"/>
  <c r="P384" i="3"/>
  <c r="N384" i="3"/>
  <c r="M384" i="3"/>
  <c r="O445" i="3"/>
  <c r="N445" i="3"/>
  <c r="R445" i="3"/>
  <c r="Q445" i="3"/>
  <c r="P445" i="3"/>
  <c r="M445" i="3"/>
  <c r="Q422" i="3"/>
  <c r="P422" i="3"/>
  <c r="N422" i="3"/>
  <c r="O422" i="3"/>
  <c r="M422" i="3"/>
  <c r="R422" i="3"/>
  <c r="Q447" i="3"/>
  <c r="P447" i="3"/>
  <c r="O447" i="3"/>
  <c r="R447" i="3"/>
  <c r="N447" i="3"/>
  <c r="M447" i="3"/>
  <c r="Q390" i="3"/>
  <c r="O390" i="3"/>
  <c r="R390" i="3"/>
  <c r="P390" i="3"/>
  <c r="N390" i="3"/>
  <c r="M390" i="3"/>
  <c r="R367" i="3"/>
  <c r="Q367" i="3"/>
  <c r="P367" i="3"/>
  <c r="O367" i="3"/>
  <c r="N367" i="3"/>
  <c r="M367" i="3"/>
  <c r="M569" i="3"/>
  <c r="Q569" i="3"/>
  <c r="P569" i="3"/>
  <c r="O569" i="3"/>
  <c r="N569" i="3"/>
  <c r="R569" i="3"/>
  <c r="P476" i="3"/>
  <c r="N476" i="3"/>
  <c r="M476" i="3"/>
  <c r="O476" i="3"/>
  <c r="R476" i="3"/>
  <c r="Q476" i="3"/>
  <c r="Q534" i="3"/>
  <c r="P534" i="3"/>
  <c r="O534" i="3"/>
  <c r="M534" i="3"/>
  <c r="R534" i="3"/>
  <c r="N534" i="3"/>
  <c r="N381" i="3"/>
  <c r="R381" i="3"/>
  <c r="Q381" i="3"/>
  <c r="P381" i="3"/>
  <c r="O381" i="3"/>
  <c r="M381" i="3"/>
  <c r="R555" i="3"/>
  <c r="O555" i="3"/>
  <c r="N555" i="3"/>
  <c r="Q555" i="3"/>
  <c r="P555" i="3"/>
  <c r="M555" i="3"/>
  <c r="N413" i="3"/>
  <c r="R413" i="3"/>
  <c r="Q413" i="3"/>
  <c r="P413" i="3"/>
  <c r="M413" i="3"/>
  <c r="O413" i="3"/>
  <c r="O571" i="3"/>
  <c r="N571" i="3"/>
  <c r="M571" i="3"/>
  <c r="R571" i="3"/>
  <c r="Q571" i="3"/>
  <c r="P571" i="3"/>
  <c r="N369" i="3"/>
  <c r="R369" i="3"/>
  <c r="Q369" i="3"/>
  <c r="P369" i="3"/>
  <c r="M369" i="3"/>
  <c r="O369" i="3"/>
  <c r="Q556" i="3"/>
  <c r="P556" i="3"/>
  <c r="N556" i="3"/>
  <c r="M556" i="3"/>
  <c r="R556" i="3"/>
  <c r="O556" i="3"/>
  <c r="R540" i="3"/>
  <c r="Q540" i="3"/>
  <c r="P540" i="3"/>
  <c r="N540" i="3"/>
  <c r="M540" i="3"/>
  <c r="O540" i="3"/>
  <c r="Q471" i="3"/>
  <c r="O471" i="3"/>
  <c r="N471" i="3"/>
  <c r="P471" i="3"/>
  <c r="M471" i="3"/>
  <c r="R471" i="3"/>
  <c r="R530" i="3"/>
  <c r="Q530" i="3"/>
  <c r="P530" i="3"/>
  <c r="M530" i="3"/>
  <c r="O530" i="3"/>
  <c r="N530" i="3"/>
  <c r="O559" i="3"/>
  <c r="N559" i="3"/>
  <c r="M559" i="3"/>
  <c r="R559" i="3"/>
  <c r="P559" i="3"/>
  <c r="Q559" i="3"/>
  <c r="Q389" i="3"/>
  <c r="N389" i="3"/>
  <c r="R389" i="3"/>
  <c r="P389" i="3"/>
  <c r="O389" i="3"/>
  <c r="M389" i="3"/>
  <c r="Q544" i="3"/>
  <c r="P544" i="3"/>
  <c r="N544" i="3"/>
  <c r="R544" i="3"/>
  <c r="M544" i="3"/>
  <c r="O544" i="3"/>
  <c r="M552" i="3"/>
  <c r="R552" i="3"/>
  <c r="Q552" i="3"/>
  <c r="P552" i="3"/>
  <c r="O552" i="3"/>
  <c r="N552" i="3"/>
  <c r="Q361" i="3"/>
  <c r="P361" i="3"/>
  <c r="O361" i="3"/>
  <c r="N361" i="3"/>
  <c r="R361" i="3"/>
  <c r="M361" i="3"/>
  <c r="R401" i="3"/>
  <c r="Q401" i="3"/>
  <c r="N401" i="3"/>
  <c r="O401" i="3"/>
  <c r="M401" i="3"/>
  <c r="P401" i="3"/>
  <c r="O432" i="3"/>
  <c r="Q432" i="3"/>
  <c r="N432" i="3"/>
  <c r="M432" i="3"/>
  <c r="R432" i="3"/>
  <c r="P432" i="3"/>
  <c r="R399" i="3"/>
  <c r="P399" i="3"/>
  <c r="O399" i="3"/>
  <c r="Q399" i="3"/>
  <c r="N399" i="3"/>
  <c r="M399" i="3"/>
  <c r="R340" i="3"/>
  <c r="Q340" i="3"/>
  <c r="N340" i="3"/>
  <c r="M340" i="3"/>
  <c r="P340" i="3"/>
  <c r="O340" i="3"/>
  <c r="Q434" i="3"/>
  <c r="R434" i="3"/>
  <c r="P434" i="3"/>
  <c r="O434" i="3"/>
  <c r="N434" i="3"/>
  <c r="M434" i="3"/>
  <c r="M426" i="3"/>
  <c r="P426" i="3"/>
  <c r="O426" i="3"/>
  <c r="N426" i="3"/>
  <c r="R426" i="3"/>
  <c r="Q426" i="3"/>
  <c r="Q333" i="3"/>
  <c r="P333" i="3"/>
  <c r="M333" i="3"/>
  <c r="R333" i="3"/>
  <c r="O333" i="3"/>
  <c r="N333" i="3"/>
  <c r="O554" i="3"/>
  <c r="N554" i="3"/>
  <c r="R554" i="3"/>
  <c r="Q554" i="3"/>
  <c r="P554" i="3"/>
  <c r="M554" i="3"/>
  <c r="R558" i="3"/>
  <c r="P558" i="3"/>
  <c r="O558" i="3"/>
  <c r="Q558" i="3"/>
  <c r="N558" i="3"/>
  <c r="M558" i="3"/>
  <c r="R358" i="3"/>
  <c r="Q358" i="3"/>
  <c r="O358" i="3"/>
  <c r="N358" i="3"/>
  <c r="M358" i="3"/>
  <c r="P358" i="3"/>
  <c r="O508" i="3"/>
  <c r="N508" i="3"/>
  <c r="R508" i="3"/>
  <c r="Q508" i="3"/>
  <c r="M508" i="3"/>
  <c r="P508" i="3"/>
  <c r="Q561" i="3"/>
  <c r="P561" i="3"/>
  <c r="O561" i="3"/>
  <c r="M561" i="3"/>
  <c r="R561" i="3"/>
  <c r="N561" i="3"/>
  <c r="R409" i="3"/>
  <c r="P409" i="3"/>
  <c r="O409" i="3"/>
  <c r="Q409" i="3"/>
  <c r="N409" i="3"/>
  <c r="M409" i="3"/>
  <c r="R472" i="3"/>
  <c r="M472" i="3"/>
  <c r="P472" i="3"/>
  <c r="O472" i="3"/>
  <c r="N472" i="3"/>
  <c r="Q472" i="3"/>
  <c r="O388" i="3"/>
  <c r="M388" i="3"/>
  <c r="R388" i="3"/>
  <c r="Q388" i="3"/>
  <c r="P388" i="3"/>
  <c r="N388" i="3"/>
  <c r="R513" i="3"/>
  <c r="Q513" i="3"/>
  <c r="N513" i="3"/>
  <c r="M513" i="3"/>
  <c r="P513" i="3"/>
  <c r="O513" i="3"/>
  <c r="N360" i="3"/>
  <c r="M360" i="3"/>
  <c r="Q360" i="3"/>
  <c r="P360" i="3"/>
  <c r="O360" i="3"/>
  <c r="R360" i="3"/>
  <c r="Q545" i="3"/>
  <c r="N545" i="3"/>
  <c r="M545" i="3"/>
  <c r="R545" i="3"/>
  <c r="O545" i="3"/>
  <c r="P545" i="3"/>
  <c r="P371" i="3"/>
  <c r="N371" i="3"/>
  <c r="R371" i="3"/>
  <c r="Q371" i="3"/>
  <c r="O371" i="3"/>
  <c r="M371" i="3"/>
  <c r="M386" i="3"/>
  <c r="Q386" i="3"/>
  <c r="R386" i="3"/>
  <c r="P386" i="3"/>
  <c r="O386" i="3"/>
  <c r="N386" i="3"/>
  <c r="P383" i="3"/>
  <c r="N383" i="3"/>
  <c r="R383" i="3"/>
  <c r="Q383" i="3"/>
  <c r="O383" i="3"/>
  <c r="M383" i="3"/>
  <c r="Q377" i="3"/>
  <c r="N377" i="3"/>
  <c r="M377" i="3"/>
  <c r="R377" i="3"/>
  <c r="P377" i="3"/>
  <c r="O377" i="3"/>
  <c r="R347" i="3"/>
  <c r="O347" i="3"/>
  <c r="N347" i="3"/>
  <c r="M347" i="3"/>
  <c r="Q347" i="3"/>
  <c r="P347" i="3"/>
  <c r="R548" i="3"/>
  <c r="Q548" i="3"/>
  <c r="N548" i="3"/>
  <c r="P548" i="3"/>
  <c r="O548" i="3"/>
  <c r="M548" i="3"/>
  <c r="N348" i="3"/>
  <c r="M348" i="3"/>
  <c r="Q348" i="3"/>
  <c r="P348" i="3"/>
  <c r="O348" i="3"/>
  <c r="R348" i="3"/>
  <c r="N497" i="3"/>
  <c r="R497" i="3"/>
  <c r="Q497" i="3"/>
  <c r="P497" i="3"/>
  <c r="O497" i="3"/>
  <c r="M497" i="3"/>
  <c r="Q573" i="3"/>
  <c r="P573" i="3"/>
  <c r="O573" i="3"/>
  <c r="M573" i="3"/>
  <c r="R573" i="3"/>
  <c r="N573" i="3"/>
  <c r="R359" i="3"/>
  <c r="Q359" i="3"/>
  <c r="O359" i="3"/>
  <c r="N359" i="3"/>
  <c r="M359" i="3"/>
  <c r="P359" i="3"/>
  <c r="J200" i="4"/>
  <c r="C200" i="4"/>
  <c r="M512" i="3"/>
  <c r="R512" i="3"/>
  <c r="O512" i="3"/>
  <c r="P512" i="3"/>
  <c r="N512" i="3"/>
  <c r="Q512" i="3"/>
  <c r="O539" i="3"/>
  <c r="R539" i="3"/>
  <c r="Q539" i="3"/>
  <c r="P539" i="3"/>
  <c r="N539" i="3"/>
  <c r="M539" i="3"/>
  <c r="R344" i="3"/>
  <c r="Q344" i="3"/>
  <c r="P344" i="3"/>
  <c r="O344" i="3"/>
  <c r="M344" i="3"/>
  <c r="N344" i="3"/>
  <c r="P448" i="3"/>
  <c r="M448" i="3"/>
  <c r="R448" i="3"/>
  <c r="Q448" i="3"/>
  <c r="O448" i="3"/>
  <c r="N448" i="3"/>
  <c r="P407" i="3"/>
  <c r="O407" i="3"/>
  <c r="N407" i="3"/>
  <c r="M407" i="3"/>
  <c r="R407" i="3"/>
  <c r="Q407" i="3"/>
  <c r="P436" i="3"/>
  <c r="O436" i="3"/>
  <c r="N436" i="3"/>
  <c r="M436" i="3"/>
  <c r="R436" i="3"/>
  <c r="Q436" i="3"/>
  <c r="R575" i="3"/>
  <c r="Q575" i="3"/>
  <c r="O575" i="3"/>
  <c r="N575" i="3"/>
  <c r="M575" i="3"/>
  <c r="P575" i="3"/>
  <c r="P427" i="3"/>
  <c r="M427" i="3"/>
  <c r="R427" i="3"/>
  <c r="O427" i="3"/>
  <c r="N427" i="3"/>
  <c r="Q427" i="3"/>
  <c r="P562" i="3"/>
  <c r="O562" i="3"/>
  <c r="N562" i="3"/>
  <c r="M562" i="3"/>
  <c r="Q562" i="3"/>
  <c r="R562" i="3"/>
  <c r="R419" i="3"/>
  <c r="Q419" i="3"/>
  <c r="P419" i="3"/>
  <c r="O419" i="3"/>
  <c r="N419" i="3"/>
  <c r="M419" i="3"/>
  <c r="Q557" i="3"/>
  <c r="P557" i="3"/>
  <c r="R557" i="3"/>
  <c r="O557" i="3"/>
  <c r="M557" i="3"/>
  <c r="N557" i="3"/>
  <c r="Q410" i="3"/>
  <c r="P410" i="3"/>
  <c r="O410" i="3"/>
  <c r="N410" i="3"/>
  <c r="R410" i="3"/>
  <c r="M410" i="3"/>
  <c r="R334" i="3"/>
  <c r="O334" i="3"/>
  <c r="M334" i="3"/>
  <c r="Q334" i="3"/>
  <c r="P334" i="3"/>
  <c r="N334" i="3"/>
  <c r="M374" i="3"/>
  <c r="R374" i="3"/>
  <c r="Q374" i="3"/>
  <c r="O374" i="3"/>
  <c r="N374" i="3"/>
  <c r="P374" i="3"/>
  <c r="O484" i="3"/>
  <c r="R484" i="3"/>
  <c r="Q484" i="3"/>
  <c r="P484" i="3"/>
  <c r="N484" i="3"/>
  <c r="M484" i="3"/>
  <c r="P509" i="3"/>
  <c r="N509" i="3"/>
  <c r="R509" i="3"/>
  <c r="O509" i="3"/>
  <c r="M509" i="3"/>
  <c r="Q509" i="3"/>
  <c r="R352" i="3"/>
  <c r="Q352" i="3"/>
  <c r="N352" i="3"/>
  <c r="M352" i="3"/>
  <c r="P352" i="3"/>
  <c r="O352" i="3"/>
  <c r="Q404" i="3"/>
  <c r="O404" i="3"/>
  <c r="N404" i="3"/>
  <c r="R404" i="3"/>
  <c r="P404" i="3"/>
  <c r="M404" i="3"/>
  <c r="R546" i="3"/>
  <c r="P546" i="3"/>
  <c r="O546" i="3"/>
  <c r="N546" i="3"/>
  <c r="M546" i="3"/>
  <c r="Q546" i="3"/>
  <c r="M467" i="3"/>
  <c r="R467" i="3"/>
  <c r="Q467" i="3"/>
  <c r="O467" i="3"/>
  <c r="N467" i="3"/>
  <c r="P467" i="3"/>
  <c r="Q505" i="3"/>
  <c r="P505" i="3"/>
  <c r="O505" i="3"/>
  <c r="N505" i="3"/>
  <c r="R505" i="3"/>
  <c r="M505" i="3"/>
  <c r="R424" i="3"/>
  <c r="Q424" i="3"/>
  <c r="P424" i="3"/>
  <c r="O424" i="3"/>
  <c r="N424" i="3"/>
  <c r="M424" i="3"/>
  <c r="J124" i="3" l="1"/>
  <c r="J358" i="3"/>
  <c r="J359" i="3"/>
  <c r="J386" i="3"/>
  <c r="S128" i="3"/>
  <c r="S213" i="3"/>
  <c r="J485" i="3"/>
  <c r="J339" i="3"/>
  <c r="J213" i="3"/>
  <c r="K213" i="3" s="1"/>
  <c r="J509" i="3"/>
  <c r="J427" i="3"/>
  <c r="J436" i="3"/>
  <c r="J351" i="3"/>
  <c r="J480" i="3"/>
  <c r="J451" i="3"/>
  <c r="J511" i="3"/>
  <c r="J363" i="3"/>
  <c r="J104" i="3"/>
  <c r="J14" i="3"/>
  <c r="J313" i="3"/>
  <c r="J317" i="3"/>
  <c r="J176" i="3"/>
  <c r="J160" i="3"/>
  <c r="J72" i="3"/>
  <c r="J82" i="3"/>
  <c r="J191" i="3"/>
  <c r="J353" i="3"/>
  <c r="J559" i="3"/>
  <c r="J408" i="3"/>
  <c r="J410" i="3"/>
  <c r="J236" i="3"/>
  <c r="K236" i="3" s="1"/>
  <c r="J208" i="3"/>
  <c r="J210" i="3"/>
  <c r="J89" i="3"/>
  <c r="J57" i="3"/>
  <c r="J99" i="3"/>
  <c r="K99" i="3" s="1"/>
  <c r="J37" i="3"/>
  <c r="J90" i="3"/>
  <c r="K90" i="3" s="1"/>
  <c r="J249" i="3"/>
  <c r="K249" i="3" s="1"/>
  <c r="J146" i="3"/>
  <c r="J368" i="3"/>
  <c r="J232" i="3"/>
  <c r="J200" i="3"/>
  <c r="K200" i="3" s="1"/>
  <c r="J180" i="3"/>
  <c r="J102" i="3"/>
  <c r="J103" i="3"/>
  <c r="J312" i="3"/>
  <c r="J541" i="3"/>
  <c r="J17" i="3"/>
  <c r="J64" i="3"/>
  <c r="J291" i="3"/>
  <c r="K291" i="3" s="1"/>
  <c r="J300" i="3"/>
  <c r="K300" i="3" s="1"/>
  <c r="J227" i="3"/>
  <c r="K227" i="3" s="1"/>
  <c r="J135" i="3"/>
  <c r="J197" i="3"/>
  <c r="J403" i="3"/>
  <c r="J510" i="3"/>
  <c r="J316" i="3"/>
  <c r="K316" i="3" s="1"/>
  <c r="J133" i="3"/>
  <c r="J149" i="3"/>
  <c r="K149" i="3" s="1"/>
  <c r="J137" i="3"/>
  <c r="J201" i="3"/>
  <c r="J195" i="3"/>
  <c r="K195" i="3" s="1"/>
  <c r="J254" i="3"/>
  <c r="J125" i="3"/>
  <c r="K125" i="3" s="1"/>
  <c r="J292" i="3"/>
  <c r="J326" i="3"/>
  <c r="K326" i="3" s="1"/>
  <c r="J331" i="3"/>
  <c r="J296" i="3"/>
  <c r="K296" i="3" s="1"/>
  <c r="J12" i="3"/>
  <c r="J398" i="3"/>
  <c r="J465" i="3"/>
  <c r="J18" i="3"/>
  <c r="J108" i="3"/>
  <c r="K108" i="3" s="1"/>
  <c r="J153" i="3"/>
  <c r="K153" i="3" s="1"/>
  <c r="J33" i="3"/>
  <c r="K33" i="3" s="1"/>
  <c r="J11" i="3"/>
  <c r="K11" i="3" s="1"/>
  <c r="J45" i="3"/>
  <c r="J67" i="3"/>
  <c r="K67" i="3" s="1"/>
  <c r="J83" i="3"/>
  <c r="K83" i="3" s="1"/>
  <c r="J253" i="3"/>
  <c r="J281" i="3"/>
  <c r="S320" i="3"/>
  <c r="J167" i="3"/>
  <c r="J264" i="3"/>
  <c r="S28" i="3"/>
  <c r="J285" i="3"/>
  <c r="K285" i="3" s="1"/>
  <c r="J324" i="3"/>
  <c r="K324" i="3" s="1"/>
  <c r="J161" i="3"/>
  <c r="K161" i="3" s="1"/>
  <c r="J328" i="3"/>
  <c r="J548" i="3"/>
  <c r="J340" i="3"/>
  <c r="J537" i="3"/>
  <c r="J489" i="3"/>
  <c r="J560" i="3"/>
  <c r="J498" i="3"/>
  <c r="J503" i="3"/>
  <c r="J306" i="3"/>
  <c r="J290" i="3"/>
  <c r="K290" i="3" s="1"/>
  <c r="J323" i="3"/>
  <c r="K323" i="3" s="1"/>
  <c r="J186" i="3"/>
  <c r="K186" i="3" s="1"/>
  <c r="J30" i="3"/>
  <c r="J258" i="3"/>
  <c r="K258" i="3" s="1"/>
  <c r="J43" i="3"/>
  <c r="K43" i="3" s="1"/>
  <c r="J513" i="3"/>
  <c r="J432" i="3"/>
  <c r="J420" i="3"/>
  <c r="J430" i="3"/>
  <c r="J289" i="3"/>
  <c r="J293" i="3"/>
  <c r="K293" i="3" s="1"/>
  <c r="J73" i="3"/>
  <c r="K73" i="3" s="1"/>
  <c r="J303" i="3"/>
  <c r="K303" i="3" s="1"/>
  <c r="J266" i="3"/>
  <c r="K266" i="3" s="1"/>
  <c r="J230" i="3"/>
  <c r="J38" i="3"/>
  <c r="J202" i="3"/>
  <c r="K202" i="3" s="1"/>
  <c r="J256" i="3"/>
  <c r="K256" i="3" s="1"/>
  <c r="J169" i="3"/>
  <c r="J113" i="3"/>
  <c r="J411" i="3"/>
  <c r="J567" i="3"/>
  <c r="J346" i="3"/>
  <c r="J525" i="3"/>
  <c r="J575" i="3"/>
  <c r="J344" i="3"/>
  <c r="J383" i="3"/>
  <c r="J371" i="3"/>
  <c r="J388" i="3"/>
  <c r="J409" i="3"/>
  <c r="J508" i="3"/>
  <c r="J558" i="3"/>
  <c r="J399" i="3"/>
  <c r="J445" i="3"/>
  <c r="J524" i="3"/>
  <c r="J576" i="3"/>
  <c r="J393" i="3"/>
  <c r="J418" i="3"/>
  <c r="J542" i="3"/>
  <c r="J414" i="3"/>
  <c r="J355" i="3"/>
  <c r="J547" i="3"/>
  <c r="J477" i="3"/>
  <c r="J529" i="3"/>
  <c r="J473" i="3"/>
  <c r="J429" i="3"/>
  <c r="J431" i="3"/>
  <c r="J501" i="3"/>
  <c r="J107" i="3"/>
  <c r="K107" i="3" s="1"/>
  <c r="J255" i="3"/>
  <c r="K255" i="3" s="1"/>
  <c r="J152" i="3"/>
  <c r="J325" i="3"/>
  <c r="K325" i="3" s="1"/>
  <c r="J224" i="3"/>
  <c r="K224" i="3" s="1"/>
  <c r="J51" i="3"/>
  <c r="K51" i="3" s="1"/>
  <c r="J308" i="3"/>
  <c r="J27" i="3"/>
  <c r="J129" i="3"/>
  <c r="K129" i="3" s="1"/>
  <c r="J307" i="3"/>
  <c r="J75" i="3"/>
  <c r="K75" i="3" s="1"/>
  <c r="J274" i="3"/>
  <c r="K274" i="3" s="1"/>
  <c r="J32" i="3"/>
  <c r="K32" i="3" s="1"/>
  <c r="J41" i="3"/>
  <c r="K41" i="3" s="1"/>
  <c r="J569" i="3"/>
  <c r="J517" i="3"/>
  <c r="J460" i="3"/>
  <c r="J332" i="3"/>
  <c r="J352" i="3"/>
  <c r="J387" i="3"/>
  <c r="J428" i="3"/>
  <c r="J456" i="3"/>
  <c r="J563" i="3"/>
  <c r="J474" i="3"/>
  <c r="K474" i="3" s="1"/>
  <c r="F93" i="4" s="1" a="1"/>
  <c r="F93" i="4" s="1"/>
  <c r="J406" i="3"/>
  <c r="J416" i="3"/>
  <c r="J495" i="3"/>
  <c r="J452" i="3"/>
  <c r="J177" i="3"/>
  <c r="K177" i="3" s="1"/>
  <c r="J446" i="3"/>
  <c r="J415" i="3"/>
  <c r="J458" i="3"/>
  <c r="J507" i="3"/>
  <c r="J375" i="3"/>
  <c r="J372" i="3"/>
  <c r="J462" i="3"/>
  <c r="J35" i="3"/>
  <c r="K35" i="3" s="1"/>
  <c r="J573" i="3"/>
  <c r="J333" i="3"/>
  <c r="J449" i="3"/>
  <c r="J380" i="3"/>
  <c r="J378" i="3"/>
  <c r="J518" i="3"/>
  <c r="J484" i="3"/>
  <c r="J347" i="3"/>
  <c r="J566" i="3"/>
  <c r="J532" i="3"/>
  <c r="J464" i="3"/>
  <c r="J478" i="3"/>
  <c r="J491" i="3"/>
  <c r="J417" i="3"/>
  <c r="J450" i="3"/>
  <c r="J519" i="3"/>
  <c r="J370" i="3"/>
  <c r="J365" i="3"/>
  <c r="J397" i="3"/>
  <c r="J533" i="3"/>
  <c r="J521" i="3"/>
  <c r="J499" i="3"/>
  <c r="J520" i="3"/>
  <c r="K520" i="3" s="1"/>
  <c r="F139" i="4" s="1" a="1"/>
  <c r="F139" i="4" s="1"/>
  <c r="J39" i="3"/>
  <c r="K39" i="3" s="1"/>
  <c r="J257" i="3"/>
  <c r="K257" i="3" s="1"/>
  <c r="J16" i="3"/>
  <c r="J123" i="3"/>
  <c r="K123" i="3" s="1"/>
  <c r="J322" i="3"/>
  <c r="K322" i="3" s="1"/>
  <c r="J150" i="3"/>
  <c r="K150" i="3" s="1"/>
  <c r="J79" i="3"/>
  <c r="K79" i="3" s="1"/>
  <c r="J53" i="3"/>
  <c r="J182" i="3"/>
  <c r="J295" i="3"/>
  <c r="J184" i="3"/>
  <c r="K184" i="3" s="1"/>
  <c r="J204" i="3"/>
  <c r="K204" i="3" s="1"/>
  <c r="J36" i="3"/>
  <c r="K36" i="3" s="1"/>
  <c r="J24" i="3"/>
  <c r="K24" i="3" s="1"/>
  <c r="J156" i="3"/>
  <c r="S161" i="3"/>
  <c r="J10" i="3"/>
  <c r="K10" i="3" s="1"/>
  <c r="J282" i="3"/>
  <c r="K282" i="3" s="1"/>
  <c r="J250" i="3"/>
  <c r="K250" i="3" s="1"/>
  <c r="J121" i="3"/>
  <c r="J50" i="3"/>
  <c r="K50" i="3" s="1"/>
  <c r="J302" i="3"/>
  <c r="K302" i="3" s="1"/>
  <c r="J391" i="3"/>
  <c r="J297" i="3"/>
  <c r="K297" i="3" s="1"/>
  <c r="J327" i="3"/>
  <c r="K327" i="3" s="1"/>
  <c r="J100" i="3"/>
  <c r="K100" i="3" s="1"/>
  <c r="J93" i="3"/>
  <c r="J101" i="3"/>
  <c r="K101" i="3" s="1"/>
  <c r="J34" i="3"/>
  <c r="K34" i="3" s="1"/>
  <c r="J25" i="3"/>
  <c r="K25" i="3" s="1"/>
  <c r="J76" i="3"/>
  <c r="K76" i="3" s="1"/>
  <c r="J248" i="3"/>
  <c r="J234" i="3"/>
  <c r="K234" i="3" s="1"/>
  <c r="J92" i="3"/>
  <c r="J246" i="3"/>
  <c r="K246" i="3" s="1"/>
  <c r="J244" i="3"/>
  <c r="K244" i="3" s="1"/>
  <c r="J259" i="3"/>
  <c r="K259" i="3" s="1"/>
  <c r="J207" i="3"/>
  <c r="K207" i="3" s="1"/>
  <c r="J60" i="3"/>
  <c r="K60" i="3" s="1"/>
  <c r="J194" i="3"/>
  <c r="K194" i="3" s="1"/>
  <c r="S8" i="3"/>
  <c r="J8" i="3"/>
  <c r="K8" i="3" s="1"/>
  <c r="J304" i="3"/>
  <c r="J267" i="3"/>
  <c r="J279" i="3"/>
  <c r="K279" i="3" s="1"/>
  <c r="J286" i="3"/>
  <c r="J239" i="3"/>
  <c r="K239" i="3" s="1"/>
  <c r="J284" i="3"/>
  <c r="K284" i="3" s="1"/>
  <c r="J173" i="3"/>
  <c r="K173" i="3" s="1"/>
  <c r="J315" i="3"/>
  <c r="K315" i="3" s="1"/>
  <c r="J19" i="3"/>
  <c r="K19" i="3" s="1"/>
  <c r="J52" i="3"/>
  <c r="K52" i="3" s="1"/>
  <c r="J70" i="3"/>
  <c r="K70" i="3" s="1"/>
  <c r="J185" i="3"/>
  <c r="K185" i="3" s="1"/>
  <c r="J226" i="3"/>
  <c r="J138" i="3"/>
  <c r="J245" i="3"/>
  <c r="J81" i="3"/>
  <c r="J394" i="3"/>
  <c r="J448" i="3"/>
  <c r="J472" i="3"/>
  <c r="J426" i="3"/>
  <c r="J469" i="3"/>
  <c r="J341" i="3"/>
  <c r="J527" i="3"/>
  <c r="J570" i="3"/>
  <c r="J376" i="3"/>
  <c r="J454" i="3"/>
  <c r="J441" i="3"/>
  <c r="J470" i="3"/>
  <c r="J379" i="3"/>
  <c r="J350" i="3"/>
  <c r="K350" i="3" s="1"/>
  <c r="J280" i="3"/>
  <c r="K280" i="3" s="1"/>
  <c r="J189" i="3"/>
  <c r="K189" i="3" s="1"/>
  <c r="J109" i="3"/>
  <c r="K109" i="3" s="1"/>
  <c r="J251" i="3"/>
  <c r="K251" i="3" s="1"/>
  <c r="J148" i="3"/>
  <c r="K148" i="3" s="1"/>
  <c r="J95" i="3"/>
  <c r="K95" i="3" s="1"/>
  <c r="J164" i="3"/>
  <c r="J283" i="3"/>
  <c r="K283" i="3" s="1"/>
  <c r="J97" i="3"/>
  <c r="K97" i="3" s="1"/>
  <c r="J69" i="3"/>
  <c r="J233" i="3"/>
  <c r="K233" i="3" s="1"/>
  <c r="J143" i="3"/>
  <c r="K143" i="3" s="1"/>
  <c r="J231" i="3"/>
  <c r="K231" i="3" s="1"/>
  <c r="J157" i="3"/>
  <c r="K157" i="3" s="1"/>
  <c r="J260" i="3"/>
  <c r="K260" i="3" s="1"/>
  <c r="J140" i="3"/>
  <c r="K140" i="3" s="1"/>
  <c r="J269" i="3"/>
  <c r="K269" i="3" s="1"/>
  <c r="J115" i="3"/>
  <c r="K115" i="3" s="1"/>
  <c r="J142" i="3"/>
  <c r="K142" i="3" s="1"/>
  <c r="J206" i="3"/>
  <c r="K206" i="3" s="1"/>
  <c r="J540" i="3"/>
  <c r="J467" i="3"/>
  <c r="J374" i="3"/>
  <c r="J539" i="3"/>
  <c r="J571" i="3"/>
  <c r="J463" i="3"/>
  <c r="J526" i="3"/>
  <c r="J490" i="3"/>
  <c r="J538" i="3"/>
  <c r="J342" i="3"/>
  <c r="J496" i="3"/>
  <c r="J335" i="3"/>
  <c r="J568" i="3"/>
  <c r="K568" i="3" s="1"/>
  <c r="F187" i="4" s="1" a="1"/>
  <c r="F187" i="4" s="1"/>
  <c r="J522" i="3"/>
  <c r="J488" i="3"/>
  <c r="J528" i="3"/>
  <c r="K528" i="3" s="1"/>
  <c r="F147" i="4" s="1" a="1"/>
  <c r="F147" i="4" s="1"/>
  <c r="J110" i="3"/>
  <c r="K110" i="3" s="1"/>
  <c r="J216" i="3"/>
  <c r="K216" i="3" s="1"/>
  <c r="J15" i="3"/>
  <c r="K15" i="3" s="1"/>
  <c r="J47" i="3"/>
  <c r="K47" i="3" s="1"/>
  <c r="J273" i="3"/>
  <c r="K273" i="3" s="1"/>
  <c r="J44" i="3"/>
  <c r="K44" i="3" s="1"/>
  <c r="J229" i="3"/>
  <c r="K229" i="3" s="1"/>
  <c r="J276" i="3"/>
  <c r="J270" i="3"/>
  <c r="K270" i="3" s="1"/>
  <c r="J171" i="3"/>
  <c r="K171" i="3" s="1"/>
  <c r="J223" i="3"/>
  <c r="K223" i="3" s="1"/>
  <c r="J74" i="3"/>
  <c r="K74" i="3" s="1"/>
  <c r="J46" i="3"/>
  <c r="K46" i="3" s="1"/>
  <c r="J119" i="3"/>
  <c r="K119" i="3" s="1"/>
  <c r="J199" i="3"/>
  <c r="K199" i="3" s="1"/>
  <c r="J198" i="3"/>
  <c r="K198" i="3" s="1"/>
  <c r="J105" i="3"/>
  <c r="K105" i="3" s="1"/>
  <c r="J139" i="3"/>
  <c r="K139" i="3" s="1"/>
  <c r="J116" i="3"/>
  <c r="K116" i="3" s="1"/>
  <c r="J132" i="3"/>
  <c r="J268" i="3"/>
  <c r="K268" i="3" s="1"/>
  <c r="J502" i="3"/>
  <c r="J424" i="3"/>
  <c r="J419" i="3"/>
  <c r="J554" i="3"/>
  <c r="J555" i="3"/>
  <c r="J421" i="3"/>
  <c r="J385" i="3"/>
  <c r="J338" i="3"/>
  <c r="J466" i="3"/>
  <c r="J536" i="3"/>
  <c r="J550" i="3"/>
  <c r="J481" i="3"/>
  <c r="J343" i="3"/>
  <c r="J482" i="3"/>
  <c r="J400" i="3"/>
  <c r="J475" i="3"/>
  <c r="J516" i="3"/>
  <c r="J220" i="3"/>
  <c r="J219" i="3"/>
  <c r="K219" i="3" s="1"/>
  <c r="J154" i="3"/>
  <c r="K154" i="3" s="1"/>
  <c r="J40" i="3"/>
  <c r="K40" i="3" s="1"/>
  <c r="J181" i="3"/>
  <c r="K181" i="3" s="1"/>
  <c r="J247" i="3"/>
  <c r="J159" i="3"/>
  <c r="K159" i="3" s="1"/>
  <c r="J175" i="3"/>
  <c r="K175" i="3" s="1"/>
  <c r="J221" i="3"/>
  <c r="K221" i="3" s="1"/>
  <c r="J126" i="3"/>
  <c r="K126" i="3" s="1"/>
  <c r="J261" i="3"/>
  <c r="K261" i="3" s="1"/>
  <c r="J196" i="3"/>
  <c r="K196" i="3" s="1"/>
  <c r="J222" i="3"/>
  <c r="K222" i="3" s="1"/>
  <c r="J66" i="3"/>
  <c r="K66" i="3" s="1"/>
  <c r="J214" i="3"/>
  <c r="K214" i="3" s="1"/>
  <c r="J85" i="3"/>
  <c r="K85" i="3" s="1"/>
  <c r="J56" i="3"/>
  <c r="K56" i="3" s="1"/>
  <c r="J144" i="3"/>
  <c r="J577" i="3"/>
  <c r="K577" i="3" s="1"/>
  <c r="F196" i="4" s="1" a="1"/>
  <c r="F196" i="4" s="1"/>
  <c r="J58" i="3"/>
  <c r="K58" i="3" s="1"/>
  <c r="J319" i="3"/>
  <c r="K319" i="3" s="1"/>
  <c r="J71" i="3"/>
  <c r="K71" i="3" s="1"/>
  <c r="J242" i="3"/>
  <c r="K242" i="3" s="1"/>
  <c r="J425" i="3"/>
  <c r="J530" i="3"/>
  <c r="J404" i="3"/>
  <c r="J497" i="3"/>
  <c r="J384" i="3"/>
  <c r="J439" i="3"/>
  <c r="J444" i="3"/>
  <c r="J423" i="3"/>
  <c r="J492" i="3"/>
  <c r="J373" i="3"/>
  <c r="J433" i="3"/>
  <c r="J479" i="3"/>
  <c r="J514" i="3"/>
  <c r="J440" i="3"/>
  <c r="J396" i="3"/>
  <c r="J564" i="3"/>
  <c r="J551" i="3"/>
  <c r="J442" i="3"/>
  <c r="K442" i="3" s="1"/>
  <c r="F61" i="4" s="1" a="1"/>
  <c r="F61" i="4" s="1"/>
  <c r="J523" i="3"/>
  <c r="J178" i="3"/>
  <c r="K178" i="3" s="1"/>
  <c r="J272" i="3"/>
  <c r="J165" i="3"/>
  <c r="K165" i="3" s="1"/>
  <c r="J218" i="3"/>
  <c r="K218" i="3" s="1"/>
  <c r="J225" i="3"/>
  <c r="K225" i="3" s="1"/>
  <c r="J228" i="3"/>
  <c r="K228" i="3" s="1"/>
  <c r="J277" i="3"/>
  <c r="K277" i="3" s="1"/>
  <c r="J42" i="3"/>
  <c r="K42" i="3" s="1"/>
  <c r="J94" i="3"/>
  <c r="K94" i="3" s="1"/>
  <c r="J271" i="3"/>
  <c r="K271" i="3" s="1"/>
  <c r="J96" i="3"/>
  <c r="K96" i="3" s="1"/>
  <c r="J136" i="3"/>
  <c r="K136" i="3" s="1"/>
  <c r="J62" i="3"/>
  <c r="K62" i="3" s="1"/>
  <c r="J134" i="3"/>
  <c r="K134" i="3" s="1"/>
  <c r="J172" i="3"/>
  <c r="K172" i="3" s="1"/>
  <c r="J80" i="3"/>
  <c r="K80" i="3" s="1"/>
  <c r="J91" i="3"/>
  <c r="K91" i="3" s="1"/>
  <c r="J294" i="3"/>
  <c r="K294" i="3" s="1"/>
  <c r="J77" i="3"/>
  <c r="K77" i="3" s="1"/>
  <c r="J348" i="3"/>
  <c r="J552" i="3"/>
  <c r="J413" i="3"/>
  <c r="J364" i="3"/>
  <c r="J438" i="3"/>
  <c r="J572" i="3"/>
  <c r="J356" i="3"/>
  <c r="J500" i="3"/>
  <c r="J434" i="3"/>
  <c r="J553" i="3"/>
  <c r="J437" i="3"/>
  <c r="K437" i="3" s="1"/>
  <c r="F56" i="4" s="1" a="1"/>
  <c r="F56" i="4" s="1"/>
  <c r="J192" i="3"/>
  <c r="K192" i="3" s="1"/>
  <c r="J130" i="3"/>
  <c r="K130" i="3" s="1"/>
  <c r="J461" i="3"/>
  <c r="K461" i="3" s="1"/>
  <c r="F80" i="4" s="1" a="1"/>
  <c r="F80" i="4" s="1"/>
  <c r="J13" i="3"/>
  <c r="K13" i="3" s="1"/>
  <c r="J275" i="3"/>
  <c r="K275" i="3" s="1"/>
  <c r="J26" i="3"/>
  <c r="K26" i="3" s="1"/>
  <c r="J174" i="3"/>
  <c r="K174" i="3" s="1"/>
  <c r="J131" i="3"/>
  <c r="K131" i="3" s="1"/>
  <c r="J68" i="3"/>
  <c r="K68" i="3" s="1"/>
  <c r="J240" i="3"/>
  <c r="K240" i="3" s="1"/>
  <c r="J59" i="3"/>
  <c r="K59" i="3" s="1"/>
  <c r="J22" i="3"/>
  <c r="K22" i="3" s="1"/>
  <c r="J193" i="3"/>
  <c r="K193" i="3" s="1"/>
  <c r="J262" i="3"/>
  <c r="K262" i="3" s="1"/>
  <c r="J314" i="3"/>
  <c r="K314" i="3" s="1"/>
  <c r="J65" i="3"/>
  <c r="K65" i="3" s="1"/>
  <c r="J28" i="3"/>
  <c r="K28" i="3" s="1"/>
  <c r="J86" i="3"/>
  <c r="K86" i="3" s="1"/>
  <c r="J21" i="3"/>
  <c r="K21" i="3" s="1"/>
  <c r="J320" i="3"/>
  <c r="K320" i="3" s="1"/>
  <c r="J190" i="3"/>
  <c r="K190" i="3" s="1"/>
  <c r="J235" i="3"/>
  <c r="K235" i="3" s="1"/>
  <c r="J305" i="3"/>
  <c r="K305" i="3" s="1"/>
  <c r="J318" i="3"/>
  <c r="K318" i="3" s="1"/>
  <c r="J61" i="3"/>
  <c r="K61" i="3" s="1"/>
  <c r="J505" i="3"/>
  <c r="J369" i="3"/>
  <c r="J336" i="3"/>
  <c r="J405" i="3"/>
  <c r="J487" i="3"/>
  <c r="J389" i="3"/>
  <c r="J494" i="3"/>
  <c r="J453" i="3"/>
  <c r="J504" i="3"/>
  <c r="J23" i="3"/>
  <c r="K23" i="3" s="1"/>
  <c r="J49" i="3"/>
  <c r="K49" i="3" s="1"/>
  <c r="J238" i="3"/>
  <c r="K238" i="3" s="1"/>
  <c r="J141" i="3"/>
  <c r="K141" i="3" s="1"/>
  <c r="J188" i="3"/>
  <c r="K188" i="3" s="1"/>
  <c r="J217" i="3"/>
  <c r="K217" i="3" s="1"/>
  <c r="J29" i="3"/>
  <c r="K29" i="3" s="1"/>
  <c r="J546" i="3"/>
  <c r="J407" i="3"/>
  <c r="J512" i="3"/>
  <c r="J562" i="3"/>
  <c r="J377" i="3"/>
  <c r="J545" i="3"/>
  <c r="J561" i="3"/>
  <c r="J361" i="3"/>
  <c r="J544" i="3"/>
  <c r="J471" i="3"/>
  <c r="J556" i="3"/>
  <c r="J534" i="3"/>
  <c r="J390" i="3"/>
  <c r="J422" i="3"/>
  <c r="J366" i="3"/>
  <c r="J483" i="3"/>
  <c r="J337" i="3"/>
  <c r="J349" i="3"/>
  <c r="J412" i="3"/>
  <c r="J506" i="3"/>
  <c r="J565" i="3"/>
  <c r="J402" i="3"/>
  <c r="K402" i="3" s="1"/>
  <c r="F21" i="4" s="1" a="1"/>
  <c r="F21" i="4" s="1"/>
  <c r="J357" i="3"/>
  <c r="J493" i="3"/>
  <c r="J392" i="3"/>
  <c r="J395" i="3"/>
  <c r="J574" i="3"/>
  <c r="J362" i="3"/>
  <c r="K362" i="3" s="1"/>
  <c r="J578" i="3"/>
  <c r="K578" i="3" s="1"/>
  <c r="J265" i="3"/>
  <c r="K265" i="3" s="1"/>
  <c r="J301" i="3"/>
  <c r="K301" i="3" s="1"/>
  <c r="J299" i="3"/>
  <c r="K299" i="3" s="1"/>
  <c r="J158" i="3"/>
  <c r="K158" i="3" s="1"/>
  <c r="J166" i="3"/>
  <c r="K166" i="3" s="1"/>
  <c r="J211" i="3"/>
  <c r="K211" i="3" s="1"/>
  <c r="J241" i="3"/>
  <c r="K241" i="3" s="1"/>
  <c r="J311" i="3"/>
  <c r="K311" i="3" s="1"/>
  <c r="J205" i="3"/>
  <c r="K205" i="3" s="1"/>
  <c r="J168" i="3"/>
  <c r="K168" i="3" s="1"/>
  <c r="J330" i="3"/>
  <c r="K330" i="3" s="1"/>
  <c r="J151" i="3"/>
  <c r="K151" i="3" s="1"/>
  <c r="J155" i="3"/>
  <c r="K155" i="3" s="1"/>
  <c r="J122" i="3"/>
  <c r="K122" i="3" s="1"/>
  <c r="J55" i="3"/>
  <c r="K55" i="3" s="1"/>
  <c r="J170" i="3"/>
  <c r="K170" i="3" s="1"/>
  <c r="J98" i="3"/>
  <c r="K98" i="3" s="1"/>
  <c r="J9" i="3"/>
  <c r="K9" i="3" s="1"/>
  <c r="J145" i="3"/>
  <c r="K145" i="3" s="1"/>
  <c r="J329" i="3"/>
  <c r="K329" i="3" s="1"/>
  <c r="J120" i="3"/>
  <c r="K120" i="3" s="1"/>
  <c r="J278" i="3"/>
  <c r="K278" i="3" s="1"/>
  <c r="J84" i="3"/>
  <c r="K84" i="3" s="1"/>
  <c r="J112" i="3"/>
  <c r="K112" i="3" s="1"/>
  <c r="J209" i="3"/>
  <c r="K209" i="3" s="1"/>
  <c r="J557" i="3"/>
  <c r="J360" i="3"/>
  <c r="J381" i="3"/>
  <c r="J515" i="3"/>
  <c r="J382" i="3"/>
  <c r="J435" i="3"/>
  <c r="J543" i="3"/>
  <c r="J401" i="3"/>
  <c r="J367" i="3"/>
  <c r="J468" i="3"/>
  <c r="J443" i="3"/>
  <c r="J457" i="3"/>
  <c r="J31" i="3"/>
  <c r="K31" i="3" s="1"/>
  <c r="J447" i="3"/>
  <c r="J459" i="3"/>
  <c r="J345" i="3"/>
  <c r="J486" i="3"/>
  <c r="J187" i="3"/>
  <c r="K187" i="3" s="1"/>
  <c r="J117" i="3"/>
  <c r="K117" i="3" s="1"/>
  <c r="J147" i="3"/>
  <c r="K147" i="3" s="1"/>
  <c r="J334" i="3"/>
  <c r="J476" i="3"/>
  <c r="J354" i="3"/>
  <c r="K354" i="3" s="1"/>
  <c r="J455" i="3"/>
  <c r="J549" i="3"/>
  <c r="K549" i="3" s="1"/>
  <c r="F168" i="4" s="1" a="1"/>
  <c r="F168" i="4" s="1"/>
  <c r="J531" i="3"/>
  <c r="J535" i="3"/>
  <c r="J310" i="3"/>
  <c r="K310" i="3" s="1"/>
  <c r="J309" i="3"/>
  <c r="K309" i="3" s="1"/>
  <c r="J288" i="3"/>
  <c r="K288" i="3" s="1"/>
  <c r="J203" i="3"/>
  <c r="J215" i="3"/>
  <c r="K215" i="3" s="1"/>
  <c r="J243" i="3"/>
  <c r="K243" i="3" s="1"/>
  <c r="J287" i="3"/>
  <c r="K287" i="3" s="1"/>
  <c r="J20" i="3"/>
  <c r="K20" i="3" s="1"/>
  <c r="J63" i="3"/>
  <c r="K63" i="3" s="1"/>
  <c r="J118" i="3"/>
  <c r="K118" i="3" s="1"/>
  <c r="J114" i="3"/>
  <c r="K114" i="3" s="1"/>
  <c r="J87" i="3"/>
  <c r="K87" i="3" s="1"/>
  <c r="J88" i="3"/>
  <c r="K88" i="3" s="1"/>
  <c r="J321" i="3"/>
  <c r="K321" i="3" s="1"/>
  <c r="J237" i="3"/>
  <c r="K237" i="3" s="1"/>
  <c r="J127" i="3"/>
  <c r="J298" i="3"/>
  <c r="K298" i="3" s="1"/>
  <c r="J163" i="3"/>
  <c r="K163" i="3" s="1"/>
  <c r="J252" i="3"/>
  <c r="K252" i="3" s="1"/>
  <c r="J111" i="3"/>
  <c r="K111" i="3" s="1"/>
  <c r="J162" i="3"/>
  <c r="K162" i="3" s="1"/>
  <c r="J48" i="3"/>
  <c r="K48" i="3" s="1"/>
  <c r="J263" i="3"/>
  <c r="K263" i="3" s="1"/>
  <c r="J212" i="3"/>
  <c r="K212" i="3" s="1"/>
  <c r="J54" i="3"/>
  <c r="K54" i="3" s="1"/>
  <c r="J78" i="3"/>
  <c r="K78" i="3" s="1"/>
  <c r="J128" i="3"/>
  <c r="K128" i="3" s="1"/>
  <c r="J106" i="3"/>
  <c r="K106" i="3" s="1"/>
  <c r="K124" i="3"/>
  <c r="S194" i="3"/>
  <c r="S75" i="3"/>
  <c r="S77" i="3"/>
  <c r="S282" i="3"/>
  <c r="S294" i="3"/>
  <c r="S305" i="3"/>
  <c r="S9" i="3"/>
  <c r="S106" i="3"/>
  <c r="S41" i="3"/>
  <c r="S124" i="3"/>
  <c r="S206" i="3"/>
  <c r="S235" i="3"/>
  <c r="S302" i="3"/>
  <c r="S32" i="3"/>
  <c r="S207" i="3"/>
  <c r="S312" i="3"/>
  <c r="S10" i="3"/>
  <c r="S138" i="3"/>
  <c r="S292" i="3"/>
  <c r="S185" i="3"/>
  <c r="K281" i="3"/>
  <c r="S50" i="3"/>
  <c r="S191" i="3"/>
  <c r="K138" i="3"/>
  <c r="S209" i="3"/>
  <c r="S84" i="3"/>
  <c r="S78" i="3"/>
  <c r="S54" i="3"/>
  <c r="S198" i="3"/>
  <c r="S269" i="3"/>
  <c r="S43" i="3"/>
  <c r="S258" i="3"/>
  <c r="S249" i="3"/>
  <c r="S177" i="3"/>
  <c r="S60" i="3"/>
  <c r="S317" i="3"/>
  <c r="S72" i="3"/>
  <c r="K82" i="3"/>
  <c r="S227" i="3"/>
  <c r="S296" i="3"/>
  <c r="S319" i="3"/>
  <c r="K191" i="3"/>
  <c r="K312" i="3"/>
  <c r="S82" i="3"/>
  <c r="K317" i="3"/>
  <c r="S98" i="3"/>
  <c r="S135" i="3"/>
  <c r="S281" i="3"/>
  <c r="S307" i="3"/>
  <c r="S71" i="3"/>
  <c r="S214" i="3"/>
  <c r="S212" i="3"/>
  <c r="K264" i="3"/>
  <c r="S197" i="3"/>
  <c r="S318" i="3"/>
  <c r="S174" i="3"/>
  <c r="K12" i="3"/>
  <c r="S56" i="3"/>
  <c r="S190" i="3"/>
  <c r="S278" i="3"/>
  <c r="K292" i="3"/>
  <c r="S256" i="3"/>
  <c r="S202" i="3"/>
  <c r="S264" i="3"/>
  <c r="K197" i="3"/>
  <c r="S232" i="3"/>
  <c r="K72" i="3"/>
  <c r="S58" i="3"/>
  <c r="S21" i="3"/>
  <c r="S27" i="3"/>
  <c r="K135" i="3"/>
  <c r="S105" i="3"/>
  <c r="S200" i="3"/>
  <c r="K313" i="3"/>
  <c r="S300" i="3"/>
  <c r="S90" i="3"/>
  <c r="S12" i="3"/>
  <c r="S83" i="3"/>
  <c r="S48" i="3"/>
  <c r="K307" i="3"/>
  <c r="K27" i="3"/>
  <c r="K69" i="3"/>
  <c r="S259" i="3"/>
  <c r="S263" i="3"/>
  <c r="S272" i="3"/>
  <c r="S238" i="3"/>
  <c r="S313" i="3"/>
  <c r="S230" i="3"/>
  <c r="S85" i="3"/>
  <c r="K133" i="3"/>
  <c r="S89" i="3"/>
  <c r="S80" i="3"/>
  <c r="S33" i="3"/>
  <c r="S173" i="3"/>
  <c r="S315" i="3"/>
  <c r="S290" i="3"/>
  <c r="S81" i="3"/>
  <c r="S180" i="3"/>
  <c r="S228" i="3"/>
  <c r="K104" i="3"/>
  <c r="S107" i="3"/>
  <c r="S255" i="3"/>
  <c r="S99" i="3"/>
  <c r="S37" i="3"/>
  <c r="S42" i="3"/>
  <c r="S271" i="3"/>
  <c r="S96" i="3"/>
  <c r="K295" i="3"/>
  <c r="S210" i="3"/>
  <c r="S215" i="3"/>
  <c r="S63" i="3"/>
  <c r="S203" i="3"/>
  <c r="S291" i="3"/>
  <c r="S59" i="3"/>
  <c r="S22" i="3"/>
  <c r="S193" i="3"/>
  <c r="K331" i="3"/>
  <c r="S246" i="3"/>
  <c r="S94" i="3"/>
  <c r="S45" i="3"/>
  <c r="S143" i="3"/>
  <c r="K289" i="3"/>
  <c r="S293" i="3"/>
  <c r="S169" i="3"/>
  <c r="S251" i="3"/>
  <c r="S253" i="3"/>
  <c r="S131" i="3"/>
  <c r="S30" i="3"/>
  <c r="S68" i="3"/>
  <c r="S137" i="3"/>
  <c r="S201" i="3"/>
  <c r="S328" i="3"/>
  <c r="S250" i="3"/>
  <c r="S153" i="3"/>
  <c r="S97" i="3"/>
  <c r="S51" i="3"/>
  <c r="K182" i="3"/>
  <c r="K146" i="3"/>
  <c r="S61" i="3"/>
  <c r="S67" i="3"/>
  <c r="S57" i="3"/>
  <c r="S36" i="3"/>
  <c r="S248" i="3"/>
  <c r="S234" i="3"/>
  <c r="S92" i="3"/>
  <c r="S216" i="3"/>
  <c r="K152" i="3"/>
  <c r="S15" i="3"/>
  <c r="S211" i="3"/>
  <c r="S241" i="3"/>
  <c r="S311" i="3"/>
  <c r="K30" i="3"/>
  <c r="S118" i="3"/>
  <c r="S108" i="3"/>
  <c r="S175" i="3"/>
  <c r="K232" i="3"/>
  <c r="S69" i="3"/>
  <c r="S19" i="3"/>
  <c r="S76" i="3"/>
  <c r="S157" i="3"/>
  <c r="K37" i="3"/>
  <c r="S266" i="3"/>
  <c r="S287" i="3"/>
  <c r="S20" i="3"/>
  <c r="S205" i="3"/>
  <c r="S316" i="3"/>
  <c r="S123" i="3"/>
  <c r="S195" i="3"/>
  <c r="S114" i="3"/>
  <c r="S53" i="3"/>
  <c r="S261" i="3"/>
  <c r="K210" i="3"/>
  <c r="S52" i="3"/>
  <c r="K89" i="3"/>
  <c r="K248" i="3"/>
  <c r="S49" i="3"/>
  <c r="S149" i="3"/>
  <c r="K121" i="3"/>
  <c r="K286" i="3"/>
  <c r="K328" i="3"/>
  <c r="K57" i="3"/>
  <c r="S102" i="3"/>
  <c r="S260" i="3"/>
  <c r="S140" i="3"/>
  <c r="S166" i="3"/>
  <c r="S17" i="3"/>
  <c r="S308" i="3"/>
  <c r="S64" i="3"/>
  <c r="S35" i="3"/>
  <c r="S329" i="3"/>
  <c r="S165" i="3"/>
  <c r="S322" i="3"/>
  <c r="S150" i="3"/>
  <c r="S189" i="3"/>
  <c r="S187" i="3"/>
  <c r="S265" i="3"/>
  <c r="S323" i="3"/>
  <c r="S148" i="3"/>
  <c r="K304" i="3"/>
  <c r="S16" i="3"/>
  <c r="S164" i="3"/>
  <c r="S14" i="3"/>
  <c r="S132" i="3"/>
  <c r="S240" i="3"/>
  <c r="S326" i="3"/>
  <c r="S145" i="3"/>
  <c r="S262" i="3"/>
  <c r="S62" i="3"/>
  <c r="S176" i="3"/>
  <c r="S160" i="3"/>
  <c r="S74" i="3"/>
  <c r="S233" i="3"/>
  <c r="S120" i="3"/>
  <c r="S231" i="3"/>
  <c r="S119" i="3"/>
  <c r="S199" i="3"/>
  <c r="S139" i="3"/>
  <c r="K156" i="3"/>
  <c r="S23" i="3"/>
  <c r="S31" i="3"/>
  <c r="S225" i="3"/>
  <c r="S147" i="3"/>
  <c r="S217" i="3"/>
  <c r="S18" i="3"/>
  <c r="S133" i="3"/>
  <c r="S115" i="3"/>
  <c r="K17" i="3"/>
  <c r="S109" i="3"/>
  <c r="K226" i="3"/>
  <c r="S219" i="3"/>
  <c r="S110" i="3"/>
  <c r="K245" i="3"/>
  <c r="S301" i="3"/>
  <c r="S299" i="3"/>
  <c r="S158" i="3"/>
  <c r="S267" i="3"/>
  <c r="S93" i="3"/>
  <c r="S279" i="3"/>
  <c r="S101" i="3"/>
  <c r="S146" i="3"/>
  <c r="K53" i="3"/>
  <c r="S286" i="3"/>
  <c r="S314" i="3"/>
  <c r="S65" i="3"/>
  <c r="S196" i="3"/>
  <c r="S222" i="3"/>
  <c r="S46" i="3"/>
  <c r="K113" i="3"/>
  <c r="S321" i="3"/>
  <c r="S103" i="3"/>
  <c r="S243" i="3"/>
  <c r="S280" i="3"/>
  <c r="S218" i="3"/>
  <c r="S245" i="3"/>
  <c r="S167" i="3"/>
  <c r="K308" i="3"/>
  <c r="S325" i="3"/>
  <c r="S304" i="3"/>
  <c r="S142" i="3"/>
  <c r="S130" i="3"/>
  <c r="K18" i="3"/>
  <c r="S226" i="3"/>
  <c r="S29" i="3"/>
  <c r="K247" i="3"/>
  <c r="S113" i="3"/>
  <c r="S156" i="3"/>
  <c r="S79" i="3"/>
  <c r="S221" i="3"/>
  <c r="S224" i="3"/>
  <c r="S242" i="3"/>
  <c r="S129" i="3"/>
  <c r="S168" i="3"/>
  <c r="S330" i="3"/>
  <c r="S151" i="3"/>
  <c r="K176" i="3"/>
  <c r="S237" i="3"/>
  <c r="S163" i="3"/>
  <c r="S91" i="3"/>
  <c r="K64" i="3"/>
  <c r="S220" i="3"/>
  <c r="S73" i="3"/>
  <c r="S13" i="3"/>
  <c r="S275" i="3"/>
  <c r="S26" i="3"/>
  <c r="S178" i="3"/>
  <c r="K92" i="3"/>
  <c r="S39" i="3"/>
  <c r="S257" i="3"/>
  <c r="S154" i="3"/>
  <c r="S47" i="3"/>
  <c r="S141" i="3"/>
  <c r="S117" i="3"/>
  <c r="S192" i="3"/>
  <c r="S188" i="3"/>
  <c r="K16" i="3"/>
  <c r="S244" i="3"/>
  <c r="K14" i="3"/>
  <c r="S121" i="3"/>
  <c r="K276" i="3"/>
  <c r="S283" i="3"/>
  <c r="S87" i="3"/>
  <c r="S86" i="3"/>
  <c r="K208" i="3"/>
  <c r="K160" i="3"/>
  <c r="S134" i="3"/>
  <c r="S172" i="3"/>
  <c r="K179" i="3"/>
  <c r="K102" i="3"/>
  <c r="K103" i="3"/>
  <c r="K254" i="3"/>
  <c r="S289" i="3"/>
  <c r="S310" i="3"/>
  <c r="K306" i="3"/>
  <c r="K167" i="3"/>
  <c r="S186" i="3"/>
  <c r="S95" i="3"/>
  <c r="S104" i="3"/>
  <c r="K169" i="3"/>
  <c r="S229" i="3"/>
  <c r="K267" i="3"/>
  <c r="K38" i="3"/>
  <c r="S11" i="3"/>
  <c r="S182" i="3"/>
  <c r="S295" i="3"/>
  <c r="S155" i="3"/>
  <c r="S116" i="3"/>
  <c r="S55" i="3"/>
  <c r="S170" i="3"/>
  <c r="K132" i="3"/>
  <c r="S306" i="3"/>
  <c r="S327" i="3"/>
  <c r="S100" i="3"/>
  <c r="S285" i="3"/>
  <c r="S273" i="3"/>
  <c r="S44" i="3"/>
  <c r="K253" i="3"/>
  <c r="K164" i="3"/>
  <c r="S40" i="3"/>
  <c r="S276" i="3"/>
  <c r="S270" i="3"/>
  <c r="S171" i="3"/>
  <c r="K93" i="3"/>
  <c r="K137" i="3"/>
  <c r="K201" i="3"/>
  <c r="S223" i="3"/>
  <c r="S274" i="3"/>
  <c r="S38" i="3"/>
  <c r="K81" i="3"/>
  <c r="S324" i="3"/>
  <c r="S236" i="3"/>
  <c r="S208" i="3"/>
  <c r="S88" i="3"/>
  <c r="K45" i="3"/>
  <c r="S122" i="3"/>
  <c r="K127" i="3"/>
  <c r="S252" i="3"/>
  <c r="S111" i="3"/>
  <c r="S162" i="3"/>
  <c r="S144" i="3"/>
  <c r="S309" i="3"/>
  <c r="S288" i="3"/>
  <c r="K220" i="3"/>
  <c r="K203" i="3"/>
  <c r="S331" i="3"/>
  <c r="S297" i="3"/>
  <c r="S303" i="3"/>
  <c r="K272" i="3"/>
  <c r="S152" i="3"/>
  <c r="S66" i="3"/>
  <c r="S112" i="3"/>
  <c r="S277" i="3"/>
  <c r="K230" i="3"/>
  <c r="S181" i="3"/>
  <c r="S247" i="3"/>
  <c r="S159" i="3"/>
  <c r="S179" i="3"/>
  <c r="S136" i="3"/>
  <c r="S126" i="3"/>
  <c r="S268" i="3"/>
  <c r="S239" i="3"/>
  <c r="S284" i="3"/>
  <c r="S34" i="3"/>
  <c r="S25" i="3"/>
  <c r="S184" i="3"/>
  <c r="S204" i="3"/>
  <c r="K144" i="3"/>
  <c r="K180" i="3"/>
  <c r="S127" i="3"/>
  <c r="S298" i="3"/>
  <c r="S70" i="3"/>
  <c r="S24" i="3"/>
  <c r="S254" i="3"/>
  <c r="S125" i="3"/>
  <c r="S529" i="3"/>
  <c r="S577" i="3"/>
  <c r="S541" i="3"/>
  <c r="S472" i="3"/>
  <c r="S426" i="3"/>
  <c r="S476" i="3"/>
  <c r="S527" i="3"/>
  <c r="S570" i="3"/>
  <c r="S455" i="3"/>
  <c r="S454" i="3"/>
  <c r="S552" i="3"/>
  <c r="S505" i="3"/>
  <c r="S348" i="3"/>
  <c r="S504" i="3"/>
  <c r="S473" i="3"/>
  <c r="S503" i="3"/>
  <c r="S368" i="3"/>
  <c r="S498" i="3"/>
  <c r="S378" i="3"/>
  <c r="S510" i="3"/>
  <c r="S465" i="3"/>
  <c r="S522" i="3"/>
  <c r="S519" i="3"/>
  <c r="S365" i="3"/>
  <c r="S477" i="3"/>
  <c r="S380" i="3"/>
  <c r="S518" i="3"/>
  <c r="S565" i="3"/>
  <c r="S447" i="3"/>
  <c r="S459" i="3"/>
  <c r="S453" i="3"/>
  <c r="S506" i="3"/>
  <c r="S430" i="3"/>
  <c r="S369" i="3"/>
  <c r="S413" i="3"/>
  <c r="S336" i="3"/>
  <c r="S515" i="3"/>
  <c r="S405" i="3"/>
  <c r="S364" i="3"/>
  <c r="S415" i="3"/>
  <c r="S439" i="3"/>
  <c r="S444" i="3"/>
  <c r="S423" i="3"/>
  <c r="S502" i="3"/>
  <c r="S428" i="3"/>
  <c r="S373" i="3"/>
  <c r="S435" i="3"/>
  <c r="S507" i="3"/>
  <c r="S479" i="3"/>
  <c r="S514" i="3"/>
  <c r="S375" i="3"/>
  <c r="S396" i="3"/>
  <c r="S438" i="3"/>
  <c r="S501" i="3"/>
  <c r="S546" i="3"/>
  <c r="S509" i="3"/>
  <c r="S436" i="3"/>
  <c r="S548" i="3"/>
  <c r="S340" i="3"/>
  <c r="S432" i="3"/>
  <c r="S540" i="3"/>
  <c r="S569" i="3"/>
  <c r="S572" i="3"/>
  <c r="S420" i="3"/>
  <c r="S372" i="3"/>
  <c r="S537" i="3"/>
  <c r="S460" i="3"/>
  <c r="S351" i="3"/>
  <c r="S443" i="3"/>
  <c r="S332" i="3"/>
  <c r="S457" i="3"/>
  <c r="S560" i="3"/>
  <c r="S451" i="3"/>
  <c r="S416" i="3"/>
  <c r="S500" i="3"/>
  <c r="S516" i="3"/>
  <c r="S578" i="3"/>
  <c r="S485" i="3"/>
  <c r="S528" i="3"/>
  <c r="S452" i="3"/>
  <c r="S564" i="3"/>
  <c r="S535" i="3"/>
  <c r="S461" i="3"/>
  <c r="S523" i="3"/>
  <c r="S406" i="3"/>
  <c r="S419" i="3"/>
  <c r="S383" i="3"/>
  <c r="S409" i="3"/>
  <c r="S554" i="3"/>
  <c r="S399" i="3"/>
  <c r="S445" i="3"/>
  <c r="S524" i="3"/>
  <c r="S338" i="3"/>
  <c r="S466" i="3"/>
  <c r="S418" i="3"/>
  <c r="S550" i="3"/>
  <c r="S481" i="3"/>
  <c r="S542" i="3"/>
  <c r="S482" i="3"/>
  <c r="S392" i="3"/>
  <c r="S551" i="3"/>
  <c r="S488" i="3"/>
  <c r="S339" i="3"/>
  <c r="S448" i="3"/>
  <c r="S526" i="3"/>
  <c r="S404" i="3"/>
  <c r="S557" i="3"/>
  <c r="S497" i="3"/>
  <c r="S360" i="3"/>
  <c r="S381" i="3"/>
  <c r="S384" i="3"/>
  <c r="S446" i="3"/>
  <c r="S403" i="3"/>
  <c r="S382" i="3"/>
  <c r="S391" i="3"/>
  <c r="S425" i="3"/>
  <c r="S458" i="3"/>
  <c r="S387" i="3"/>
  <c r="S492" i="3"/>
  <c r="S433" i="3"/>
  <c r="S543" i="3"/>
  <c r="S440" i="3"/>
  <c r="S480" i="3"/>
  <c r="S442" i="3"/>
  <c r="S495" i="3"/>
  <c r="S362" i="3"/>
  <c r="S424" i="3"/>
  <c r="S427" i="3"/>
  <c r="S407" i="3"/>
  <c r="S512" i="3"/>
  <c r="S386" i="3"/>
  <c r="S513" i="3"/>
  <c r="S358" i="3"/>
  <c r="S401" i="3"/>
  <c r="S530" i="3"/>
  <c r="S367" i="3"/>
  <c r="S517" i="3"/>
  <c r="S411" i="3"/>
  <c r="S567" i="3"/>
  <c r="S468" i="3"/>
  <c r="S346" i="3"/>
  <c r="S525" i="3"/>
  <c r="S356" i="3"/>
  <c r="S489" i="3"/>
  <c r="S487" i="3"/>
  <c r="S462" i="3"/>
  <c r="S398" i="3"/>
  <c r="S533" i="3"/>
  <c r="S429" i="3"/>
  <c r="S521" i="3"/>
  <c r="S434" i="3"/>
  <c r="S544" i="3"/>
  <c r="S389" i="3"/>
  <c r="S556" i="3"/>
  <c r="S390" i="3"/>
  <c r="S422" i="3"/>
  <c r="S366" i="3"/>
  <c r="S494" i="3"/>
  <c r="S394" i="3"/>
  <c r="S349" i="3"/>
  <c r="S553" i="3"/>
  <c r="S412" i="3"/>
  <c r="S345" i="3"/>
  <c r="S486" i="3"/>
  <c r="S402" i="3"/>
  <c r="S357" i="3"/>
  <c r="S379" i="3"/>
  <c r="S511" i="3"/>
  <c r="S431" i="3"/>
  <c r="S499" i="3"/>
  <c r="S475" i="3"/>
  <c r="S573" i="3"/>
  <c r="S545" i="3"/>
  <c r="S471" i="3"/>
  <c r="S337" i="3"/>
  <c r="S376" i="3"/>
  <c r="S374" i="3"/>
  <c r="S532" i="3"/>
  <c r="S490" i="3"/>
  <c r="S491" i="3"/>
  <c r="S342" i="3"/>
  <c r="S359" i="3"/>
  <c r="S361" i="3"/>
  <c r="S334" i="3"/>
  <c r="S559" i="3"/>
  <c r="S469" i="3"/>
  <c r="S549" i="3"/>
  <c r="S441" i="3"/>
  <c r="S531" i="3"/>
  <c r="S470" i="3"/>
  <c r="S568" i="3"/>
  <c r="S563" i="3"/>
  <c r="S350" i="3"/>
  <c r="S363" i="3"/>
  <c r="S574" i="3"/>
  <c r="S410" i="3"/>
  <c r="S377" i="3"/>
  <c r="S561" i="3"/>
  <c r="S534" i="3"/>
  <c r="S449" i="3"/>
  <c r="S493" i="3"/>
  <c r="S341" i="3"/>
  <c r="S354" i="3"/>
  <c r="S538" i="3"/>
  <c r="S450" i="3"/>
  <c r="S335" i="3"/>
  <c r="S467" i="3"/>
  <c r="S484" i="3"/>
  <c r="S539" i="3"/>
  <c r="S464" i="3"/>
  <c r="S463" i="3"/>
  <c r="S478" i="3"/>
  <c r="S417" i="3"/>
  <c r="S496" i="3"/>
  <c r="S370" i="3"/>
  <c r="S397" i="3"/>
  <c r="S437" i="3"/>
  <c r="S395" i="3"/>
  <c r="S520" i="3"/>
  <c r="S562" i="3"/>
  <c r="S333" i="3"/>
  <c r="S483" i="3"/>
  <c r="S353" i="3"/>
  <c r="S347" i="3"/>
  <c r="S571" i="3"/>
  <c r="S566" i="3"/>
  <c r="S352" i="3"/>
  <c r="S575" i="3"/>
  <c r="S344" i="3"/>
  <c r="S371" i="3"/>
  <c r="S388" i="3"/>
  <c r="S508" i="3"/>
  <c r="S558" i="3"/>
  <c r="S555" i="3"/>
  <c r="S421" i="3"/>
  <c r="S576" i="3"/>
  <c r="S385" i="3"/>
  <c r="S393" i="3"/>
  <c r="S408" i="3"/>
  <c r="S536" i="3"/>
  <c r="S343" i="3"/>
  <c r="S414" i="3"/>
  <c r="S355" i="3"/>
  <c r="S547" i="3"/>
  <c r="S400" i="3"/>
  <c r="S456" i="3"/>
  <c r="S474" i="3"/>
  <c r="P16" i="4"/>
  <c r="P4" i="4" s="1"/>
  <c r="E196" i="4" a="1"/>
  <c r="E196" i="4" s="1"/>
  <c r="E14" i="4" a="1"/>
  <c r="E14" i="4" s="1"/>
  <c r="E141" i="4" a="1"/>
  <c r="E141" i="4" s="1"/>
  <c r="K352" i="3"/>
  <c r="K428" i="3"/>
  <c r="F47" i="4" s="1" a="1"/>
  <c r="F47" i="4" s="1"/>
  <c r="E9" i="4" a="1"/>
  <c r="E9" i="4" s="1"/>
  <c r="K499" i="3"/>
  <c r="F118" i="4" s="1" a="1"/>
  <c r="F118" i="4" s="1"/>
  <c r="K495" i="3"/>
  <c r="F114" i="4" s="1" a="1"/>
  <c r="F114" i="4" s="1"/>
  <c r="K339" i="3"/>
  <c r="K358" i="3"/>
  <c r="K353" i="3"/>
  <c r="K403" i="3"/>
  <c r="F22" i="4" s="1" a="1"/>
  <c r="F22" i="4" s="1"/>
  <c r="E5" i="4" a="1"/>
  <c r="E5" i="4" s="1"/>
  <c r="E3" i="4" a="1"/>
  <c r="E3" i="4" s="1"/>
  <c r="K430" i="3"/>
  <c r="F49" i="4" s="1" a="1"/>
  <c r="F49" i="4" s="1"/>
  <c r="K359" i="3"/>
  <c r="K363" i="3"/>
  <c r="K408" i="3"/>
  <c r="F27" i="4" s="1" a="1"/>
  <c r="F27" i="4" s="1"/>
  <c r="K351" i="3"/>
  <c r="E4" i="4" a="1"/>
  <c r="E4" i="4" s="1"/>
  <c r="K510" i="3"/>
  <c r="F129" i="4" s="1" a="1"/>
  <c r="F129" i="4" s="1"/>
  <c r="E99" i="4" a="1"/>
  <c r="E99" i="4" s="1"/>
  <c r="K368" i="3"/>
  <c r="E183" i="4" a="1"/>
  <c r="E183" i="4" s="1"/>
  <c r="K563" i="3"/>
  <c r="F182" i="4" s="1" a="1"/>
  <c r="F182" i="4" s="1"/>
  <c r="K465" i="3"/>
  <c r="F84" i="4" s="1" a="1"/>
  <c r="F84" i="4" s="1"/>
  <c r="K356" i="3"/>
  <c r="E140" i="4" a="1"/>
  <c r="E140" i="4" s="1"/>
  <c r="K512" i="3"/>
  <c r="F131" i="4" s="1" a="1"/>
  <c r="F131" i="4" s="1"/>
  <c r="K561" i="3"/>
  <c r="F180" i="4" s="1" a="1"/>
  <c r="F180" i="4" s="1"/>
  <c r="E127" i="4" a="1"/>
  <c r="E127" i="4" s="1"/>
  <c r="K544" i="3"/>
  <c r="F163" i="4" s="1" a="1"/>
  <c r="F163" i="4" s="1"/>
  <c r="K381" i="3"/>
  <c r="K367" i="3"/>
  <c r="K497" i="3"/>
  <c r="F116" i="4" s="1" a="1"/>
  <c r="F116" i="4" s="1"/>
  <c r="K422" i="3"/>
  <c r="F41" i="4" s="1" a="1"/>
  <c r="F41" i="4" s="1"/>
  <c r="K449" i="3"/>
  <c r="F68" i="4" s="1" a="1"/>
  <c r="F68" i="4" s="1"/>
  <c r="K562" i="3"/>
  <c r="F181" i="4" s="1" a="1"/>
  <c r="F181" i="4" s="1"/>
  <c r="K366" i="3"/>
  <c r="E13" i="4" a="1"/>
  <c r="E13" i="4" s="1"/>
  <c r="K538" i="3"/>
  <c r="F157" i="4" s="1" a="1"/>
  <c r="F157" i="4" s="1"/>
  <c r="E11" i="4" a="1"/>
  <c r="E11" i="4" s="1"/>
  <c r="K379" i="3"/>
  <c r="E91" i="4" a="1"/>
  <c r="E91" i="4" s="1"/>
  <c r="K524" i="3"/>
  <c r="F143" i="4" s="1" a="1"/>
  <c r="F143" i="4" s="1"/>
  <c r="K536" i="3"/>
  <c r="F155" i="4" s="1" a="1"/>
  <c r="F155" i="4" s="1"/>
  <c r="E78" i="4" a="1"/>
  <c r="E78" i="4" s="1"/>
  <c r="K507" i="3"/>
  <c r="F126" i="4" s="1" a="1"/>
  <c r="F126" i="4" s="1"/>
  <c r="K477" i="3"/>
  <c r="F96" i="4" s="1" a="1"/>
  <c r="F96" i="4" s="1"/>
  <c r="K552" i="3"/>
  <c r="F171" i="4" s="1" a="1"/>
  <c r="F171" i="4" s="1"/>
  <c r="K469" i="3"/>
  <c r="F88" i="4" s="1" a="1"/>
  <c r="F88" i="4" s="1"/>
  <c r="K572" i="3"/>
  <c r="F191" i="4" s="1" a="1"/>
  <c r="F191" i="4" s="1"/>
  <c r="K341" i="3"/>
  <c r="K506" i="3"/>
  <c r="F125" i="4" s="1" a="1"/>
  <c r="F125" i="4" s="1"/>
  <c r="E25" i="4" a="1"/>
  <c r="E25" i="4" s="1"/>
  <c r="E48" i="4" a="1"/>
  <c r="E48" i="4" s="1"/>
  <c r="E33" i="4" a="1"/>
  <c r="E33" i="4" s="1"/>
  <c r="K355" i="3"/>
  <c r="K357" i="3"/>
  <c r="K371" i="3"/>
  <c r="E118" i="4" a="1"/>
  <c r="E118" i="4" s="1"/>
  <c r="E147" i="4" a="1"/>
  <c r="E147" i="4" s="1"/>
  <c r="K503" i="3"/>
  <c r="F122" i="4" s="1" a="1"/>
  <c r="F122" i="4" s="1"/>
  <c r="E122" i="4" a="1"/>
  <c r="E122" i="4" s="1"/>
  <c r="E187" i="4" a="1"/>
  <c r="E187" i="4" s="1"/>
  <c r="K529" i="3"/>
  <c r="F148" i="4" s="1" a="1"/>
  <c r="F148" i="4" s="1"/>
  <c r="E148" i="4" a="1"/>
  <c r="E148" i="4" s="1"/>
  <c r="K348" i="3"/>
  <c r="E12" i="4" a="1"/>
  <c r="E12" i="4" s="1"/>
  <c r="K380" i="3"/>
  <c r="K332" i="3"/>
  <c r="K452" i="3"/>
  <c r="F71" i="4" s="1" a="1"/>
  <c r="F71" i="4" s="1"/>
  <c r="E71" i="4" a="1"/>
  <c r="E71" i="4" s="1"/>
  <c r="E80" i="4" a="1"/>
  <c r="E80" i="4" s="1"/>
  <c r="K501" i="3"/>
  <c r="F120" i="4" s="1" a="1"/>
  <c r="F120" i="4" s="1"/>
  <c r="E120" i="4" a="1"/>
  <c r="E120" i="4" s="1"/>
  <c r="K376" i="3"/>
  <c r="E129" i="4" a="1"/>
  <c r="E129" i="4" s="1"/>
  <c r="K335" i="3"/>
  <c r="E88" i="4" a="1"/>
  <c r="E88" i="4" s="1"/>
  <c r="K551" i="3"/>
  <c r="F170" i="4" s="1" a="1"/>
  <c r="F170" i="4" s="1"/>
  <c r="E170" i="4" a="1"/>
  <c r="E170" i="4" s="1"/>
  <c r="E61" i="4" a="1"/>
  <c r="E61" i="4" s="1"/>
  <c r="K377" i="3"/>
  <c r="K361" i="3"/>
  <c r="E8" i="4" a="1"/>
  <c r="E8" i="4" s="1"/>
  <c r="K511" i="3"/>
  <c r="F130" i="4" s="1" a="1"/>
  <c r="F130" i="4" s="1"/>
  <c r="E130" i="4" a="1"/>
  <c r="E130" i="4" s="1"/>
  <c r="K372" i="3"/>
  <c r="K382" i="3"/>
  <c r="E10" i="4" a="1"/>
  <c r="E10" i="4" s="1"/>
  <c r="E139" i="4" a="1"/>
  <c r="E139" i="4" s="1"/>
  <c r="K416" i="3"/>
  <c r="F35" i="4" s="1" a="1"/>
  <c r="F35" i="4" s="1"/>
  <c r="E35" i="4" a="1"/>
  <c r="E35" i="4" s="1"/>
  <c r="K365" i="3"/>
  <c r="E180" i="4" a="1"/>
  <c r="E180" i="4" s="1"/>
  <c r="K401" i="3"/>
  <c r="F20" i="4" s="1" a="1"/>
  <c r="F20" i="4" s="1"/>
  <c r="E20" i="4" a="1"/>
  <c r="E20" i="4" s="1"/>
  <c r="E163" i="4" a="1"/>
  <c r="E163" i="4" s="1"/>
  <c r="E41" i="4" a="1"/>
  <c r="E41" i="4" s="1"/>
  <c r="K475" i="3"/>
  <c r="F94" i="4" s="1" a="1"/>
  <c r="F94" i="4" s="1"/>
  <c r="E94" i="4" a="1"/>
  <c r="E94" i="4" s="1"/>
  <c r="E68" i="4" a="1"/>
  <c r="E68" i="4" s="1"/>
  <c r="K514" i="3"/>
  <c r="F133" i="4" s="1" a="1"/>
  <c r="F133" i="4" s="1"/>
  <c r="E133" i="4" a="1"/>
  <c r="E133" i="4" s="1"/>
  <c r="E182" i="4" a="1"/>
  <c r="E182" i="4" s="1"/>
  <c r="E114" i="4" a="1"/>
  <c r="E114" i="4" s="1"/>
  <c r="E200" i="4"/>
  <c r="D200" i="4"/>
  <c r="E7" i="4" a="1"/>
  <c r="E7" i="4" s="1"/>
  <c r="K336" i="3"/>
  <c r="K523" i="3"/>
  <c r="F142" i="4" s="1" a="1"/>
  <c r="F142" i="4" s="1"/>
  <c r="E142" i="4" a="1"/>
  <c r="E142" i="4" s="1"/>
  <c r="K349" i="3"/>
  <c r="K485" i="3"/>
  <c r="F104" i="4" s="1" a="1"/>
  <c r="F104" i="4" s="1"/>
  <c r="E104" i="4" a="1"/>
  <c r="E104" i="4" s="1"/>
  <c r="K500" i="3"/>
  <c r="F119" i="4" s="1" a="1"/>
  <c r="F119" i="4" s="1"/>
  <c r="E119" i="4" a="1"/>
  <c r="E119" i="4" s="1"/>
  <c r="E17" i="4" a="1"/>
  <c r="E17" i="4" s="1"/>
  <c r="K515" i="3"/>
  <c r="F134" i="4" s="1" a="1"/>
  <c r="F134" i="4" s="1"/>
  <c r="E134" i="4" a="1"/>
  <c r="E134" i="4" s="1"/>
  <c r="K347" i="3"/>
  <c r="K383" i="3"/>
  <c r="K385" i="3"/>
  <c r="F4" i="4" s="1" a="1"/>
  <c r="F4" i="4" s="1"/>
  <c r="K364" i="3"/>
  <c r="K375" i="3"/>
  <c r="E84" i="4" a="1"/>
  <c r="E84" i="4" s="1"/>
  <c r="K395" i="3"/>
  <c r="F14" i="4" s="1" a="1"/>
  <c r="F14" i="4" s="1"/>
  <c r="K409" i="3"/>
  <c r="F28" i="4" s="1" a="1"/>
  <c r="F28" i="4" s="1"/>
  <c r="E28" i="4" a="1"/>
  <c r="E28" i="4" s="1"/>
  <c r="K431" i="3"/>
  <c r="F50" i="4" s="1" a="1"/>
  <c r="F50" i="4" s="1"/>
  <c r="E50" i="4" a="1"/>
  <c r="E50" i="4" s="1"/>
  <c r="K535" i="3"/>
  <c r="F154" i="4" s="1" a="1"/>
  <c r="F154" i="4" s="1"/>
  <c r="E154" i="4" a="1"/>
  <c r="E154" i="4" s="1"/>
  <c r="K346" i="3"/>
  <c r="K378" i="3"/>
  <c r="K553" i="3"/>
  <c r="F172" i="4" s="1" a="1"/>
  <c r="F172" i="4" s="1"/>
  <c r="E172" i="4" a="1"/>
  <c r="E172" i="4" s="1"/>
  <c r="K345" i="3"/>
  <c r="K342" i="3"/>
  <c r="E15" i="4" a="1"/>
  <c r="E15" i="4" s="1"/>
  <c r="E16" i="4" a="1"/>
  <c r="E16" i="4" s="1"/>
  <c r="K574" i="3"/>
  <c r="F193" i="4" s="1" a="1"/>
  <c r="F193" i="4" s="1"/>
  <c r="E193" i="4" a="1"/>
  <c r="E193" i="4" s="1"/>
  <c r="K390" i="3"/>
  <c r="F9" i="4" s="1" a="1"/>
  <c r="F9" i="4" s="1"/>
  <c r="K517" i="3"/>
  <c r="F136" i="4" s="1" a="1"/>
  <c r="F136" i="4" s="1"/>
  <c r="E136" i="4" a="1"/>
  <c r="E136" i="4" s="1"/>
  <c r="E27" i="4" a="1"/>
  <c r="E27" i="4" s="1"/>
  <c r="E157" i="4" a="1"/>
  <c r="E157" i="4" s="1"/>
  <c r="K441" i="3"/>
  <c r="F60" i="4" s="1" a="1"/>
  <c r="F60" i="4" s="1"/>
  <c r="E60" i="4" a="1"/>
  <c r="E60" i="4" s="1"/>
  <c r="K410" i="3"/>
  <c r="F29" i="4" s="1" a="1"/>
  <c r="F29" i="4" s="1"/>
  <c r="E29" i="4" a="1"/>
  <c r="E29" i="4" s="1"/>
  <c r="K333" i="3"/>
  <c r="K533" i="3"/>
  <c r="F152" i="4" s="1" a="1"/>
  <c r="F152" i="4" s="1"/>
  <c r="E152" i="4" a="1"/>
  <c r="E152" i="4" s="1"/>
  <c r="K541" i="3"/>
  <c r="F160" i="4" s="1" a="1"/>
  <c r="F160" i="4" s="1"/>
  <c r="E160" i="4" a="1"/>
  <c r="E160" i="4" s="1"/>
  <c r="K498" i="3"/>
  <c r="F117" i="4" s="1" a="1"/>
  <c r="F117" i="4" s="1"/>
  <c r="E117" i="4" a="1"/>
  <c r="E117" i="4" s="1"/>
  <c r="K370" i="3"/>
  <c r="K374" i="3"/>
  <c r="E116" i="4" a="1"/>
  <c r="E116" i="4" s="1"/>
  <c r="K570" i="3"/>
  <c r="F189" i="4" s="1" a="1"/>
  <c r="F189" i="4" s="1"/>
  <c r="E189" i="4" a="1"/>
  <c r="E189" i="4" s="1"/>
  <c r="K425" i="3"/>
  <c r="F44" i="4" s="1" a="1"/>
  <c r="F44" i="4" s="1"/>
  <c r="E44" i="4" a="1"/>
  <c r="E44" i="4" s="1"/>
  <c r="K360" i="3"/>
  <c r="K340" i="3"/>
  <c r="K471" i="3"/>
  <c r="F90" i="4" s="1" a="1"/>
  <c r="F90" i="4" s="1"/>
  <c r="E90" i="4" a="1"/>
  <c r="E90" i="4" s="1"/>
  <c r="K488" i="3"/>
  <c r="F107" i="4" s="1" a="1"/>
  <c r="F107" i="4" s="1"/>
  <c r="E107" i="4" a="1"/>
  <c r="E107" i="4" s="1"/>
  <c r="K451" i="3"/>
  <c r="F70" i="4" s="1" a="1"/>
  <c r="F70" i="4" s="1"/>
  <c r="E70" i="4" a="1"/>
  <c r="E70" i="4" s="1"/>
  <c r="K337" i="3"/>
  <c r="K473" i="3"/>
  <c r="F92" i="4" s="1" a="1"/>
  <c r="F92" i="4" s="1"/>
  <c r="E92" i="4" a="1"/>
  <c r="E92" i="4" s="1"/>
  <c r="K504" i="3"/>
  <c r="F123" i="4" s="1" a="1"/>
  <c r="F123" i="4" s="1"/>
  <c r="E123" i="4" a="1"/>
  <c r="E123" i="4" s="1"/>
  <c r="K334" i="3"/>
  <c r="K407" i="3"/>
  <c r="F26" i="4" s="1" a="1"/>
  <c r="F26" i="4" s="1"/>
  <c r="E26" i="4" a="1"/>
  <c r="E26" i="4" s="1"/>
  <c r="K344" i="3"/>
  <c r="K386" i="3"/>
  <c r="F5" i="4" s="1" a="1"/>
  <c r="F5" i="4" s="1"/>
  <c r="K369" i="3"/>
  <c r="K456" i="3"/>
  <c r="F75" i="4" s="1" a="1"/>
  <c r="F75" i="4" s="1"/>
  <c r="E75" i="4" a="1"/>
  <c r="E75" i="4" s="1"/>
  <c r="K338" i="3"/>
  <c r="E22" i="4" a="1"/>
  <c r="E22" i="4" s="1"/>
  <c r="K373" i="3"/>
  <c r="K343" i="3"/>
  <c r="G196" i="4" l="1"/>
  <c r="E155" i="4" a="1"/>
  <c r="E155" i="4" s="1"/>
  <c r="G155" i="4" s="1"/>
  <c r="H155" i="4" s="1"/>
  <c r="G4" i="4"/>
  <c r="H4" i="4" s="1"/>
  <c r="G5" i="4"/>
  <c r="H5" i="4" s="1"/>
  <c r="K508" i="3"/>
  <c r="F127" i="4" s="1" a="1"/>
  <c r="F127" i="4" s="1"/>
  <c r="G127" i="4" s="1"/>
  <c r="H127" i="4" s="1"/>
  <c r="K394" i="3"/>
  <c r="F13" i="4" s="1" a="1"/>
  <c r="F13" i="4" s="1"/>
  <c r="G13" i="4" s="1"/>
  <c r="H13" i="4" s="1"/>
  <c r="E131" i="4" a="1"/>
  <c r="E131" i="4" s="1"/>
  <c r="G131" i="4" s="1"/>
  <c r="H131" i="4" s="1"/>
  <c r="K387" i="3"/>
  <c r="F6" i="4" s="1" a="1"/>
  <c r="F6" i="4" s="1"/>
  <c r="E6" i="4" a="1"/>
  <c r="E6" i="4" s="1"/>
  <c r="K384" i="3"/>
  <c r="F3" i="4" s="1" a="1"/>
  <c r="F3" i="4" s="1"/>
  <c r="G3" i="4" s="1"/>
  <c r="G9" i="4"/>
  <c r="H9" i="4" s="1"/>
  <c r="G14" i="4"/>
  <c r="H14" i="4" s="1"/>
  <c r="G157" i="4"/>
  <c r="H157" i="4" s="1"/>
  <c r="G130" i="4"/>
  <c r="G170" i="4"/>
  <c r="G71" i="4"/>
  <c r="E21" i="4" a="1"/>
  <c r="E21" i="4" s="1"/>
  <c r="G21" i="4" s="1"/>
  <c r="H21" i="4" s="1"/>
  <c r="G90" i="4"/>
  <c r="H90" i="4" s="1"/>
  <c r="G152" i="4"/>
  <c r="H152" i="4" s="1"/>
  <c r="G116" i="4"/>
  <c r="G27" i="4"/>
  <c r="G28" i="4"/>
  <c r="G94" i="4"/>
  <c r="H94" i="4" s="1"/>
  <c r="G180" i="4"/>
  <c r="H180" i="4" s="1"/>
  <c r="G107" i="4"/>
  <c r="G75" i="4"/>
  <c r="G123" i="4"/>
  <c r="H123" i="4" s="1"/>
  <c r="G136" i="4"/>
  <c r="G172" i="4"/>
  <c r="G35" i="4"/>
  <c r="G41" i="4"/>
  <c r="G117" i="4"/>
  <c r="H117" i="4" s="1"/>
  <c r="G26" i="4"/>
  <c r="G44" i="4"/>
  <c r="H44" i="4" s="1"/>
  <c r="G139" i="4"/>
  <c r="H139" i="4" s="1"/>
  <c r="G118" i="4"/>
  <c r="G154" i="4"/>
  <c r="G134" i="4"/>
  <c r="G163" i="4"/>
  <c r="H163" i="4" s="1"/>
  <c r="G120" i="4"/>
  <c r="G148" i="4"/>
  <c r="H148" i="4" s="1"/>
  <c r="G29" i="4"/>
  <c r="G104" i="4"/>
  <c r="H104" i="4" s="1"/>
  <c r="G68" i="4"/>
  <c r="H68" i="4" s="1"/>
  <c r="G122" i="4"/>
  <c r="H122" i="4" s="1"/>
  <c r="G193" i="4"/>
  <c r="H193" i="4" s="1"/>
  <c r="G114" i="4"/>
  <c r="H114" i="4" s="1"/>
  <c r="G20" i="4"/>
  <c r="G189" i="4"/>
  <c r="H189" i="4" s="1"/>
  <c r="G160" i="4"/>
  <c r="H160" i="4" s="1"/>
  <c r="G119" i="4"/>
  <c r="H119" i="4" s="1"/>
  <c r="G129" i="4"/>
  <c r="H129" i="4" s="1"/>
  <c r="G187" i="4"/>
  <c r="H187" i="4" s="1"/>
  <c r="G147" i="4"/>
  <c r="H147" i="4" s="1"/>
  <c r="G60" i="4"/>
  <c r="H60" i="4" s="1"/>
  <c r="G182" i="4"/>
  <c r="H182" i="4" s="1"/>
  <c r="G88" i="4"/>
  <c r="G80" i="4"/>
  <c r="H80" i="4" s="1"/>
  <c r="G92" i="4"/>
  <c r="G70" i="4"/>
  <c r="G50" i="4"/>
  <c r="H50" i="4" s="1"/>
  <c r="G84" i="4"/>
  <c r="H84" i="4" s="1"/>
  <c r="G142" i="4"/>
  <c r="G61" i="4"/>
  <c r="G133" i="4"/>
  <c r="H133" i="4" s="1"/>
  <c r="G22" i="4"/>
  <c r="H22" i="4" s="1"/>
  <c r="H196" i="4"/>
  <c r="E96" i="4" a="1"/>
  <c r="E96" i="4" s="1"/>
  <c r="E181" i="4" a="1"/>
  <c r="E181" i="4" s="1"/>
  <c r="E168" i="4" a="1"/>
  <c r="E168" i="4" s="1"/>
  <c r="E56" i="4" a="1"/>
  <c r="E56" i="4" s="1"/>
  <c r="K414" i="3"/>
  <c r="F33" i="4" s="1" a="1"/>
  <c r="F33" i="4" s="1"/>
  <c r="G33" i="4" s="1"/>
  <c r="K429" i="3"/>
  <c r="F48" i="4" s="1" a="1"/>
  <c r="F48" i="4" s="1"/>
  <c r="E171" i="4" a="1"/>
  <c r="E171" i="4" s="1"/>
  <c r="G171" i="4" s="1"/>
  <c r="E47" i="4" a="1"/>
  <c r="E47" i="4" s="1"/>
  <c r="K480" i="3"/>
  <c r="F99" i="4" s="1" a="1"/>
  <c r="F99" i="4" s="1"/>
  <c r="K522" i="3"/>
  <c r="F141" i="4" s="1" a="1"/>
  <c r="F141" i="4" s="1"/>
  <c r="G141" i="4" s="1"/>
  <c r="K521" i="3"/>
  <c r="F140" i="4" s="1" a="1"/>
  <c r="F140" i="4" s="1"/>
  <c r="G140" i="4" s="1"/>
  <c r="K564" i="3"/>
  <c r="F183" i="4" s="1" a="1"/>
  <c r="F183" i="4" s="1"/>
  <c r="E191" i="4" a="1"/>
  <c r="E191" i="4" s="1"/>
  <c r="G191" i="4" s="1"/>
  <c r="E49" i="4" a="1"/>
  <c r="E49" i="4" s="1"/>
  <c r="G49" i="4" s="1"/>
  <c r="E126" i="4" a="1"/>
  <c r="E126" i="4" s="1"/>
  <c r="K406" i="3"/>
  <c r="F25" i="4" s="1" a="1"/>
  <c r="F25" i="4" s="1"/>
  <c r="E125" i="4" a="1"/>
  <c r="E125" i="4" s="1"/>
  <c r="G125" i="4" s="1"/>
  <c r="K459" i="3"/>
  <c r="F78" i="4" s="1" a="1"/>
  <c r="F78" i="4" s="1"/>
  <c r="E93" i="4" a="1"/>
  <c r="E93" i="4" s="1"/>
  <c r="G93" i="4" s="1"/>
  <c r="H134" i="4"/>
  <c r="H20" i="4"/>
  <c r="H75" i="4"/>
  <c r="E143" i="4" a="1"/>
  <c r="E143" i="4" s="1"/>
  <c r="K472" i="3"/>
  <c r="F91" i="4" s="1" a="1"/>
  <c r="F91" i="4" s="1"/>
  <c r="H136" i="4"/>
  <c r="H172" i="4"/>
  <c r="E135" i="4" a="1"/>
  <c r="E135" i="4" s="1"/>
  <c r="K516" i="3"/>
  <c r="F135" i="4" s="1" a="1"/>
  <c r="F135" i="4" s="1"/>
  <c r="H28" i="4"/>
  <c r="K392" i="3"/>
  <c r="F11" i="4" s="1" a="1"/>
  <c r="F11" i="4" s="1"/>
  <c r="G11" i="4" s="1"/>
  <c r="H11" i="4" s="1"/>
  <c r="K531" i="3"/>
  <c r="F150" i="4" s="1" a="1"/>
  <c r="F150" i="4" s="1"/>
  <c r="E150" i="4" a="1"/>
  <c r="E150" i="4" s="1"/>
  <c r="K526" i="3"/>
  <c r="F145" i="4" s="1" a="1"/>
  <c r="F145" i="4" s="1"/>
  <c r="E145" i="4" a="1"/>
  <c r="E145" i="4" s="1"/>
  <c r="K532" i="3"/>
  <c r="F151" i="4" s="1" a="1"/>
  <c r="F151" i="4" s="1"/>
  <c r="E151" i="4" a="1"/>
  <c r="E151" i="4" s="1"/>
  <c r="K436" i="3"/>
  <c r="F55" i="4" s="1" a="1"/>
  <c r="F55" i="4" s="1"/>
  <c r="E55" i="4" a="1"/>
  <c r="E55" i="4" s="1"/>
  <c r="K573" i="3"/>
  <c r="F192" i="4" s="1" a="1"/>
  <c r="F192" i="4" s="1"/>
  <c r="E192" i="4" a="1"/>
  <c r="E192" i="4" s="1"/>
  <c r="K434" i="3"/>
  <c r="F53" i="4" s="1" a="1"/>
  <c r="F53" i="4" s="1"/>
  <c r="E53" i="4" a="1"/>
  <c r="E53" i="4" s="1"/>
  <c r="K457" i="3"/>
  <c r="F76" i="4" s="1" a="1"/>
  <c r="F76" i="4" s="1"/>
  <c r="E76" i="4" a="1"/>
  <c r="E76" i="4" s="1"/>
  <c r="H70" i="4"/>
  <c r="K555" i="3"/>
  <c r="F174" i="4" s="1" a="1"/>
  <c r="F174" i="4" s="1"/>
  <c r="E174" i="4" a="1"/>
  <c r="E174" i="4" s="1"/>
  <c r="K484" i="3"/>
  <c r="F103" i="4" s="1" a="1"/>
  <c r="F103" i="4" s="1"/>
  <c r="E103" i="4" a="1"/>
  <c r="E103" i="4" s="1"/>
  <c r="K476" i="3"/>
  <c r="F95" i="4" s="1" a="1"/>
  <c r="F95" i="4" s="1"/>
  <c r="E95" i="4" a="1"/>
  <c r="E95" i="4" s="1"/>
  <c r="K398" i="3"/>
  <c r="F17" i="4" s="1" a="1"/>
  <c r="F17" i="4" s="1"/>
  <c r="G17" i="4" s="1"/>
  <c r="H17" i="4" s="1"/>
  <c r="K478" i="3"/>
  <c r="F97" i="4" s="1" a="1"/>
  <c r="F97" i="4" s="1"/>
  <c r="E97" i="4" a="1"/>
  <c r="E97" i="4" s="1"/>
  <c r="K566" i="3"/>
  <c r="F185" i="4" s="1" a="1"/>
  <c r="F185" i="4" s="1"/>
  <c r="E185" i="4" a="1"/>
  <c r="E185" i="4" s="1"/>
  <c r="K399" i="3"/>
  <c r="F18" i="4" s="1" a="1"/>
  <c r="F18" i="4" s="1"/>
  <c r="E18" i="4" a="1"/>
  <c r="E18" i="4" s="1"/>
  <c r="H120" i="4"/>
  <c r="H118" i="4"/>
  <c r="K397" i="3"/>
  <c r="F16" i="4" s="1" a="1"/>
  <c r="F16" i="4" s="1"/>
  <c r="G16" i="4" s="1"/>
  <c r="H16" i="4" s="1"/>
  <c r="K491" i="3"/>
  <c r="F110" i="4" s="1" a="1"/>
  <c r="F110" i="4" s="1"/>
  <c r="E110" i="4" a="1"/>
  <c r="E110" i="4" s="1"/>
  <c r="K492" i="3"/>
  <c r="F111" i="4" s="1" a="1"/>
  <c r="F111" i="4" s="1"/>
  <c r="E111" i="4" a="1"/>
  <c r="E111" i="4" s="1"/>
  <c r="K556" i="3"/>
  <c r="F175" i="4" s="1" a="1"/>
  <c r="F175" i="4" s="1"/>
  <c r="E175" i="4" a="1"/>
  <c r="E175" i="4" s="1"/>
  <c r="K530" i="3"/>
  <c r="F149" i="4" s="1" a="1"/>
  <c r="F149" i="4" s="1"/>
  <c r="E149" i="4" a="1"/>
  <c r="E149" i="4" s="1"/>
  <c r="K493" i="3"/>
  <c r="F112" i="4" s="1" a="1"/>
  <c r="F112" i="4" s="1"/>
  <c r="E112" i="4" a="1"/>
  <c r="E112" i="4" s="1"/>
  <c r="K557" i="3"/>
  <c r="F176" i="4" s="1" a="1"/>
  <c r="F176" i="4" s="1"/>
  <c r="E176" i="4" a="1"/>
  <c r="E176" i="4" s="1"/>
  <c r="K419" i="3"/>
  <c r="F38" i="4" s="1" a="1"/>
  <c r="F38" i="4" s="1"/>
  <c r="E38" i="4" a="1"/>
  <c r="E38" i="4" s="1"/>
  <c r="K486" i="3"/>
  <c r="F105" i="4" s="1" a="1"/>
  <c r="F105" i="4" s="1"/>
  <c r="E105" i="4" a="1"/>
  <c r="E105" i="4" s="1"/>
  <c r="K435" i="3"/>
  <c r="F54" i="4" s="1" a="1"/>
  <c r="F54" i="4" s="1"/>
  <c r="E54" i="4" a="1"/>
  <c r="E54" i="4" s="1"/>
  <c r="K540" i="3"/>
  <c r="F159" i="4" s="1" a="1"/>
  <c r="F159" i="4" s="1"/>
  <c r="E159" i="4" a="1"/>
  <c r="E159" i="4" s="1"/>
  <c r="K467" i="3"/>
  <c r="F86" i="4" s="1" a="1"/>
  <c r="F86" i="4" s="1"/>
  <c r="E86" i="4" a="1"/>
  <c r="E86" i="4" s="1"/>
  <c r="K543" i="3"/>
  <c r="F162" i="4" s="1" a="1"/>
  <c r="F162" i="4" s="1"/>
  <c r="E162" i="4" a="1"/>
  <c r="E162" i="4" s="1"/>
  <c r="K455" i="3"/>
  <c r="F74" i="4" s="1" a="1"/>
  <c r="F74" i="4" s="1"/>
  <c r="E74" i="4" a="1"/>
  <c r="E74" i="4" s="1"/>
  <c r="K560" i="3"/>
  <c r="F179" i="4" s="1" a="1"/>
  <c r="F179" i="4" s="1"/>
  <c r="E179" i="4" a="1"/>
  <c r="E179" i="4" s="1"/>
  <c r="K458" i="3"/>
  <c r="F77" i="4" s="1" a="1"/>
  <c r="F77" i="4" s="1"/>
  <c r="E77" i="4" a="1"/>
  <c r="E77" i="4" s="1"/>
  <c r="K502" i="3"/>
  <c r="F121" i="4" s="1" a="1"/>
  <c r="F121" i="4" s="1"/>
  <c r="E121" i="4" a="1"/>
  <c r="E121" i="4" s="1"/>
  <c r="K550" i="3"/>
  <c r="F169" i="4" s="1" a="1"/>
  <c r="F169" i="4" s="1"/>
  <c r="E169" i="4" a="1"/>
  <c r="E169" i="4" s="1"/>
  <c r="K565" i="3"/>
  <c r="F184" i="4" s="1" a="1"/>
  <c r="F184" i="4" s="1"/>
  <c r="E184" i="4" a="1"/>
  <c r="E184" i="4" s="1"/>
  <c r="K393" i="3"/>
  <c r="F12" i="4" s="1" a="1"/>
  <c r="F12" i="4" s="1"/>
  <c r="G12" i="4" s="1"/>
  <c r="H12" i="4" s="1"/>
  <c r="K534" i="3"/>
  <c r="F153" i="4" s="1" a="1"/>
  <c r="F153" i="4" s="1"/>
  <c r="E153" i="4" a="1"/>
  <c r="E153" i="4" s="1"/>
  <c r="K450" i="3"/>
  <c r="F69" i="4" s="1" a="1"/>
  <c r="F69" i="4" s="1"/>
  <c r="E69" i="4" a="1"/>
  <c r="E69" i="4" s="1"/>
  <c r="K527" i="3"/>
  <c r="F146" i="4" s="1" a="1"/>
  <c r="F146" i="4" s="1"/>
  <c r="E146" i="4" a="1"/>
  <c r="E146" i="4" s="1"/>
  <c r="K482" i="3"/>
  <c r="F101" i="4" s="1" a="1"/>
  <c r="F101" i="4" s="1"/>
  <c r="E101" i="4" a="1"/>
  <c r="E101" i="4" s="1"/>
  <c r="K418" i="3"/>
  <c r="F37" i="4" s="1" a="1"/>
  <c r="F37" i="4" s="1"/>
  <c r="E37" i="4" a="1"/>
  <c r="E37" i="4" s="1"/>
  <c r="H116" i="4"/>
  <c r="H27" i="4"/>
  <c r="K464" i="3"/>
  <c r="F83" i="4" s="1" a="1"/>
  <c r="F83" i="4" s="1"/>
  <c r="E83" i="4" a="1"/>
  <c r="E83" i="4" s="1"/>
  <c r="H142" i="4"/>
  <c r="K426" i="3"/>
  <c r="F45" i="4" s="1" a="1"/>
  <c r="F45" i="4" s="1"/>
  <c r="E45" i="4" a="1"/>
  <c r="E45" i="4" s="1"/>
  <c r="K576" i="3"/>
  <c r="F195" i="4" s="1" a="1"/>
  <c r="F195" i="4" s="1"/>
  <c r="E195" i="4" a="1"/>
  <c r="E195" i="4" s="1"/>
  <c r="K445" i="3"/>
  <c r="F64" i="4" s="1" a="1"/>
  <c r="F64" i="4" s="1"/>
  <c r="E64" i="4" a="1"/>
  <c r="E64" i="4" s="1"/>
  <c r="K558" i="3"/>
  <c r="F177" i="4" s="1" a="1"/>
  <c r="F177" i="4" s="1"/>
  <c r="E177" i="4" a="1"/>
  <c r="E177" i="4" s="1"/>
  <c r="K509" i="3"/>
  <c r="F128" i="4" s="1" a="1"/>
  <c r="F128" i="4" s="1"/>
  <c r="E128" i="4" a="1"/>
  <c r="E128" i="4" s="1"/>
  <c r="K559" i="3"/>
  <c r="F178" i="4" s="1" a="1"/>
  <c r="F178" i="4" s="1"/>
  <c r="E178" i="4" a="1"/>
  <c r="E178" i="4" s="1"/>
  <c r="K432" i="3"/>
  <c r="F51" i="4" s="1" a="1"/>
  <c r="F51" i="4" s="1"/>
  <c r="E51" i="4" a="1"/>
  <c r="E51" i="4" s="1"/>
  <c r="K547" i="3"/>
  <c r="F166" i="4" s="1" a="1"/>
  <c r="F166" i="4" s="1"/>
  <c r="E166" i="4" a="1"/>
  <c r="E166" i="4" s="1"/>
  <c r="K494" i="3"/>
  <c r="F113" i="4" s="1" a="1"/>
  <c r="F113" i="4" s="1"/>
  <c r="E113" i="4" a="1"/>
  <c r="E113" i="4" s="1"/>
  <c r="K412" i="3"/>
  <c r="F31" i="4" s="1" a="1"/>
  <c r="F31" i="4" s="1"/>
  <c r="E31" i="4" a="1"/>
  <c r="E31" i="4" s="1"/>
  <c r="K438" i="3"/>
  <c r="F57" i="4" s="1" a="1"/>
  <c r="F57" i="4" s="1"/>
  <c r="E57" i="4" a="1"/>
  <c r="E57" i="4" s="1"/>
  <c r="K391" i="3"/>
  <c r="F10" i="4" s="1" a="1"/>
  <c r="F10" i="4" s="1"/>
  <c r="G10" i="4" s="1"/>
  <c r="H10" i="4" s="1"/>
  <c r="K545" i="3"/>
  <c r="F164" i="4" s="1" a="1"/>
  <c r="F164" i="4" s="1"/>
  <c r="E164" i="4" a="1"/>
  <c r="E164" i="4" s="1"/>
  <c r="K505" i="3"/>
  <c r="F124" i="4" s="1" a="1"/>
  <c r="F124" i="4" s="1"/>
  <c r="E124" i="4" a="1"/>
  <c r="E124" i="4" s="1"/>
  <c r="K490" i="3"/>
  <c r="F109" i="4" s="1" a="1"/>
  <c r="F109" i="4" s="1"/>
  <c r="E109" i="4" a="1"/>
  <c r="E109" i="4" s="1"/>
  <c r="K417" i="3"/>
  <c r="F36" i="4" s="1" a="1"/>
  <c r="F36" i="4" s="1"/>
  <c r="E36" i="4" a="1"/>
  <c r="E36" i="4" s="1"/>
  <c r="K539" i="3"/>
  <c r="F158" i="4" s="1" a="1"/>
  <c r="F158" i="4" s="1"/>
  <c r="E158" i="4" a="1"/>
  <c r="E158" i="4" s="1"/>
  <c r="K460" i="3"/>
  <c r="F79" i="4" s="1" a="1"/>
  <c r="F79" i="4" s="1"/>
  <c r="E79" i="4" a="1"/>
  <c r="E79" i="4" s="1"/>
  <c r="K448" i="3"/>
  <c r="F67" i="4" s="1" a="1"/>
  <c r="F67" i="4" s="1"/>
  <c r="E67" i="4" a="1"/>
  <c r="E67" i="4" s="1"/>
  <c r="K481" i="3"/>
  <c r="F100" i="4" s="1" a="1"/>
  <c r="F100" i="4" s="1"/>
  <c r="E100" i="4" a="1"/>
  <c r="E100" i="4" s="1"/>
  <c r="K446" i="3"/>
  <c r="F65" i="4" s="1" a="1"/>
  <c r="F65" i="4" s="1"/>
  <c r="E65" i="4" a="1"/>
  <c r="E65" i="4" s="1"/>
  <c r="K466" i="3"/>
  <c r="F85" i="4" s="1" a="1"/>
  <c r="F85" i="4" s="1"/>
  <c r="E85" i="4" a="1"/>
  <c r="E85" i="4" s="1"/>
  <c r="K569" i="3"/>
  <c r="F188" i="4" s="1" a="1"/>
  <c r="F188" i="4" s="1"/>
  <c r="E188" i="4" a="1"/>
  <c r="E188" i="4" s="1"/>
  <c r="K519" i="3"/>
  <c r="F138" i="4" s="1" a="1"/>
  <c r="F138" i="4" s="1"/>
  <c r="E138" i="4" a="1"/>
  <c r="E138" i="4" s="1"/>
  <c r="K405" i="3"/>
  <c r="F24" i="4" s="1" a="1"/>
  <c r="F24" i="4" s="1"/>
  <c r="E24" i="4" a="1"/>
  <c r="E24" i="4" s="1"/>
  <c r="K427" i="3"/>
  <c r="F46" i="4" s="1" a="1"/>
  <c r="F46" i="4" s="1"/>
  <c r="E46" i="4" a="1"/>
  <c r="E46" i="4" s="1"/>
  <c r="K439" i="3"/>
  <c r="F58" i="4" s="1" a="1"/>
  <c r="F58" i="4" s="1"/>
  <c r="E58" i="4" a="1"/>
  <c r="E58" i="4" s="1"/>
  <c r="K400" i="3"/>
  <c r="F19" i="4" s="1" a="1"/>
  <c r="F19" i="4" s="1"/>
  <c r="E19" i="4" a="1"/>
  <c r="E19" i="4" s="1"/>
  <c r="H26" i="4"/>
  <c r="K443" i="3"/>
  <c r="F62" i="4" s="1" a="1"/>
  <c r="F62" i="4" s="1"/>
  <c r="E62" i="4" a="1"/>
  <c r="E62" i="4" s="1"/>
  <c r="K537" i="3"/>
  <c r="F156" i="4" s="1" a="1"/>
  <c r="F156" i="4" s="1"/>
  <c r="E156" i="4" a="1"/>
  <c r="E156" i="4" s="1"/>
  <c r="K424" i="3"/>
  <c r="F43" i="4" s="1" a="1"/>
  <c r="F43" i="4" s="1"/>
  <c r="E43" i="4" a="1"/>
  <c r="E43" i="4" s="1"/>
  <c r="K396" i="3"/>
  <c r="F15" i="4" s="1" a="1"/>
  <c r="F15" i="4" s="1"/>
  <c r="G15" i="4" s="1"/>
  <c r="H15" i="4" s="1"/>
  <c r="K513" i="3"/>
  <c r="F132" i="4" s="1" a="1"/>
  <c r="F132" i="4" s="1"/>
  <c r="E132" i="4" a="1"/>
  <c r="E132" i="4" s="1"/>
  <c r="K496" i="3"/>
  <c r="F115" i="4" s="1" a="1"/>
  <c r="F115" i="4" s="1"/>
  <c r="E115" i="4" a="1"/>
  <c r="E115" i="4" s="1"/>
  <c r="K468" i="3"/>
  <c r="F87" i="4" s="1" a="1"/>
  <c r="F87" i="4" s="1"/>
  <c r="E87" i="4" a="1"/>
  <c r="E87" i="4" s="1"/>
  <c r="K388" i="3"/>
  <c r="F7" i="4" s="1" a="1"/>
  <c r="F7" i="4" s="1"/>
  <c r="G7" i="4" s="1"/>
  <c r="H7" i="4" s="1"/>
  <c r="H61" i="4"/>
  <c r="K546" i="3"/>
  <c r="F165" i="4" s="1" a="1"/>
  <c r="F165" i="4" s="1"/>
  <c r="E165" i="4" a="1"/>
  <c r="E165" i="4" s="1"/>
  <c r="K554" i="3"/>
  <c r="F173" i="4" s="1" a="1"/>
  <c r="F173" i="4" s="1"/>
  <c r="E173" i="4" a="1"/>
  <c r="E173" i="4" s="1"/>
  <c r="K567" i="3"/>
  <c r="F186" i="4" s="1" a="1"/>
  <c r="F186" i="4" s="1"/>
  <c r="E186" i="4" a="1"/>
  <c r="E186" i="4" s="1"/>
  <c r="K444" i="3"/>
  <c r="F63" i="4" s="1" a="1"/>
  <c r="F63" i="4" s="1"/>
  <c r="E63" i="4" a="1"/>
  <c r="E63" i="4" s="1"/>
  <c r="K440" i="3"/>
  <c r="F59" i="4" s="1" a="1"/>
  <c r="F59" i="4" s="1"/>
  <c r="E59" i="4" a="1"/>
  <c r="E59" i="4" s="1"/>
  <c r="K453" i="3"/>
  <c r="F72" i="4" s="1" a="1"/>
  <c r="F72" i="4" s="1"/>
  <c r="E72" i="4" a="1"/>
  <c r="E72" i="4" s="1"/>
  <c r="K413" i="3"/>
  <c r="F32" i="4" s="1" a="1"/>
  <c r="F32" i="4" s="1"/>
  <c r="E32" i="4" a="1"/>
  <c r="E32" i="4" s="1"/>
  <c r="K483" i="3"/>
  <c r="F102" i="4" s="1" a="1"/>
  <c r="F102" i="4" s="1"/>
  <c r="E102" i="4" a="1"/>
  <c r="E102" i="4" s="1"/>
  <c r="H107" i="4"/>
  <c r="K454" i="3"/>
  <c r="F73" i="4" s="1" a="1"/>
  <c r="F73" i="4" s="1"/>
  <c r="E73" i="4" a="1"/>
  <c r="E73" i="4" s="1"/>
  <c r="K470" i="3"/>
  <c r="F89" i="4" s="1" a="1"/>
  <c r="F89" i="4" s="1"/>
  <c r="E89" i="4" a="1"/>
  <c r="E89" i="4" s="1"/>
  <c r="K415" i="3"/>
  <c r="F34" i="4" s="1" a="1"/>
  <c r="F34" i="4" s="1"/>
  <c r="E34" i="4" a="1"/>
  <c r="E34" i="4" s="1"/>
  <c r="K462" i="3"/>
  <c r="F81" i="4" s="1" a="1"/>
  <c r="F81" i="4" s="1"/>
  <c r="E81" i="4" a="1"/>
  <c r="E81" i="4" s="1"/>
  <c r="K463" i="3"/>
  <c r="F82" i="4" s="1" a="1"/>
  <c r="F82" i="4" s="1"/>
  <c r="E82" i="4" a="1"/>
  <c r="E82" i="4" s="1"/>
  <c r="H92" i="4"/>
  <c r="K575" i="3"/>
  <c r="F194" i="4" s="1" a="1"/>
  <c r="F194" i="4" s="1"/>
  <c r="E194" i="4" a="1"/>
  <c r="E194" i="4" s="1"/>
  <c r="H29" i="4"/>
  <c r="H154" i="4"/>
  <c r="K433" i="3"/>
  <c r="F52" i="4" s="1" a="1"/>
  <c r="F52" i="4" s="1"/>
  <c r="E52" i="4" a="1"/>
  <c r="E52" i="4" s="1"/>
  <c r="K542" i="3"/>
  <c r="F161" i="4" s="1" a="1"/>
  <c r="F161" i="4" s="1"/>
  <c r="E161" i="4" a="1"/>
  <c r="E161" i="4" s="1"/>
  <c r="H130" i="4"/>
  <c r="H88" i="4"/>
  <c r="H71" i="4"/>
  <c r="K411" i="3"/>
  <c r="F30" i="4" s="1" a="1"/>
  <c r="F30" i="4" s="1"/>
  <c r="E30" i="4" a="1"/>
  <c r="E30" i="4" s="1"/>
  <c r="K423" i="3"/>
  <c r="F42" i="4" s="1" a="1"/>
  <c r="F42" i="4" s="1"/>
  <c r="E42" i="4" a="1"/>
  <c r="E42" i="4" s="1"/>
  <c r="K571" i="3"/>
  <c r="F190" i="4" s="1" a="1"/>
  <c r="F190" i="4" s="1"/>
  <c r="E190" i="4" a="1"/>
  <c r="E190" i="4" s="1"/>
  <c r="K421" i="3"/>
  <c r="F40" i="4" s="1" a="1"/>
  <c r="F40" i="4" s="1"/>
  <c r="E40" i="4" a="1"/>
  <c r="E40" i="4" s="1"/>
  <c r="K479" i="3"/>
  <c r="F98" i="4" s="1" a="1"/>
  <c r="F98" i="4" s="1"/>
  <c r="E98" i="4" a="1"/>
  <c r="E98" i="4" s="1"/>
  <c r="H41" i="4"/>
  <c r="H35" i="4"/>
  <c r="K420" i="3"/>
  <c r="F39" i="4" s="1" a="1"/>
  <c r="F39" i="4" s="1"/>
  <c r="E39" i="4" a="1"/>
  <c r="E39" i="4" s="1"/>
  <c r="H170" i="4"/>
  <c r="K518" i="3"/>
  <c r="F137" i="4" s="1" a="1"/>
  <c r="F137" i="4" s="1"/>
  <c r="E137" i="4" a="1"/>
  <c r="E137" i="4" s="1"/>
  <c r="K447" i="3"/>
  <c r="F66" i="4" s="1" a="1"/>
  <c r="F66" i="4" s="1"/>
  <c r="E66" i="4" a="1"/>
  <c r="E66" i="4" s="1"/>
  <c r="K548" i="3"/>
  <c r="F167" i="4" s="1" a="1"/>
  <c r="F167" i="4" s="1"/>
  <c r="E167" i="4" a="1"/>
  <c r="E167" i="4" s="1"/>
  <c r="K489" i="3"/>
  <c r="F108" i="4" s="1" a="1"/>
  <c r="F108" i="4" s="1"/>
  <c r="E108" i="4" a="1"/>
  <c r="E108" i="4" s="1"/>
  <c r="K525" i="3"/>
  <c r="F144" i="4" s="1" a="1"/>
  <c r="F144" i="4" s="1"/>
  <c r="E144" i="4" a="1"/>
  <c r="E144" i="4" s="1"/>
  <c r="K389" i="3"/>
  <c r="F8" i="4" s="1" a="1"/>
  <c r="F8" i="4" s="1"/>
  <c r="G8" i="4" s="1"/>
  <c r="H8" i="4" s="1"/>
  <c r="K487" i="3"/>
  <c r="F106" i="4" s="1" a="1"/>
  <c r="F106" i="4" s="1"/>
  <c r="E106" i="4" a="1"/>
  <c r="E106" i="4" s="1"/>
  <c r="K404" i="3"/>
  <c r="F23" i="4" s="1" a="1"/>
  <c r="F23" i="4" s="1"/>
  <c r="E23" i="4" a="1"/>
  <c r="E23" i="4" s="1"/>
  <c r="J3" i="4" l="1"/>
  <c r="J4" i="4" s="1"/>
  <c r="J5" i="4" s="1"/>
  <c r="I4" i="4"/>
  <c r="H3" i="4"/>
  <c r="I3" i="4"/>
  <c r="L3" i="4" s="1"/>
  <c r="K3" i="4" s="1"/>
  <c r="I5" i="4"/>
  <c r="G89" i="4"/>
  <c r="G6" i="4"/>
  <c r="H6" i="4" s="1"/>
  <c r="G59" i="4"/>
  <c r="H59" i="4" s="1"/>
  <c r="G30" i="4"/>
  <c r="H30" i="4" s="1"/>
  <c r="G158" i="4"/>
  <c r="H158" i="4" s="1"/>
  <c r="G57" i="4"/>
  <c r="H57" i="4" s="1"/>
  <c r="G52" i="4"/>
  <c r="H52" i="4" s="1"/>
  <c r="G46" i="4"/>
  <c r="H46" i="4" s="1"/>
  <c r="G37" i="4"/>
  <c r="H37" i="4" s="1"/>
  <c r="G65" i="4"/>
  <c r="H65" i="4" s="1"/>
  <c r="G109" i="4"/>
  <c r="H109" i="4" s="1"/>
  <c r="G64" i="4"/>
  <c r="H64" i="4" s="1"/>
  <c r="G188" i="4"/>
  <c r="H188" i="4" s="1"/>
  <c r="G43" i="4"/>
  <c r="H43" i="4" s="1"/>
  <c r="G19" i="4"/>
  <c r="H19" i="4" s="1"/>
  <c r="G108" i="4"/>
  <c r="H108" i="4" s="1"/>
  <c r="G113" i="4"/>
  <c r="H113" i="4" s="1"/>
  <c r="G74" i="4"/>
  <c r="H74" i="4" s="1"/>
  <c r="G38" i="4"/>
  <c r="H38" i="4" s="1"/>
  <c r="G18" i="4"/>
  <c r="H18" i="4" s="1"/>
  <c r="G103" i="4"/>
  <c r="H103" i="4" s="1"/>
  <c r="G183" i="4"/>
  <c r="H183" i="4" s="1"/>
  <c r="G106" i="4"/>
  <c r="H106" i="4" s="1"/>
  <c r="G111" i="4"/>
  <c r="H111" i="4" s="1"/>
  <c r="G135" i="4"/>
  <c r="H135" i="4" s="1"/>
  <c r="G47" i="4"/>
  <c r="H47" i="4" s="1"/>
  <c r="G48" i="4"/>
  <c r="H48" i="4" s="1"/>
  <c r="G167" i="4"/>
  <c r="H167" i="4" s="1"/>
  <c r="G63" i="4"/>
  <c r="H63" i="4" s="1"/>
  <c r="G156" i="4"/>
  <c r="H156" i="4" s="1"/>
  <c r="G24" i="4"/>
  <c r="H24" i="4" s="1"/>
  <c r="G100" i="4"/>
  <c r="H100" i="4" s="1"/>
  <c r="G124" i="4"/>
  <c r="H124" i="4" s="1"/>
  <c r="G166" i="4"/>
  <c r="H166" i="4" s="1"/>
  <c r="G184" i="4"/>
  <c r="H184" i="4" s="1"/>
  <c r="G162" i="4"/>
  <c r="H162" i="4" s="1"/>
  <c r="G176" i="4"/>
  <c r="H176" i="4" s="1"/>
  <c r="G185" i="4"/>
  <c r="H185" i="4" s="1"/>
  <c r="G174" i="4"/>
  <c r="H174" i="4" s="1"/>
  <c r="G194" i="4"/>
  <c r="H194" i="4" s="1"/>
  <c r="G73" i="4"/>
  <c r="H73" i="4" s="1"/>
  <c r="G101" i="4"/>
  <c r="H101" i="4" s="1"/>
  <c r="G110" i="4"/>
  <c r="H110" i="4" s="1"/>
  <c r="G55" i="4"/>
  <c r="H55" i="4" s="1"/>
  <c r="G126" i="4"/>
  <c r="H126" i="4" s="1"/>
  <c r="G98" i="4"/>
  <c r="H98" i="4" s="1"/>
  <c r="G186" i="4"/>
  <c r="H186" i="4" s="1"/>
  <c r="G87" i="4"/>
  <c r="H87" i="4" s="1"/>
  <c r="G62" i="4"/>
  <c r="H62" i="4" s="1"/>
  <c r="G67" i="4"/>
  <c r="H67" i="4" s="1"/>
  <c r="G164" i="4"/>
  <c r="H164" i="4" s="1"/>
  <c r="G51" i="4"/>
  <c r="H51" i="4" s="1"/>
  <c r="G195" i="4"/>
  <c r="H195" i="4" s="1"/>
  <c r="G169" i="4"/>
  <c r="H169" i="4" s="1"/>
  <c r="G86" i="4"/>
  <c r="H86" i="4" s="1"/>
  <c r="G97" i="4"/>
  <c r="H97" i="4" s="1"/>
  <c r="G78" i="4"/>
  <c r="H78" i="4" s="1"/>
  <c r="G66" i="4"/>
  <c r="H66" i="4" s="1"/>
  <c r="G161" i="4"/>
  <c r="H161" i="4" s="1"/>
  <c r="G138" i="4"/>
  <c r="H138" i="4" s="1"/>
  <c r="G146" i="4"/>
  <c r="H146" i="4" s="1"/>
  <c r="G76" i="4"/>
  <c r="H76" i="4" s="1"/>
  <c r="H33" i="4"/>
  <c r="G99" i="4"/>
  <c r="H99" i="4" s="1"/>
  <c r="G25" i="4"/>
  <c r="H25" i="4" s="1"/>
  <c r="G40" i="4"/>
  <c r="H40" i="4" s="1"/>
  <c r="G82" i="4"/>
  <c r="H82" i="4" s="1"/>
  <c r="G102" i="4"/>
  <c r="H102" i="4" s="1"/>
  <c r="G173" i="4"/>
  <c r="H173" i="4" s="1"/>
  <c r="G115" i="4"/>
  <c r="H115" i="4" s="1"/>
  <c r="G79" i="4"/>
  <c r="H79" i="4" s="1"/>
  <c r="G178" i="4"/>
  <c r="H178" i="4" s="1"/>
  <c r="G45" i="4"/>
  <c r="H45" i="4" s="1"/>
  <c r="G121" i="4"/>
  <c r="H121" i="4" s="1"/>
  <c r="G159" i="4"/>
  <c r="H159" i="4" s="1"/>
  <c r="G151" i="4"/>
  <c r="H151" i="4" s="1"/>
  <c r="G56" i="4"/>
  <c r="H56" i="4" s="1"/>
  <c r="G69" i="4"/>
  <c r="H69" i="4" s="1"/>
  <c r="G112" i="4"/>
  <c r="H112" i="4" s="1"/>
  <c r="G168" i="4"/>
  <c r="H168" i="4" s="1"/>
  <c r="G91" i="4"/>
  <c r="H91" i="4" s="1"/>
  <c r="G81" i="4"/>
  <c r="H81" i="4" s="1"/>
  <c r="G32" i="4"/>
  <c r="H32" i="4" s="1"/>
  <c r="G165" i="4"/>
  <c r="H165" i="4" s="1"/>
  <c r="G132" i="4"/>
  <c r="H132" i="4" s="1"/>
  <c r="G77" i="4"/>
  <c r="H77" i="4" s="1"/>
  <c r="G54" i="4"/>
  <c r="H54" i="4" s="1"/>
  <c r="G53" i="4"/>
  <c r="H53" i="4" s="1"/>
  <c r="G145" i="4"/>
  <c r="H145" i="4" s="1"/>
  <c r="G181" i="4"/>
  <c r="H181" i="4" s="1"/>
  <c r="G137" i="4"/>
  <c r="H137" i="4" s="1"/>
  <c r="G58" i="4"/>
  <c r="H58" i="4" s="1"/>
  <c r="G128" i="4"/>
  <c r="H128" i="4" s="1"/>
  <c r="G83" i="4"/>
  <c r="H83" i="4" s="1"/>
  <c r="G153" i="4"/>
  <c r="H153" i="4" s="1"/>
  <c r="G149" i="4"/>
  <c r="H149" i="4" s="1"/>
  <c r="G96" i="4"/>
  <c r="H96" i="4" s="1"/>
  <c r="G23" i="4"/>
  <c r="H23" i="4" s="1"/>
  <c r="G190" i="4"/>
  <c r="H190" i="4" s="1"/>
  <c r="G42" i="4"/>
  <c r="H42" i="4" s="1"/>
  <c r="G72" i="4"/>
  <c r="H72" i="4" s="1"/>
  <c r="G85" i="4"/>
  <c r="H85" i="4" s="1"/>
  <c r="G36" i="4"/>
  <c r="H36" i="4" s="1"/>
  <c r="G31" i="4"/>
  <c r="H31" i="4" s="1"/>
  <c r="G179" i="4"/>
  <c r="H179" i="4" s="1"/>
  <c r="G105" i="4"/>
  <c r="H105" i="4" s="1"/>
  <c r="G95" i="4"/>
  <c r="H95" i="4" s="1"/>
  <c r="G192" i="4"/>
  <c r="H192" i="4" s="1"/>
  <c r="G150" i="4"/>
  <c r="H150" i="4" s="1"/>
  <c r="G143" i="4"/>
  <c r="H143" i="4" s="1"/>
  <c r="H140" i="4"/>
  <c r="G144" i="4"/>
  <c r="H144" i="4" s="1"/>
  <c r="G34" i="4"/>
  <c r="H34" i="4" s="1"/>
  <c r="G39" i="4"/>
  <c r="H39" i="4" s="1"/>
  <c r="G177" i="4"/>
  <c r="H177" i="4" s="1"/>
  <c r="G175" i="4"/>
  <c r="H175" i="4" s="1"/>
  <c r="H141" i="4"/>
  <c r="H125" i="4"/>
  <c r="H171" i="4"/>
  <c r="H49" i="4"/>
  <c r="H191" i="4"/>
  <c r="H93" i="4"/>
  <c r="H89" i="4"/>
  <c r="L5" i="4" l="1"/>
  <c r="K5" i="4" s="1"/>
  <c r="L4" i="4"/>
  <c r="K4" i="4" s="1"/>
  <c r="J6" i="4"/>
  <c r="J7" i="4" s="1"/>
  <c r="J8" i="4" s="1"/>
  <c r="J9" i="4" s="1"/>
  <c r="J10" i="4" s="1"/>
  <c r="J11" i="4" s="1"/>
  <c r="J12" i="4" s="1"/>
  <c r="J13" i="4" s="1"/>
  <c r="J14" i="4" s="1"/>
  <c r="J15" i="4" s="1"/>
  <c r="J16" i="4" s="1"/>
  <c r="J17" i="4" s="1"/>
  <c r="I15" i="4"/>
  <c r="I9" i="4"/>
  <c r="I11" i="4"/>
  <c r="I13" i="4"/>
  <c r="L13" i="4" s="1"/>
  <c r="K13" i="4" s="1"/>
  <c r="I10" i="4"/>
  <c r="L10" i="4" s="1"/>
  <c r="K10" i="4" s="1"/>
  <c r="I7" i="4"/>
  <c r="L7" i="4" s="1"/>
  <c r="K7" i="4" s="1"/>
  <c r="I12" i="4"/>
  <c r="L12" i="4" s="1"/>
  <c r="K12" i="4" s="1"/>
  <c r="I17" i="4"/>
  <c r="I14" i="4"/>
  <c r="I8" i="4"/>
  <c r="I16" i="4"/>
  <c r="I6" i="4"/>
  <c r="L6" i="4" s="1"/>
  <c r="K6" i="4" s="1"/>
  <c r="I162" i="4"/>
  <c r="F199" i="4"/>
  <c r="C199" i="4" s="1"/>
  <c r="I49" i="4"/>
  <c r="I99" i="4"/>
  <c r="I34" i="4"/>
  <c r="I21" i="4"/>
  <c r="L21" i="4" s="1"/>
  <c r="K21" i="4" s="1"/>
  <c r="I188" i="4"/>
  <c r="I117" i="4"/>
  <c r="I147" i="4"/>
  <c r="I144" i="4"/>
  <c r="I29" i="4"/>
  <c r="I186" i="4"/>
  <c r="I114" i="4"/>
  <c r="I88" i="4"/>
  <c r="I163" i="4"/>
  <c r="I52" i="4"/>
  <c r="I159" i="4"/>
  <c r="L159" i="4" s="1"/>
  <c r="K159" i="4" s="1"/>
  <c r="I74" i="4"/>
  <c r="L74" i="4" s="1"/>
  <c r="K74" i="4" s="1"/>
  <c r="I98" i="4"/>
  <c r="I191" i="4"/>
  <c r="I96" i="4"/>
  <c r="I148" i="4"/>
  <c r="I168" i="4"/>
  <c r="I121" i="4"/>
  <c r="I23" i="4"/>
  <c r="I157" i="4"/>
  <c r="I94" i="4"/>
  <c r="L94" i="4" s="1"/>
  <c r="K94" i="4" s="1"/>
  <c r="I126" i="4"/>
  <c r="L126" i="4" s="1"/>
  <c r="K126" i="4" s="1"/>
  <c r="I187" i="4"/>
  <c r="L187" i="4" s="1"/>
  <c r="K187" i="4" s="1"/>
  <c r="I101" i="4"/>
  <c r="L101" i="4" s="1"/>
  <c r="K101" i="4" s="1"/>
  <c r="I116" i="4"/>
  <c r="I127" i="4"/>
  <c r="I179" i="4"/>
  <c r="I68" i="4"/>
  <c r="I156" i="4"/>
  <c r="I140" i="4"/>
  <c r="I134" i="4"/>
  <c r="I25" i="4"/>
  <c r="L25" i="4" s="1"/>
  <c r="K25" i="4" s="1"/>
  <c r="I58" i="4"/>
  <c r="L58" i="4" s="1"/>
  <c r="K58" i="4" s="1"/>
  <c r="I171" i="4"/>
  <c r="L171" i="4" s="1"/>
  <c r="K171" i="4" s="1"/>
  <c r="I194" i="4"/>
  <c r="L194" i="4" s="1"/>
  <c r="K194" i="4" s="1"/>
  <c r="I80" i="4"/>
  <c r="L80" i="4" s="1"/>
  <c r="K80" i="4" s="1"/>
  <c r="I63" i="4"/>
  <c r="I111" i="4"/>
  <c r="I104" i="4"/>
  <c r="I28" i="4"/>
  <c r="I53" i="4"/>
  <c r="I79" i="4"/>
  <c r="L79" i="4" s="1"/>
  <c r="K79" i="4" s="1"/>
  <c r="I32" i="4"/>
  <c r="L32" i="4" s="1"/>
  <c r="K32" i="4" s="1"/>
  <c r="I185" i="4"/>
  <c r="L185" i="4" s="1"/>
  <c r="K185" i="4" s="1"/>
  <c r="I131" i="4"/>
  <c r="L131" i="4" s="1"/>
  <c r="K131" i="4" s="1"/>
  <c r="I112" i="4"/>
  <c r="L112" i="4" s="1"/>
  <c r="K112" i="4" s="1"/>
  <c r="I109" i="4"/>
  <c r="L109" i="4" s="1"/>
  <c r="K109" i="4" s="1"/>
  <c r="G199" i="4"/>
  <c r="I178" i="4"/>
  <c r="I132" i="4"/>
  <c r="I89" i="4"/>
  <c r="I81" i="4"/>
  <c r="I35" i="4"/>
  <c r="I70" i="4"/>
  <c r="L70" i="4" s="1"/>
  <c r="K70" i="4" s="1"/>
  <c r="I118" i="4"/>
  <c r="L118" i="4" s="1"/>
  <c r="K118" i="4" s="1"/>
  <c r="I167" i="4"/>
  <c r="L167" i="4" s="1"/>
  <c r="K167" i="4" s="1"/>
  <c r="I64" i="4"/>
  <c r="L64" i="4" s="1"/>
  <c r="K64" i="4" s="1"/>
  <c r="I143" i="4"/>
  <c r="L143" i="4" s="1"/>
  <c r="K143" i="4" s="1"/>
  <c r="I38" i="4"/>
  <c r="L38" i="4" s="1"/>
  <c r="K38" i="4" s="1"/>
  <c r="I166" i="4"/>
  <c r="L166" i="4" s="1"/>
  <c r="K166" i="4" s="1"/>
  <c r="I19" i="4"/>
  <c r="I46" i="4"/>
  <c r="I78" i="4"/>
  <c r="I43" i="4"/>
  <c r="I40" i="4"/>
  <c r="I72" i="4"/>
  <c r="L72" i="4" s="1"/>
  <c r="K72" i="4" s="1"/>
  <c r="I22" i="4"/>
  <c r="L22" i="4" s="1"/>
  <c r="K22" i="4" s="1"/>
  <c r="I110" i="4"/>
  <c r="L110" i="4" s="1"/>
  <c r="K110" i="4" s="1"/>
  <c r="I54" i="4"/>
  <c r="L54" i="4" s="1"/>
  <c r="K54" i="4" s="1"/>
  <c r="I165" i="4"/>
  <c r="L165" i="4" s="1"/>
  <c r="K165" i="4" s="1"/>
  <c r="I87" i="4"/>
  <c r="I161" i="4"/>
  <c r="I27" i="4"/>
  <c r="I160" i="4"/>
  <c r="I77" i="4"/>
  <c r="I130" i="4"/>
  <c r="I142" i="4"/>
  <c r="I105" i="4"/>
  <c r="L105" i="4" s="1"/>
  <c r="K105" i="4" s="1"/>
  <c r="I139" i="4"/>
  <c r="L139" i="4" s="1"/>
  <c r="K139" i="4" s="1"/>
  <c r="I128" i="4"/>
  <c r="L128" i="4" s="1"/>
  <c r="K128" i="4" s="1"/>
  <c r="I47" i="4"/>
  <c r="I60" i="4"/>
  <c r="I66" i="4"/>
  <c r="L66" i="4" s="1"/>
  <c r="K66" i="4" s="1"/>
  <c r="I175" i="4"/>
  <c r="L175" i="4" s="1"/>
  <c r="K175" i="4" s="1"/>
  <c r="I115" i="4"/>
  <c r="L115" i="4" s="1"/>
  <c r="K115" i="4" s="1"/>
  <c r="I170" i="4"/>
  <c r="I36" i="4"/>
  <c r="I62" i="4"/>
  <c r="I97" i="4"/>
  <c r="I106" i="4"/>
  <c r="I189" i="4"/>
  <c r="I33" i="4"/>
  <c r="I103" i="4"/>
  <c r="L103" i="4" s="1"/>
  <c r="K103" i="4" s="1"/>
  <c r="I141" i="4"/>
  <c r="L141" i="4" s="1"/>
  <c r="K141" i="4" s="1"/>
  <c r="I183" i="4"/>
  <c r="L183" i="4" s="1"/>
  <c r="K183" i="4" s="1"/>
  <c r="I193" i="4"/>
  <c r="L193" i="4" s="1"/>
  <c r="K193" i="4" s="1"/>
  <c r="I44" i="4"/>
  <c r="L44" i="4" s="1"/>
  <c r="K44" i="4" s="1"/>
  <c r="I181" i="4"/>
  <c r="I73" i="4"/>
  <c r="I145" i="4"/>
  <c r="I42" i="4"/>
  <c r="I164" i="4"/>
  <c r="I75" i="4"/>
  <c r="L75" i="4" s="1"/>
  <c r="K75" i="4" s="1"/>
  <c r="I55" i="4"/>
  <c r="L55" i="4" s="1"/>
  <c r="K55" i="4" s="1"/>
  <c r="I57" i="4"/>
  <c r="L57" i="4" s="1"/>
  <c r="K57" i="4" s="1"/>
  <c r="I136" i="4"/>
  <c r="L136" i="4" s="1"/>
  <c r="K136" i="4" s="1"/>
  <c r="I182" i="4"/>
  <c r="L182" i="4" s="1"/>
  <c r="K182" i="4" s="1"/>
  <c r="I61" i="4"/>
  <c r="L61" i="4" s="1"/>
  <c r="K61" i="4" s="1"/>
  <c r="I196" i="4"/>
  <c r="L196" i="4" s="1"/>
  <c r="K196" i="4" s="1"/>
  <c r="I108" i="4"/>
  <c r="I67" i="4"/>
  <c r="I39" i="4"/>
  <c r="I135" i="4"/>
  <c r="I102" i="4"/>
  <c r="L102" i="4" s="1"/>
  <c r="K102" i="4" s="1"/>
  <c r="I125" i="4"/>
  <c r="L125" i="4" s="1"/>
  <c r="K125" i="4" s="1"/>
  <c r="I153" i="4"/>
  <c r="L153" i="4" s="1"/>
  <c r="K153" i="4" s="1"/>
  <c r="I192" i="4"/>
  <c r="L192" i="4" s="1"/>
  <c r="K192" i="4" s="1"/>
  <c r="I146" i="4"/>
  <c r="L146" i="4" s="1"/>
  <c r="K146" i="4" s="1"/>
  <c r="I172" i="4"/>
  <c r="L172" i="4" s="1"/>
  <c r="K172" i="4" s="1"/>
  <c r="I56" i="4"/>
  <c r="I90" i="4"/>
  <c r="I158" i="4"/>
  <c r="I137" i="4"/>
  <c r="I48" i="4"/>
  <c r="I190" i="4"/>
  <c r="I184" i="4"/>
  <c r="L184" i="4" s="1"/>
  <c r="K184" i="4" s="1"/>
  <c r="I50" i="4"/>
  <c r="L50" i="4" s="1"/>
  <c r="K50" i="4" s="1"/>
  <c r="I45" i="4"/>
  <c r="L45" i="4" s="1"/>
  <c r="K45" i="4" s="1"/>
  <c r="I174" i="4"/>
  <c r="L174" i="4" s="1"/>
  <c r="K174" i="4" s="1"/>
  <c r="I82" i="4"/>
  <c r="L82" i="4" s="1"/>
  <c r="K82" i="4" s="1"/>
  <c r="I91" i="4"/>
  <c r="I195" i="4"/>
  <c r="I95" i="4"/>
  <c r="L95" i="4" s="1"/>
  <c r="K95" i="4" s="1"/>
  <c r="I93" i="4"/>
  <c r="I18" i="4"/>
  <c r="I123" i="4"/>
  <c r="I30" i="4"/>
  <c r="I152" i="4"/>
  <c r="L152" i="4" s="1"/>
  <c r="K152" i="4" s="1"/>
  <c r="I155" i="4"/>
  <c r="L155" i="4" s="1"/>
  <c r="K155" i="4" s="1"/>
  <c r="I41" i="4"/>
  <c r="L41" i="4" s="1"/>
  <c r="K41" i="4" s="1"/>
  <c r="I76" i="4"/>
  <c r="L76" i="4" s="1"/>
  <c r="K76" i="4" s="1"/>
  <c r="I119" i="4"/>
  <c r="L119" i="4" s="1"/>
  <c r="K119" i="4" s="1"/>
  <c r="I59" i="4"/>
  <c r="I122" i="4"/>
  <c r="I133" i="4"/>
  <c r="L133" i="4" s="1"/>
  <c r="K133" i="4" s="1"/>
  <c r="I26" i="4"/>
  <c r="I169" i="4"/>
  <c r="I71" i="4"/>
  <c r="I83" i="4"/>
  <c r="I177" i="4"/>
  <c r="L177" i="4" s="1"/>
  <c r="K177" i="4" s="1"/>
  <c r="I138" i="4"/>
  <c r="L138" i="4" s="1"/>
  <c r="K138" i="4" s="1"/>
  <c r="I24" i="4"/>
  <c r="L24" i="4" s="1"/>
  <c r="K24" i="4" s="1"/>
  <c r="I100" i="4"/>
  <c r="L100" i="4" s="1"/>
  <c r="K100" i="4" s="1"/>
  <c r="I86" i="4"/>
  <c r="L86" i="4" s="1"/>
  <c r="K86" i="4" s="1"/>
  <c r="I51" i="4"/>
  <c r="I154" i="4"/>
  <c r="I107" i="4"/>
  <c r="L107" i="4" s="1"/>
  <c r="K107" i="4" s="1"/>
  <c r="I176" i="4"/>
  <c r="I124" i="4"/>
  <c r="I65" i="4"/>
  <c r="I180" i="4"/>
  <c r="I113" i="4"/>
  <c r="L113" i="4" s="1"/>
  <c r="K113" i="4" s="1"/>
  <c r="I92" i="4"/>
  <c r="L92" i="4" s="1"/>
  <c r="K92" i="4" s="1"/>
  <c r="I150" i="4"/>
  <c r="L150" i="4" s="1"/>
  <c r="K150" i="4" s="1"/>
  <c r="I151" i="4"/>
  <c r="L151" i="4" s="1"/>
  <c r="K151" i="4" s="1"/>
  <c r="I31" i="4"/>
  <c r="L31" i="4" s="1"/>
  <c r="K31" i="4" s="1"/>
  <c r="I84" i="4"/>
  <c r="L84" i="4" s="1"/>
  <c r="K84" i="4" s="1"/>
  <c r="I20" i="4"/>
  <c r="L20" i="4" s="1"/>
  <c r="K20" i="4" s="1"/>
  <c r="I149" i="4"/>
  <c r="L149" i="4" s="1"/>
  <c r="K149" i="4" s="1"/>
  <c r="I37" i="4"/>
  <c r="I69" i="4"/>
  <c r="I173" i="4"/>
  <c r="I120" i="4"/>
  <c r="I129" i="4"/>
  <c r="L129" i="4" s="1"/>
  <c r="K129" i="4" s="1"/>
  <c r="I85" i="4"/>
  <c r="L85" i="4" s="1"/>
  <c r="K85" i="4" s="1"/>
  <c r="J18" i="4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J121" i="4" s="1"/>
  <c r="J122" i="4" s="1"/>
  <c r="J123" i="4" s="1"/>
  <c r="J124" i="4" s="1"/>
  <c r="J125" i="4" s="1"/>
  <c r="J126" i="4" s="1"/>
  <c r="J127" i="4" s="1"/>
  <c r="J128" i="4" s="1"/>
  <c r="J129" i="4" s="1"/>
  <c r="J130" i="4" s="1"/>
  <c r="J131" i="4" s="1"/>
  <c r="J132" i="4" s="1"/>
  <c r="J133" i="4" s="1"/>
  <c r="J134" i="4" s="1"/>
  <c r="J135" i="4" s="1"/>
  <c r="J136" i="4" s="1"/>
  <c r="J137" i="4" s="1"/>
  <c r="J138" i="4" s="1"/>
  <c r="J139" i="4" s="1"/>
  <c r="J140" i="4" s="1"/>
  <c r="J141" i="4" s="1"/>
  <c r="J142" i="4" s="1"/>
  <c r="J143" i="4" s="1"/>
  <c r="J144" i="4" s="1"/>
  <c r="J145" i="4" s="1"/>
  <c r="J146" i="4" s="1"/>
  <c r="J147" i="4" s="1"/>
  <c r="J148" i="4" s="1"/>
  <c r="J149" i="4" s="1"/>
  <c r="J150" i="4" s="1"/>
  <c r="J151" i="4" s="1"/>
  <c r="J152" i="4" s="1"/>
  <c r="J153" i="4" s="1"/>
  <c r="J154" i="4" s="1"/>
  <c r="J155" i="4" s="1"/>
  <c r="J156" i="4" s="1"/>
  <c r="J157" i="4" s="1"/>
  <c r="J158" i="4" s="1"/>
  <c r="J159" i="4" s="1"/>
  <c r="J160" i="4" s="1"/>
  <c r="J161" i="4" s="1"/>
  <c r="J162" i="4" s="1"/>
  <c r="J163" i="4" s="1"/>
  <c r="J164" i="4" s="1"/>
  <c r="J165" i="4" s="1"/>
  <c r="J166" i="4" s="1"/>
  <c r="J167" i="4" s="1"/>
  <c r="J168" i="4" s="1"/>
  <c r="J169" i="4" s="1"/>
  <c r="J170" i="4" s="1"/>
  <c r="J171" i="4" s="1"/>
  <c r="J172" i="4" s="1"/>
  <c r="J173" i="4" s="1"/>
  <c r="J174" i="4" s="1"/>
  <c r="J175" i="4" s="1"/>
  <c r="J176" i="4" s="1"/>
  <c r="J177" i="4" s="1"/>
  <c r="J178" i="4" s="1"/>
  <c r="J179" i="4" s="1"/>
  <c r="J180" i="4" s="1"/>
  <c r="J181" i="4" s="1"/>
  <c r="J182" i="4" s="1"/>
  <c r="J183" i="4" s="1"/>
  <c r="J184" i="4" s="1"/>
  <c r="J185" i="4" s="1"/>
  <c r="J186" i="4" s="1"/>
  <c r="J187" i="4" s="1"/>
  <c r="J188" i="4" s="1"/>
  <c r="J189" i="4" s="1"/>
  <c r="J190" i="4" s="1"/>
  <c r="J191" i="4" s="1"/>
  <c r="J192" i="4" s="1"/>
  <c r="J193" i="4" s="1"/>
  <c r="J194" i="4" s="1"/>
  <c r="J195" i="4" s="1"/>
  <c r="J196" i="4" s="1"/>
  <c r="J199" i="4" l="1"/>
  <c r="L27" i="4"/>
  <c r="K27" i="4" s="1"/>
  <c r="L178" i="4"/>
  <c r="K178" i="4" s="1"/>
  <c r="L63" i="4"/>
  <c r="K63" i="4" s="1"/>
  <c r="L116" i="4"/>
  <c r="K116" i="4" s="1"/>
  <c r="L98" i="4"/>
  <c r="K98" i="4" s="1"/>
  <c r="L188" i="4"/>
  <c r="K188" i="4" s="1"/>
  <c r="L120" i="4"/>
  <c r="K120" i="4" s="1"/>
  <c r="L30" i="4"/>
  <c r="K30" i="4" s="1"/>
  <c r="L97" i="4"/>
  <c r="K97" i="4" s="1"/>
  <c r="L35" i="4"/>
  <c r="K35" i="4" s="1"/>
  <c r="L29" i="4"/>
  <c r="K29" i="4" s="1"/>
  <c r="L173" i="4"/>
  <c r="K173" i="4" s="1"/>
  <c r="L65" i="4"/>
  <c r="K65" i="4" s="1"/>
  <c r="L71" i="4"/>
  <c r="K71" i="4" s="1"/>
  <c r="L123" i="4"/>
  <c r="K123" i="4" s="1"/>
  <c r="L48" i="4"/>
  <c r="K48" i="4" s="1"/>
  <c r="L62" i="4"/>
  <c r="K62" i="4" s="1"/>
  <c r="L130" i="4"/>
  <c r="K130" i="4" s="1"/>
  <c r="L43" i="4"/>
  <c r="K43" i="4" s="1"/>
  <c r="L180" i="4"/>
  <c r="K180" i="4" s="1"/>
  <c r="L190" i="4"/>
  <c r="K190" i="4" s="1"/>
  <c r="L142" i="4"/>
  <c r="K142" i="4" s="1"/>
  <c r="L11" i="4"/>
  <c r="K11" i="4" s="1"/>
  <c r="L124" i="4"/>
  <c r="K124" i="4" s="1"/>
  <c r="L169" i="4"/>
  <c r="K169" i="4" s="1"/>
  <c r="L18" i="4"/>
  <c r="K18" i="4" s="1"/>
  <c r="L137" i="4"/>
  <c r="K137" i="4" s="1"/>
  <c r="L73" i="4"/>
  <c r="K73" i="4" s="1"/>
  <c r="L36" i="4"/>
  <c r="K36" i="4" s="1"/>
  <c r="L77" i="4"/>
  <c r="K77" i="4" s="1"/>
  <c r="L78" i="4"/>
  <c r="K78" i="4" s="1"/>
  <c r="L104" i="4"/>
  <c r="K104" i="4" s="1"/>
  <c r="L179" i="4"/>
  <c r="K179" i="4" s="1"/>
  <c r="L83" i="4"/>
  <c r="K83" i="4" s="1"/>
  <c r="L135" i="4"/>
  <c r="K135" i="4" s="1"/>
  <c r="L40" i="4"/>
  <c r="K40" i="4" s="1"/>
  <c r="L168" i="4"/>
  <c r="K168" i="4" s="1"/>
  <c r="L16" i="4"/>
  <c r="K16" i="4" s="1"/>
  <c r="L69" i="4"/>
  <c r="K69" i="4" s="1"/>
  <c r="L37" i="4"/>
  <c r="K37" i="4" s="1"/>
  <c r="L176" i="4"/>
  <c r="K176" i="4" s="1"/>
  <c r="L26" i="4"/>
  <c r="K26" i="4" s="1"/>
  <c r="L93" i="4"/>
  <c r="K93" i="4" s="1"/>
  <c r="L158" i="4"/>
  <c r="K158" i="4" s="1"/>
  <c r="L108" i="4"/>
  <c r="K108" i="4" s="1"/>
  <c r="L181" i="4"/>
  <c r="K181" i="4" s="1"/>
  <c r="L170" i="4"/>
  <c r="K170" i="4" s="1"/>
  <c r="L160" i="4"/>
  <c r="K160" i="4" s="1"/>
  <c r="L111" i="4"/>
  <c r="K111" i="4" s="1"/>
  <c r="L127" i="4"/>
  <c r="K127" i="4" s="1"/>
  <c r="L191" i="4"/>
  <c r="K191" i="4" s="1"/>
  <c r="L148" i="4"/>
  <c r="K148" i="4" s="1"/>
  <c r="L144" i="4"/>
  <c r="K144" i="4" s="1"/>
  <c r="L8" i="4"/>
  <c r="K8" i="4" s="1"/>
  <c r="L9" i="4"/>
  <c r="K9" i="4" s="1"/>
  <c r="L96" i="4"/>
  <c r="K96" i="4" s="1"/>
  <c r="L147" i="4"/>
  <c r="K147" i="4" s="1"/>
  <c r="L14" i="4"/>
  <c r="K14" i="4" s="1"/>
  <c r="L15" i="4"/>
  <c r="K15" i="4" s="1"/>
  <c r="L117" i="4"/>
  <c r="K117" i="4" s="1"/>
  <c r="L17" i="4"/>
  <c r="K17" i="4" s="1"/>
  <c r="L134" i="4"/>
  <c r="K134" i="4" s="1"/>
  <c r="L23" i="4"/>
  <c r="K23" i="4" s="1"/>
  <c r="L114" i="4"/>
  <c r="K114" i="4" s="1"/>
  <c r="L121" i="4"/>
  <c r="K121" i="4" s="1"/>
  <c r="L186" i="4"/>
  <c r="K186" i="4" s="1"/>
  <c r="L39" i="4"/>
  <c r="K39" i="4" s="1"/>
  <c r="L164" i="4"/>
  <c r="K164" i="4" s="1"/>
  <c r="L33" i="4"/>
  <c r="K33" i="4" s="1"/>
  <c r="L161" i="4"/>
  <c r="K161" i="4" s="1"/>
  <c r="L81" i="4"/>
  <c r="K81" i="4" s="1"/>
  <c r="L53" i="4"/>
  <c r="K53" i="4" s="1"/>
  <c r="L140" i="4"/>
  <c r="K140" i="4" s="1"/>
  <c r="L52" i="4"/>
  <c r="K52" i="4" s="1"/>
  <c r="L34" i="4"/>
  <c r="K34" i="4" s="1"/>
  <c r="L154" i="4"/>
  <c r="K154" i="4" s="1"/>
  <c r="L122" i="4"/>
  <c r="K122" i="4" s="1"/>
  <c r="L195" i="4"/>
  <c r="K195" i="4" s="1"/>
  <c r="L90" i="4"/>
  <c r="K90" i="4" s="1"/>
  <c r="L42" i="4"/>
  <c r="K42" i="4" s="1"/>
  <c r="L189" i="4"/>
  <c r="K189" i="4" s="1"/>
  <c r="L60" i="4"/>
  <c r="K60" i="4" s="1"/>
  <c r="L87" i="4"/>
  <c r="K87" i="4" s="1"/>
  <c r="L46" i="4"/>
  <c r="K46" i="4" s="1"/>
  <c r="L89" i="4"/>
  <c r="K89" i="4" s="1"/>
  <c r="L156" i="4"/>
  <c r="K156" i="4" s="1"/>
  <c r="L163" i="4"/>
  <c r="K163" i="4" s="1"/>
  <c r="L99" i="4"/>
  <c r="K99" i="4" s="1"/>
  <c r="L51" i="4"/>
  <c r="K51" i="4" s="1"/>
  <c r="L59" i="4"/>
  <c r="K59" i="4" s="1"/>
  <c r="L91" i="4"/>
  <c r="K91" i="4" s="1"/>
  <c r="L56" i="4"/>
  <c r="K56" i="4" s="1"/>
  <c r="L67" i="4"/>
  <c r="K67" i="4" s="1"/>
  <c r="L145" i="4"/>
  <c r="K145" i="4" s="1"/>
  <c r="L106" i="4"/>
  <c r="K106" i="4" s="1"/>
  <c r="L47" i="4"/>
  <c r="K47" i="4" s="1"/>
  <c r="L19" i="4"/>
  <c r="K19" i="4" s="1"/>
  <c r="L132" i="4"/>
  <c r="K132" i="4" s="1"/>
  <c r="L28" i="4"/>
  <c r="K28" i="4" s="1"/>
  <c r="L68" i="4"/>
  <c r="K68" i="4" s="1"/>
  <c r="L157" i="4"/>
  <c r="K157" i="4" s="1"/>
  <c r="L88" i="4"/>
  <c r="K88" i="4" s="1"/>
  <c r="L49" i="4"/>
  <c r="K49" i="4" s="1"/>
  <c r="L162" i="4"/>
  <c r="K162" i="4" s="1"/>
  <c r="E199" i="4"/>
  <c r="H199" i="4"/>
  <c r="I199" i="4"/>
  <c r="K199" i="4" s="1"/>
  <c r="D199" i="4"/>
</calcChain>
</file>

<file path=xl/sharedStrings.xml><?xml version="1.0" encoding="utf-8"?>
<sst xmlns="http://schemas.openxmlformats.org/spreadsheetml/2006/main" count="70" uniqueCount="66">
  <si>
    <t>URL</t>
  </si>
  <si>
    <t>https://coinmarketcap.com/coins/</t>
  </si>
  <si>
    <t>query type</t>
  </si>
  <si>
    <t>table</t>
  </si>
  <si>
    <t>index</t>
  </si>
  <si>
    <t>refresh</t>
  </si>
  <si>
    <t>date</t>
  </si>
  <si>
    <t>Price</t>
  </si>
  <si>
    <t>Daily Volume</t>
  </si>
  <si>
    <t>Weekly Volume</t>
  </si>
  <si>
    <t>Date</t>
  </si>
  <si>
    <t>Weekly Close</t>
  </si>
  <si>
    <t>Weekly Volatility</t>
  </si>
  <si>
    <t>Weekly Variance</t>
  </si>
  <si>
    <t>14 Week MA Volatility</t>
  </si>
  <si>
    <t>Weekly Weighted Volume</t>
  </si>
  <si>
    <t>14 Week VWAP MA</t>
  </si>
  <si>
    <t>Multiple calculation</t>
  </si>
  <si>
    <t>Buy/Sell Multiplier</t>
  </si>
  <si>
    <t>Price lower 2 SD</t>
  </si>
  <si>
    <t>price upper 2 SD</t>
  </si>
  <si>
    <t>Price lower 3 SD</t>
  </si>
  <si>
    <t>price upper 3 SD</t>
  </si>
  <si>
    <t>Price lower 4 SD</t>
  </si>
  <si>
    <t>price upper 4 SD</t>
  </si>
  <si>
    <t>AVG</t>
  </si>
  <si>
    <t>MIN</t>
  </si>
  <si>
    <t>MAX</t>
  </si>
  <si>
    <t>AVG VAR</t>
  </si>
  <si>
    <t>SD</t>
  </si>
  <si>
    <t>Bitcoin</t>
  </si>
  <si>
    <t>Trade Date</t>
  </si>
  <si>
    <t>Week</t>
  </si>
  <si>
    <t>BTC price</t>
  </si>
  <si>
    <t>Change from First day of Entry</t>
  </si>
  <si>
    <t>Investment Multiple Optimum scenario</t>
  </si>
  <si>
    <t>Investment Amount Optimum scenario</t>
  </si>
  <si>
    <t>BTC unit Optimum scenario</t>
  </si>
  <si>
    <t>Total Investment Optimum scenario</t>
  </si>
  <si>
    <t>Capital Balance Optimum scenario</t>
  </si>
  <si>
    <t>Rolling Weekly Profit/Loss</t>
  </si>
  <si>
    <t>AVG buying price Optimum DCA</t>
  </si>
  <si>
    <t>BTC unit Simple DCA</t>
  </si>
  <si>
    <t>Investment Amount DCA scenario</t>
  </si>
  <si>
    <t>AVG buying price Simple DCA</t>
  </si>
  <si>
    <t>Capital and Risk Management</t>
  </si>
  <si>
    <t xml:space="preserve">Capital Reserve </t>
  </si>
  <si>
    <t>Total Investment</t>
  </si>
  <si>
    <t>Investment Period (months)</t>
  </si>
  <si>
    <t>Weekly Budget</t>
  </si>
  <si>
    <t>Investment Period (weeks)</t>
  </si>
  <si>
    <t>Reserve cap</t>
  </si>
  <si>
    <t>Holding value</t>
  </si>
  <si>
    <t>Profit %</t>
  </si>
  <si>
    <t>Profit $</t>
  </si>
  <si>
    <t>Total BTC unit</t>
  </si>
  <si>
    <t>Total investment</t>
  </si>
  <si>
    <t>AVG daily investment</t>
  </si>
  <si>
    <t>Investment Capital balance</t>
  </si>
  <si>
    <t>Average buying price</t>
  </si>
  <si>
    <t>Balance BTC value now</t>
  </si>
  <si>
    <t>Optimum DCA</t>
  </si>
  <si>
    <t>Simple DCA</t>
  </si>
  <si>
    <t>Buy &amp; HODL</t>
  </si>
  <si>
    <t>Close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</si>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</sst>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"/>
    <numFmt numFmtId="165" formatCode="m/d/yyyy"/>
    <numFmt numFmtId="166" formatCode="&quot;$&quot;#,##0"/>
    <numFmt numFmtId="167" formatCode="[$$]#,##0"/>
    <numFmt numFmtId="168" formatCode="#,##0.00000000"/>
    <numFmt numFmtId="169" formatCode="0.00000000"/>
    <numFmt numFmtId="170" formatCode="yyyy\-mm\-dd"/>
  </numFmts>
  <fonts count="11">
    <font>
      <sz val="10"/>
      <color rgb="FF000000"/>
      <name val="Arial"/>
      <scheme val="minor"/>
    </font>
    <font>
      <sz val="11"/>
      <color theme="1"/>
      <name val="Arial"/>
      <family val="2"/>
    </font>
    <font>
      <u/>
      <sz val="11"/>
      <color rgb="FF008000"/>
      <name val="Google Sans Mono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rgb="FF000000"/>
      <name val="Arial"/>
      <family val="2"/>
      <scheme val="minor"/>
    </font>
    <font>
      <sz val="10"/>
      <name val="Arial"/>
      <family val="2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2EBF0"/>
        <bgColor rgb="FFD2EBF0"/>
      </patternFill>
    </fill>
    <fill>
      <patternFill patternType="solid">
        <fgColor rgb="FFFFFF00"/>
        <bgColor rgb="FFFFFF00"/>
      </patternFill>
    </fill>
    <fill>
      <patternFill patternType="solid">
        <fgColor rgb="FFC5E0B3"/>
        <bgColor rgb="FFC5E0B3"/>
      </patternFill>
    </fill>
    <fill>
      <patternFill patternType="solid">
        <fgColor rgb="FF00FF00"/>
        <bgColor rgb="FF00FF00"/>
      </patternFill>
    </fill>
    <fill>
      <patternFill patternType="solid">
        <fgColor rgb="FFE2F3EB"/>
        <bgColor rgb="FFE2F3EB"/>
      </patternFill>
    </fill>
    <fill>
      <patternFill patternType="solid">
        <fgColor rgb="FFC6E0B4"/>
        <bgColor rgb="FFC6E0B4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00FFFF"/>
        <bgColor rgb="FF00FFFF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87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1" fillId="0" borderId="2" xfId="0" applyFont="1" applyBorder="1" applyAlignment="1">
      <alignment horizontal="center"/>
    </xf>
    <xf numFmtId="0" fontId="4" fillId="0" borderId="3" xfId="0" applyFont="1" applyBorder="1"/>
    <xf numFmtId="0" fontId="4" fillId="3" borderId="2" xfId="0" applyFont="1" applyFill="1" applyBorder="1"/>
    <xf numFmtId="164" fontId="3" fillId="4" borderId="0" xfId="0" applyNumberFormat="1" applyFont="1" applyFill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5" fillId="5" borderId="4" xfId="0" applyNumberFormat="1" applyFont="1" applyFill="1" applyBorder="1" applyAlignment="1">
      <alignment horizontal="center"/>
    </xf>
    <xf numFmtId="164" fontId="5" fillId="5" borderId="4" xfId="0" applyNumberFormat="1" applyFont="1" applyFill="1" applyBorder="1" applyAlignment="1">
      <alignment horizontal="center" vertical="center"/>
    </xf>
    <xf numFmtId="166" fontId="5" fillId="5" borderId="4" xfId="0" applyNumberFormat="1" applyFont="1" applyFill="1" applyBorder="1" applyAlignment="1">
      <alignment horizontal="center" vertical="center"/>
    </xf>
    <xf numFmtId="166" fontId="5" fillId="5" borderId="4" xfId="0" applyNumberFormat="1" applyFont="1" applyFill="1" applyBorder="1" applyAlignment="1">
      <alignment horizontal="center"/>
    </xf>
    <xf numFmtId="165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 applyAlignment="1">
      <alignment horizontal="center" vertical="center"/>
    </xf>
    <xf numFmtId="166" fontId="1" fillId="0" borderId="4" xfId="0" applyNumberFormat="1" applyFont="1" applyBorder="1"/>
    <xf numFmtId="164" fontId="1" fillId="6" borderId="4" xfId="0" applyNumberFormat="1" applyFont="1" applyFill="1" applyBorder="1" applyAlignment="1">
      <alignment horizontal="center" vertical="center"/>
    </xf>
    <xf numFmtId="166" fontId="1" fillId="2" borderId="4" xfId="0" applyNumberFormat="1" applyFont="1" applyFill="1" applyBorder="1" applyAlignment="1">
      <alignment horizontal="center"/>
    </xf>
    <xf numFmtId="167" fontId="1" fillId="7" borderId="4" xfId="0" applyNumberFormat="1" applyFont="1" applyFill="1" applyBorder="1" applyAlignment="1">
      <alignment horizontal="center" vertical="center"/>
    </xf>
    <xf numFmtId="165" fontId="6" fillId="8" borderId="5" xfId="0" applyNumberFormat="1" applyFont="1" applyFill="1" applyBorder="1" applyAlignment="1">
      <alignment horizontal="center" vertical="center" wrapText="1"/>
    </xf>
    <xf numFmtId="164" fontId="6" fillId="9" borderId="6" xfId="0" applyNumberFormat="1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10" fontId="6" fillId="8" borderId="5" xfId="0" applyNumberFormat="1" applyFont="1" applyFill="1" applyBorder="1" applyAlignment="1">
      <alignment horizontal="center" vertical="center" wrapText="1"/>
    </xf>
    <xf numFmtId="10" fontId="6" fillId="5" borderId="5" xfId="0" applyNumberFormat="1" applyFont="1" applyFill="1" applyBorder="1" applyAlignment="1">
      <alignment horizontal="center" vertical="center" wrapText="1"/>
    </xf>
    <xf numFmtId="166" fontId="6" fillId="5" borderId="5" xfId="0" applyNumberFormat="1" applyFont="1" applyFill="1" applyBorder="1" applyAlignment="1">
      <alignment horizontal="center" vertical="center" wrapText="1"/>
    </xf>
    <xf numFmtId="164" fontId="6" fillId="8" borderId="5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66" fontId="6" fillId="8" borderId="5" xfId="0" applyNumberFormat="1" applyFont="1" applyFill="1" applyBorder="1" applyAlignment="1">
      <alignment horizontal="center" vertical="center" wrapText="1"/>
    </xf>
    <xf numFmtId="166" fontId="4" fillId="0" borderId="0" xfId="0" applyNumberFormat="1" applyFont="1" applyAlignment="1">
      <alignment horizontal="center" vertical="center"/>
    </xf>
    <xf numFmtId="164" fontId="7" fillId="5" borderId="5" xfId="0" applyNumberFormat="1" applyFont="1" applyFill="1" applyBorder="1" applyAlignment="1">
      <alignment horizontal="center" vertical="center" wrapText="1"/>
    </xf>
    <xf numFmtId="164" fontId="7" fillId="5" borderId="7" xfId="0" applyNumberFormat="1" applyFont="1" applyFill="1" applyBorder="1" applyAlignment="1">
      <alignment horizontal="center" vertical="center" wrapText="1"/>
    </xf>
    <xf numFmtId="164" fontId="7" fillId="5" borderId="8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 wrapText="1"/>
    </xf>
    <xf numFmtId="166" fontId="3" fillId="0" borderId="0" xfId="0" applyNumberFormat="1" applyFont="1" applyAlignment="1">
      <alignment horizontal="center" vertical="center"/>
    </xf>
    <xf numFmtId="10" fontId="8" fillId="4" borderId="5" xfId="0" applyNumberFormat="1" applyFont="1" applyFill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/>
    </xf>
    <xf numFmtId="166" fontId="3" fillId="0" borderId="5" xfId="0" applyNumberFormat="1" applyFont="1" applyBorder="1" applyAlignment="1">
      <alignment horizontal="center" vertical="center"/>
    </xf>
    <xf numFmtId="10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64" fontId="4" fillId="10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 wrapText="1"/>
    </xf>
    <xf numFmtId="164" fontId="4" fillId="10" borderId="0" xfId="0" applyNumberFormat="1" applyFont="1" applyFill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 wrapText="1"/>
    </xf>
    <xf numFmtId="168" fontId="5" fillId="4" borderId="5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0" fontId="5" fillId="4" borderId="5" xfId="0" applyNumberFormat="1" applyFont="1" applyFill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/>
    </xf>
    <xf numFmtId="165" fontId="3" fillId="11" borderId="5" xfId="0" applyNumberFormat="1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168" fontId="3" fillId="0" borderId="5" xfId="0" applyNumberFormat="1" applyFont="1" applyBorder="1" applyAlignment="1">
      <alignment horizontal="center" vertical="center"/>
    </xf>
    <xf numFmtId="0" fontId="5" fillId="4" borderId="5" xfId="0" applyFont="1" applyFill="1" applyBorder="1" applyAlignment="1">
      <alignment horizontal="center" wrapText="1"/>
    </xf>
    <xf numFmtId="164" fontId="5" fillId="12" borderId="5" xfId="0" applyNumberFormat="1" applyFont="1" applyFill="1" applyBorder="1" applyAlignment="1">
      <alignment horizontal="center" wrapText="1"/>
    </xf>
    <xf numFmtId="3" fontId="5" fillId="12" borderId="5" xfId="0" applyNumberFormat="1" applyFont="1" applyFill="1" applyBorder="1" applyAlignment="1">
      <alignment horizontal="center" wrapText="1"/>
    </xf>
    <xf numFmtId="164" fontId="5" fillId="13" borderId="5" xfId="0" applyNumberFormat="1" applyFont="1" applyFill="1" applyBorder="1" applyAlignment="1">
      <alignment horizontal="center" wrapText="1"/>
    </xf>
    <xf numFmtId="3" fontId="5" fillId="13" borderId="5" xfId="0" applyNumberFormat="1" applyFont="1" applyFill="1" applyBorder="1" applyAlignment="1">
      <alignment horizontal="center" wrapText="1"/>
    </xf>
    <xf numFmtId="10" fontId="5" fillId="13" borderId="5" xfId="0" applyNumberFormat="1" applyFont="1" applyFill="1" applyBorder="1" applyAlignment="1">
      <alignment horizontal="center" wrapText="1"/>
    </xf>
    <xf numFmtId="168" fontId="3" fillId="0" borderId="0" xfId="0" applyNumberFormat="1" applyFont="1" applyAlignment="1">
      <alignment horizontal="center" vertical="center"/>
    </xf>
    <xf numFmtId="0" fontId="5" fillId="11" borderId="14" xfId="0" applyFont="1" applyFill="1" applyBorder="1"/>
    <xf numFmtId="0" fontId="4" fillId="11" borderId="6" xfId="0" applyFont="1" applyFill="1" applyBorder="1"/>
    <xf numFmtId="169" fontId="3" fillId="0" borderId="5" xfId="0" applyNumberFormat="1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/>
    <xf numFmtId="170" fontId="3" fillId="0" borderId="0" xfId="0" applyNumberFormat="1" applyFont="1"/>
    <xf numFmtId="10" fontId="3" fillId="0" borderId="0" xfId="1" applyNumberFormat="1" applyFont="1" applyAlignment="1">
      <alignment horizontal="center" vertical="center"/>
    </xf>
    <xf numFmtId="10" fontId="0" fillId="0" borderId="0" xfId="1" applyNumberFormat="1" applyFont="1"/>
    <xf numFmtId="10" fontId="4" fillId="11" borderId="9" xfId="0" applyNumberFormat="1" applyFont="1" applyFill="1" applyBorder="1" applyAlignment="1">
      <alignment horizontal="center" vertical="center"/>
    </xf>
    <xf numFmtId="0" fontId="9" fillId="0" borderId="10" xfId="0" applyFont="1" applyBorder="1"/>
    <xf numFmtId="0" fontId="9" fillId="0" borderId="11" xfId="0" applyFont="1" applyBorder="1"/>
    <xf numFmtId="0" fontId="5" fillId="4" borderId="12" xfId="0" applyFont="1" applyFill="1" applyBorder="1" applyAlignment="1">
      <alignment horizontal="center" wrapText="1"/>
    </xf>
    <xf numFmtId="0" fontId="9" fillId="0" borderId="13" xfId="0" applyFont="1" applyBorder="1"/>
    <xf numFmtId="0" fontId="5" fillId="4" borderId="14" xfId="0" applyFont="1" applyFill="1" applyBorder="1" applyAlignment="1">
      <alignment horizontal="center" vertical="center" wrapText="1"/>
    </xf>
    <xf numFmtId="0" fontId="9" fillId="0" borderId="6" xfId="0" applyFont="1" applyBorder="1"/>
    <xf numFmtId="10" fontId="1" fillId="6" borderId="9" xfId="0" applyNumberFormat="1" applyFont="1" applyFill="1" applyBorder="1" applyAlignment="1">
      <alignment horizontal="center" vertical="center" wrapText="1"/>
    </xf>
    <xf numFmtId="0" fontId="9" fillId="0" borderId="15" xfId="0" applyFont="1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</cellXfs>
  <cellStyles count="2">
    <cellStyle name="Normal" xfId="0" builtinId="0"/>
    <cellStyle name="Percent" xfId="1" builtinId="5"/>
  </cellStyles>
  <dxfs count="10">
    <dxf>
      <fill>
        <patternFill patternType="solid">
          <fgColor rgb="FFFFF2CC"/>
          <bgColor rgb="FFFFF2CC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EA9999"/>
          <bgColor rgb="FFEA9999"/>
        </patternFill>
      </fill>
    </dxf>
    <dxf>
      <font>
        <color rgb="FF000000"/>
      </font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layoutTarget val="inner"/>
          <c:xMode val="edge"/>
          <c:yMode val="edge"/>
          <c:x val="7.8929435180119106E-2"/>
          <c:y val="9.5911949685534598E-2"/>
          <c:w val="0.7538246465415388"/>
          <c:h val="0.88300302084880899"/>
        </c:manualLayout>
      </c:layout>
      <c:lineChart>
        <c:grouping val="standard"/>
        <c:varyColors val="1"/>
        <c:ser>
          <c:idx val="0"/>
          <c:order val="0"/>
          <c:tx>
            <c:strRef>
              <c:f>'weekly price'!$B$1</c:f>
              <c:strCache>
                <c:ptCount val="1"/>
                <c:pt idx="0">
                  <c:v>Weekly Close</c:v>
                </c:pt>
              </c:strCache>
            </c:strRef>
          </c:tx>
          <c:spPr>
            <a:ln cmpd="sng">
              <a:solidFill>
                <a:srgbClr val="000000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price'!$B$2:$B$578</c:f>
              <c:numCache>
                <c:formatCode>"$"#,##0.00</c:formatCode>
                <c:ptCount val="577"/>
                <c:pt idx="1">
                  <c:v>400.88</c:v>
                </c:pt>
                <c:pt idx="2">
                  <c:v>373.06</c:v>
                </c:pt>
                <c:pt idx="3">
                  <c:v>326.8</c:v>
                </c:pt>
                <c:pt idx="4">
                  <c:v>391.99</c:v>
                </c:pt>
                <c:pt idx="5">
                  <c:v>381.19</c:v>
                </c:pt>
                <c:pt idx="6">
                  <c:v>350.02</c:v>
                </c:pt>
                <c:pt idx="7">
                  <c:v>325.36</c:v>
                </c:pt>
                <c:pt idx="8">
                  <c:v>365.5</c:v>
                </c:pt>
                <c:pt idx="9">
                  <c:v>387.5</c:v>
                </c:pt>
                <c:pt idx="10">
                  <c:v>376.99</c:v>
                </c:pt>
                <c:pt idx="11">
                  <c:v>379.11</c:v>
                </c:pt>
                <c:pt idx="12">
                  <c:v>363.22</c:v>
                </c:pt>
                <c:pt idx="13">
                  <c:v>347.1</c:v>
                </c:pt>
                <c:pt idx="14">
                  <c:v>331.84</c:v>
                </c:pt>
                <c:pt idx="15">
                  <c:v>313.07</c:v>
                </c:pt>
                <c:pt idx="16">
                  <c:v>275</c:v>
                </c:pt>
                <c:pt idx="17">
                  <c:v>268.62</c:v>
                </c:pt>
                <c:pt idx="18">
                  <c:v>216.89</c:v>
                </c:pt>
                <c:pt idx="19">
                  <c:v>273.95</c:v>
                </c:pt>
                <c:pt idx="20">
                  <c:v>240.09</c:v>
                </c:pt>
                <c:pt idx="21">
                  <c:v>220.77</c:v>
                </c:pt>
                <c:pt idx="22">
                  <c:v>235.09</c:v>
                </c:pt>
                <c:pt idx="23">
                  <c:v>239.07</c:v>
                </c:pt>
                <c:pt idx="24">
                  <c:v>276.32</c:v>
                </c:pt>
                <c:pt idx="25">
                  <c:v>290.13</c:v>
                </c:pt>
                <c:pt idx="26">
                  <c:v>291.39</c:v>
                </c:pt>
                <c:pt idx="27">
                  <c:v>266.77999999999997</c:v>
                </c:pt>
                <c:pt idx="28">
                  <c:v>248.34</c:v>
                </c:pt>
                <c:pt idx="29">
                  <c:v>256.37</c:v>
                </c:pt>
                <c:pt idx="30">
                  <c:v>225.51</c:v>
                </c:pt>
                <c:pt idx="31">
                  <c:v>224.89</c:v>
                </c:pt>
                <c:pt idx="32">
                  <c:v>227.33</c:v>
                </c:pt>
                <c:pt idx="33">
                  <c:v>238.98</c:v>
                </c:pt>
                <c:pt idx="34">
                  <c:v>242.25</c:v>
                </c:pt>
                <c:pt idx="35">
                  <c:v>232.88</c:v>
                </c:pt>
                <c:pt idx="36">
                  <c:v>237</c:v>
                </c:pt>
                <c:pt idx="37">
                  <c:v>223.28</c:v>
                </c:pt>
                <c:pt idx="38">
                  <c:v>228.77</c:v>
                </c:pt>
                <c:pt idx="39">
                  <c:v>236.79</c:v>
                </c:pt>
                <c:pt idx="40">
                  <c:v>247.02</c:v>
                </c:pt>
                <c:pt idx="41">
                  <c:v>256.64999999999998</c:v>
                </c:pt>
                <c:pt idx="42">
                  <c:v>269.14</c:v>
                </c:pt>
                <c:pt idx="43">
                  <c:v>292.64999999999998</c:v>
                </c:pt>
                <c:pt idx="44">
                  <c:v>279.11</c:v>
                </c:pt>
                <c:pt idx="45">
                  <c:v>294.43</c:v>
                </c:pt>
                <c:pt idx="46">
                  <c:v>282.19</c:v>
                </c:pt>
                <c:pt idx="47">
                  <c:v>264.93</c:v>
                </c:pt>
                <c:pt idx="48">
                  <c:v>258.01</c:v>
                </c:pt>
                <c:pt idx="49">
                  <c:v>211.96</c:v>
                </c:pt>
                <c:pt idx="50">
                  <c:v>230.69</c:v>
                </c:pt>
                <c:pt idx="51">
                  <c:v>240.63</c:v>
                </c:pt>
                <c:pt idx="52">
                  <c:v>230.95</c:v>
                </c:pt>
                <c:pt idx="53">
                  <c:v>226.77</c:v>
                </c:pt>
                <c:pt idx="54">
                  <c:v>240.02</c:v>
                </c:pt>
                <c:pt idx="55">
                  <c:v>240.96</c:v>
                </c:pt>
                <c:pt idx="56">
                  <c:v>246.09</c:v>
                </c:pt>
                <c:pt idx="57">
                  <c:v>264.36</c:v>
                </c:pt>
                <c:pt idx="58">
                  <c:v>286.7</c:v>
                </c:pt>
                <c:pt idx="59">
                  <c:v>364.62</c:v>
                </c:pt>
                <c:pt idx="60">
                  <c:v>380.5</c:v>
                </c:pt>
                <c:pt idx="61">
                  <c:v>331.13</c:v>
                </c:pt>
                <c:pt idx="62">
                  <c:v>323.01</c:v>
                </c:pt>
                <c:pt idx="63">
                  <c:v>377.39</c:v>
                </c:pt>
                <c:pt idx="64">
                  <c:v>395.35</c:v>
                </c:pt>
                <c:pt idx="65">
                  <c:v>442.99</c:v>
                </c:pt>
                <c:pt idx="66">
                  <c:v>437.64</c:v>
                </c:pt>
                <c:pt idx="67">
                  <c:v>421.05</c:v>
                </c:pt>
                <c:pt idx="68">
                  <c:v>433.45</c:v>
                </c:pt>
                <c:pt idx="69">
                  <c:v>449.03</c:v>
                </c:pt>
                <c:pt idx="70">
                  <c:v>384.87</c:v>
                </c:pt>
                <c:pt idx="71">
                  <c:v>391.99</c:v>
                </c:pt>
                <c:pt idx="72">
                  <c:v>371.22</c:v>
                </c:pt>
                <c:pt idx="73">
                  <c:v>370.81</c:v>
                </c:pt>
                <c:pt idx="74">
                  <c:v>399.27</c:v>
                </c:pt>
                <c:pt idx="75">
                  <c:v>437.54</c:v>
                </c:pt>
                <c:pt idx="76">
                  <c:v>437.78</c:v>
                </c:pt>
                <c:pt idx="77">
                  <c:v>413.23</c:v>
                </c:pt>
                <c:pt idx="78">
                  <c:v>415.03</c:v>
                </c:pt>
                <c:pt idx="79">
                  <c:v>411.6</c:v>
                </c:pt>
                <c:pt idx="80">
                  <c:v>422.92</c:v>
                </c:pt>
                <c:pt idx="81">
                  <c:v>419.54</c:v>
                </c:pt>
                <c:pt idx="82">
                  <c:v>423.27</c:v>
                </c:pt>
                <c:pt idx="83">
                  <c:v>429.66</c:v>
                </c:pt>
                <c:pt idx="84">
                  <c:v>465.32</c:v>
                </c:pt>
                <c:pt idx="85">
                  <c:v>444.93</c:v>
                </c:pt>
                <c:pt idx="86">
                  <c:v>463.46</c:v>
                </c:pt>
                <c:pt idx="87">
                  <c:v>455.22</c:v>
                </c:pt>
                <c:pt idx="88">
                  <c:v>444.21</c:v>
                </c:pt>
                <c:pt idx="89">
                  <c:v>533.49</c:v>
                </c:pt>
                <c:pt idx="90">
                  <c:v>585.86</c:v>
                </c:pt>
                <c:pt idx="91">
                  <c:v>704.32</c:v>
                </c:pt>
                <c:pt idx="92">
                  <c:v>722.5</c:v>
                </c:pt>
                <c:pt idx="93">
                  <c:v>652.24</c:v>
                </c:pt>
                <c:pt idx="94">
                  <c:v>679.84</c:v>
                </c:pt>
                <c:pt idx="95">
                  <c:v>650.27</c:v>
                </c:pt>
                <c:pt idx="96">
                  <c:v>675.12</c:v>
                </c:pt>
                <c:pt idx="97">
                  <c:v>655.12</c:v>
                </c:pt>
                <c:pt idx="98">
                  <c:v>606.51</c:v>
                </c:pt>
                <c:pt idx="99">
                  <c:v>591.63</c:v>
                </c:pt>
                <c:pt idx="100">
                  <c:v>566.55999999999995</c:v>
                </c:pt>
                <c:pt idx="101">
                  <c:v>584.97</c:v>
                </c:pt>
                <c:pt idx="102">
                  <c:v>573.42999999999995</c:v>
                </c:pt>
                <c:pt idx="103">
                  <c:v>607.53</c:v>
                </c:pt>
                <c:pt idx="104">
                  <c:v>607.71</c:v>
                </c:pt>
                <c:pt idx="105">
                  <c:v>608.87</c:v>
                </c:pt>
                <c:pt idx="106">
                  <c:v>606.78</c:v>
                </c:pt>
                <c:pt idx="107">
                  <c:v>612.59</c:v>
                </c:pt>
                <c:pt idx="108">
                  <c:v>618.09</c:v>
                </c:pt>
                <c:pt idx="109">
                  <c:v>639.14</c:v>
                </c:pt>
                <c:pt idx="110">
                  <c:v>650.03</c:v>
                </c:pt>
                <c:pt idx="111">
                  <c:v>698.9</c:v>
                </c:pt>
                <c:pt idx="112">
                  <c:v>706.18</c:v>
                </c:pt>
                <c:pt idx="113">
                  <c:v>705.64</c:v>
                </c:pt>
                <c:pt idx="114">
                  <c:v>736.51</c:v>
                </c:pt>
                <c:pt idx="115">
                  <c:v>730.08</c:v>
                </c:pt>
                <c:pt idx="116">
                  <c:v>752.67</c:v>
                </c:pt>
                <c:pt idx="117">
                  <c:v>778.51</c:v>
                </c:pt>
                <c:pt idx="118">
                  <c:v>790.28</c:v>
                </c:pt>
                <c:pt idx="119">
                  <c:v>903.2</c:v>
                </c:pt>
                <c:pt idx="120">
                  <c:v>1017.08</c:v>
                </c:pt>
                <c:pt idx="121">
                  <c:v>903.51</c:v>
                </c:pt>
                <c:pt idx="122">
                  <c:v>830.84</c:v>
                </c:pt>
                <c:pt idx="123">
                  <c:v>919.12</c:v>
                </c:pt>
                <c:pt idx="124">
                  <c:v>920.31</c:v>
                </c:pt>
                <c:pt idx="125">
                  <c:v>1023.32</c:v>
                </c:pt>
                <c:pt idx="126">
                  <c:v>999.95</c:v>
                </c:pt>
                <c:pt idx="127">
                  <c:v>1088.69</c:v>
                </c:pt>
                <c:pt idx="128">
                  <c:v>1194.1500000000001</c:v>
                </c:pt>
                <c:pt idx="129">
                  <c:v>1282.25</c:v>
                </c:pt>
                <c:pt idx="130">
                  <c:v>1239.4000000000001</c:v>
                </c:pt>
                <c:pt idx="131">
                  <c:v>1037.76</c:v>
                </c:pt>
                <c:pt idx="132">
                  <c:v>1042.92</c:v>
                </c:pt>
                <c:pt idx="133">
                  <c:v>1144.6600000000001</c:v>
                </c:pt>
                <c:pt idx="134">
                  <c:v>1211.6500000000001</c:v>
                </c:pt>
                <c:pt idx="135">
                  <c:v>1191.9000000000001</c:v>
                </c:pt>
                <c:pt idx="136">
                  <c:v>1257.24</c:v>
                </c:pt>
                <c:pt idx="137">
                  <c:v>1436.94</c:v>
                </c:pt>
                <c:pt idx="138">
                  <c:v>1685.09</c:v>
                </c:pt>
                <c:pt idx="139">
                  <c:v>1736.88</c:v>
                </c:pt>
                <c:pt idx="140">
                  <c:v>2078.94</c:v>
                </c:pt>
                <c:pt idx="141">
                  <c:v>2284.7199999999998</c:v>
                </c:pt>
                <c:pt idx="142">
                  <c:v>2685.32</c:v>
                </c:pt>
                <c:pt idx="143">
                  <c:v>2665.43</c:v>
                </c:pt>
                <c:pt idx="144">
                  <c:v>2589.64</c:v>
                </c:pt>
                <c:pt idx="145">
                  <c:v>2426.37</c:v>
                </c:pt>
                <c:pt idx="146">
                  <c:v>2551.9299999999998</c:v>
                </c:pt>
                <c:pt idx="147">
                  <c:v>2319.37</c:v>
                </c:pt>
                <c:pt idx="148">
                  <c:v>2215.75</c:v>
                </c:pt>
                <c:pt idx="149">
                  <c:v>2755.16</c:v>
                </c:pt>
                <c:pt idx="150">
                  <c:v>2862.61</c:v>
                </c:pt>
                <c:pt idx="151">
                  <c:v>3392.56</c:v>
                </c:pt>
                <c:pt idx="152">
                  <c:v>4304.6000000000004</c:v>
                </c:pt>
                <c:pt idx="153">
                  <c:v>3992.63</c:v>
                </c:pt>
                <c:pt idx="154">
                  <c:v>4379.76</c:v>
                </c:pt>
                <c:pt idx="155">
                  <c:v>4374.75</c:v>
                </c:pt>
                <c:pt idx="156">
                  <c:v>4212.55</c:v>
                </c:pt>
                <c:pt idx="157">
                  <c:v>4080.43</c:v>
                </c:pt>
                <c:pt idx="158">
                  <c:v>3918.74</c:v>
                </c:pt>
                <c:pt idx="159">
                  <c:v>4386.88</c:v>
                </c:pt>
                <c:pt idx="160">
                  <c:v>4777.53</c:v>
                </c:pt>
                <c:pt idx="161">
                  <c:v>5756.15</c:v>
                </c:pt>
                <c:pt idx="162">
                  <c:v>5888.25</c:v>
                </c:pt>
                <c:pt idx="163">
                  <c:v>6119.26</c:v>
                </c:pt>
                <c:pt idx="164">
                  <c:v>6985.26</c:v>
                </c:pt>
                <c:pt idx="165">
                  <c:v>6519.45</c:v>
                </c:pt>
                <c:pt idx="166">
                  <c:v>8269.8700000000008</c:v>
                </c:pt>
                <c:pt idx="167">
                  <c:v>9730.73</c:v>
                </c:pt>
                <c:pt idx="168">
                  <c:v>11562.13</c:v>
                </c:pt>
                <c:pt idx="169">
                  <c:v>16873.5</c:v>
                </c:pt>
                <c:pt idx="170">
                  <c:v>18982.03</c:v>
                </c:pt>
                <c:pt idx="171">
                  <c:v>14080.94</c:v>
                </c:pt>
                <c:pt idx="172">
                  <c:v>13464.65</c:v>
                </c:pt>
                <c:pt idx="173">
                  <c:v>14937.42</c:v>
                </c:pt>
                <c:pt idx="174">
                  <c:v>13591.7</c:v>
                </c:pt>
                <c:pt idx="175">
                  <c:v>10737.35</c:v>
                </c:pt>
                <c:pt idx="176">
                  <c:v>11132.55</c:v>
                </c:pt>
                <c:pt idx="177">
                  <c:v>6849.54</c:v>
                </c:pt>
                <c:pt idx="178">
                  <c:v>8907.67</c:v>
                </c:pt>
                <c:pt idx="179">
                  <c:v>11139.36</c:v>
                </c:pt>
                <c:pt idx="180">
                  <c:v>10312.370000000001</c:v>
                </c:pt>
                <c:pt idx="181">
                  <c:v>11540.66</c:v>
                </c:pt>
                <c:pt idx="182">
                  <c:v>9147.89</c:v>
                </c:pt>
                <c:pt idx="183">
                  <c:v>8537.02</c:v>
                </c:pt>
                <c:pt idx="184">
                  <c:v>8171.18</c:v>
                </c:pt>
                <c:pt idx="185">
                  <c:v>7033.26</c:v>
                </c:pt>
                <c:pt idx="186">
                  <c:v>6736.89</c:v>
                </c:pt>
                <c:pt idx="187">
                  <c:v>8046.98</c:v>
                </c:pt>
                <c:pt idx="188">
                  <c:v>8930.7800000000007</c:v>
                </c:pt>
                <c:pt idx="189">
                  <c:v>9228.73</c:v>
                </c:pt>
                <c:pt idx="190">
                  <c:v>9339.51</c:v>
                </c:pt>
                <c:pt idx="191">
                  <c:v>8671.07</c:v>
                </c:pt>
                <c:pt idx="192">
                  <c:v>8398.6200000000008</c:v>
                </c:pt>
                <c:pt idx="193">
                  <c:v>7110.82</c:v>
                </c:pt>
                <c:pt idx="194">
                  <c:v>7486.65</c:v>
                </c:pt>
                <c:pt idx="195">
                  <c:v>6849.45</c:v>
                </c:pt>
                <c:pt idx="196">
                  <c:v>6703.81</c:v>
                </c:pt>
                <c:pt idx="197">
                  <c:v>6243.54</c:v>
                </c:pt>
                <c:pt idx="198">
                  <c:v>6608.37</c:v>
                </c:pt>
                <c:pt idx="199">
                  <c:v>6664.02</c:v>
                </c:pt>
                <c:pt idx="200">
                  <c:v>6710.81</c:v>
                </c:pt>
                <c:pt idx="201">
                  <c:v>7716.16</c:v>
                </c:pt>
                <c:pt idx="202">
                  <c:v>8171.84</c:v>
                </c:pt>
                <c:pt idx="203">
                  <c:v>6929.99</c:v>
                </c:pt>
                <c:pt idx="204">
                  <c:v>6265.85</c:v>
                </c:pt>
                <c:pt idx="205">
                  <c:v>6272.95</c:v>
                </c:pt>
                <c:pt idx="206">
                  <c:v>6839.16</c:v>
                </c:pt>
                <c:pt idx="207">
                  <c:v>7257.47</c:v>
                </c:pt>
                <c:pt idx="208">
                  <c:v>6295.39</c:v>
                </c:pt>
                <c:pt idx="209">
                  <c:v>6258.59</c:v>
                </c:pt>
                <c:pt idx="210">
                  <c:v>6576.55</c:v>
                </c:pt>
                <c:pt idx="211">
                  <c:v>6561.81</c:v>
                </c:pt>
                <c:pt idx="212">
                  <c:v>6604.69</c:v>
                </c:pt>
                <c:pt idx="213">
                  <c:v>6442.72</c:v>
                </c:pt>
                <c:pt idx="214">
                  <c:v>6408.03</c:v>
                </c:pt>
                <c:pt idx="215">
                  <c:v>6263.04</c:v>
                </c:pt>
                <c:pt idx="216">
                  <c:v>6402.95</c:v>
                </c:pt>
                <c:pt idx="217">
                  <c:v>6320.66</c:v>
                </c:pt>
                <c:pt idx="218">
                  <c:v>4792.2</c:v>
                </c:pt>
                <c:pt idx="219">
                  <c:v>3700.29</c:v>
                </c:pt>
                <c:pt idx="220">
                  <c:v>3843.98</c:v>
                </c:pt>
                <c:pt idx="221">
                  <c:v>3413.59</c:v>
                </c:pt>
                <c:pt idx="222">
                  <c:v>3499.16</c:v>
                </c:pt>
                <c:pt idx="223">
                  <c:v>4040.05</c:v>
                </c:pt>
                <c:pt idx="224">
                  <c:v>3687.2</c:v>
                </c:pt>
                <c:pt idx="225">
                  <c:v>4001.02</c:v>
                </c:pt>
                <c:pt idx="226">
                  <c:v>3666.95</c:v>
                </c:pt>
                <c:pt idx="227">
                  <c:v>3535.62</c:v>
                </c:pt>
                <c:pt idx="228">
                  <c:v>3435.05</c:v>
                </c:pt>
                <c:pt idx="229">
                  <c:v>3411.39</c:v>
                </c:pt>
                <c:pt idx="230">
                  <c:v>3590.62</c:v>
                </c:pt>
                <c:pt idx="231">
                  <c:v>3866.13</c:v>
                </c:pt>
                <c:pt idx="232">
                  <c:v>3822.02</c:v>
                </c:pt>
                <c:pt idx="233">
                  <c:v>3698.16</c:v>
                </c:pt>
                <c:pt idx="234">
                  <c:v>3851.57</c:v>
                </c:pt>
                <c:pt idx="235">
                  <c:v>3969.44</c:v>
                </c:pt>
                <c:pt idx="236">
                  <c:v>3908.24</c:v>
                </c:pt>
                <c:pt idx="237">
                  <c:v>4138.42</c:v>
                </c:pt>
                <c:pt idx="238">
                  <c:v>5283.42</c:v>
                </c:pt>
                <c:pt idx="239">
                  <c:v>5042.8999999999996</c:v>
                </c:pt>
                <c:pt idx="240">
                  <c:v>5383.8</c:v>
                </c:pt>
                <c:pt idx="241">
                  <c:v>5148.8</c:v>
                </c:pt>
                <c:pt idx="242">
                  <c:v>5691.69</c:v>
                </c:pt>
                <c:pt idx="243">
                  <c:v>7798.91</c:v>
                </c:pt>
                <c:pt idx="244">
                  <c:v>7981.14</c:v>
                </c:pt>
                <c:pt idx="245">
                  <c:v>8816.7900000000009</c:v>
                </c:pt>
                <c:pt idx="246">
                  <c:v>8173.4</c:v>
                </c:pt>
                <c:pt idx="247">
                  <c:v>7993.3</c:v>
                </c:pt>
                <c:pt idx="248">
                  <c:v>9340.57</c:v>
                </c:pt>
                <c:pt idx="249">
                  <c:v>11004.21</c:v>
                </c:pt>
                <c:pt idx="250">
                  <c:v>10569.55</c:v>
                </c:pt>
                <c:pt idx="251">
                  <c:v>12319.62</c:v>
                </c:pt>
                <c:pt idx="252">
                  <c:v>10926.38</c:v>
                </c:pt>
                <c:pt idx="253">
                  <c:v>10318.56</c:v>
                </c:pt>
                <c:pt idx="254">
                  <c:v>9504.16</c:v>
                </c:pt>
                <c:pt idx="255">
                  <c:v>11790.02</c:v>
                </c:pt>
                <c:pt idx="256">
                  <c:v>11384.7</c:v>
                </c:pt>
                <c:pt idx="257">
                  <c:v>10884.63</c:v>
                </c:pt>
                <c:pt idx="258">
                  <c:v>10362.64</c:v>
                </c:pt>
                <c:pt idx="259">
                  <c:v>10377.34</c:v>
                </c:pt>
                <c:pt idx="260">
                  <c:v>10332.459999999999</c:v>
                </c:pt>
                <c:pt idx="261">
                  <c:v>10257.82</c:v>
                </c:pt>
                <c:pt idx="262">
                  <c:v>9692.74</c:v>
                </c:pt>
                <c:pt idx="263">
                  <c:v>8282.3700000000008</c:v>
                </c:pt>
                <c:pt idx="264">
                  <c:v>8226.02</c:v>
                </c:pt>
                <c:pt idx="265">
                  <c:v>8346.3700000000008</c:v>
                </c:pt>
                <c:pt idx="266">
                  <c:v>8211.65</c:v>
                </c:pt>
                <c:pt idx="267">
                  <c:v>9319.18</c:v>
                </c:pt>
                <c:pt idx="268">
                  <c:v>9418.36</c:v>
                </c:pt>
                <c:pt idx="269">
                  <c:v>8713.2099999999991</c:v>
                </c:pt>
                <c:pt idx="270">
                  <c:v>8183.53</c:v>
                </c:pt>
                <c:pt idx="271">
                  <c:v>7139.04</c:v>
                </c:pt>
                <c:pt idx="272">
                  <c:v>7318.31</c:v>
                </c:pt>
                <c:pt idx="273">
                  <c:v>7340.23</c:v>
                </c:pt>
                <c:pt idx="274">
                  <c:v>6882.4</c:v>
                </c:pt>
                <c:pt idx="275">
                  <c:v>7321.75</c:v>
                </c:pt>
                <c:pt idx="276">
                  <c:v>7229.4</c:v>
                </c:pt>
                <c:pt idx="277">
                  <c:v>7765.8</c:v>
                </c:pt>
                <c:pt idx="278">
                  <c:v>8121.93</c:v>
                </c:pt>
                <c:pt idx="279">
                  <c:v>8636.26</c:v>
                </c:pt>
                <c:pt idx="280">
                  <c:v>8901.9599999999991</c:v>
                </c:pt>
                <c:pt idx="281">
                  <c:v>9279.81</c:v>
                </c:pt>
                <c:pt idx="282">
                  <c:v>9872.36</c:v>
                </c:pt>
                <c:pt idx="283">
                  <c:v>9683.08</c:v>
                </c:pt>
                <c:pt idx="284">
                  <c:v>9648.01</c:v>
                </c:pt>
                <c:pt idx="285">
                  <c:v>8906.2099999999991</c:v>
                </c:pt>
                <c:pt idx="286">
                  <c:v>7896.39</c:v>
                </c:pt>
                <c:pt idx="287">
                  <c:v>5012.93</c:v>
                </c:pt>
                <c:pt idx="288">
                  <c:v>6486.41</c:v>
                </c:pt>
                <c:pt idx="289">
                  <c:v>6436.91</c:v>
                </c:pt>
                <c:pt idx="290">
                  <c:v>7298.17</c:v>
                </c:pt>
                <c:pt idx="291">
                  <c:v>6863.58</c:v>
                </c:pt>
                <c:pt idx="292">
                  <c:v>6853.27</c:v>
                </c:pt>
                <c:pt idx="293">
                  <c:v>7777.49</c:v>
                </c:pt>
                <c:pt idx="294">
                  <c:v>8881.9500000000007</c:v>
                </c:pt>
                <c:pt idx="295">
                  <c:v>8591.65</c:v>
                </c:pt>
                <c:pt idx="296">
                  <c:v>9726.85</c:v>
                </c:pt>
                <c:pt idx="297">
                  <c:v>8909.19</c:v>
                </c:pt>
                <c:pt idx="298">
                  <c:v>10199.14</c:v>
                </c:pt>
                <c:pt idx="299">
                  <c:v>9769.34</c:v>
                </c:pt>
                <c:pt idx="300">
                  <c:v>9441.3799999999992</c:v>
                </c:pt>
                <c:pt idx="301">
                  <c:v>9684.6200000000008</c:v>
                </c:pt>
                <c:pt idx="302">
                  <c:v>9184.25</c:v>
                </c:pt>
                <c:pt idx="303">
                  <c:v>9338.94</c:v>
                </c:pt>
                <c:pt idx="304">
                  <c:v>9236.6200000000008</c:v>
                </c:pt>
                <c:pt idx="305">
                  <c:v>9167.19</c:v>
                </c:pt>
                <c:pt idx="306">
                  <c:v>11046.51</c:v>
                </c:pt>
                <c:pt idx="307">
                  <c:v>11236.1</c:v>
                </c:pt>
                <c:pt idx="308">
                  <c:v>11870.37</c:v>
                </c:pt>
                <c:pt idx="309">
                  <c:v>12315.76</c:v>
                </c:pt>
                <c:pt idx="310">
                  <c:v>11771.41</c:v>
                </c:pt>
                <c:pt idx="311">
                  <c:v>11678.35</c:v>
                </c:pt>
                <c:pt idx="312">
                  <c:v>10367.879999999999</c:v>
                </c:pt>
                <c:pt idx="313">
                  <c:v>10662.72</c:v>
                </c:pt>
                <c:pt idx="314">
                  <c:v>10455.379999999999</c:v>
                </c:pt>
                <c:pt idx="315">
                  <c:v>10727.38</c:v>
                </c:pt>
                <c:pt idx="316">
                  <c:v>10772.64</c:v>
                </c:pt>
                <c:pt idx="317">
                  <c:v>11548.4</c:v>
                </c:pt>
                <c:pt idx="318">
                  <c:v>11745.81</c:v>
                </c:pt>
                <c:pt idx="319">
                  <c:v>13080.66</c:v>
                </c:pt>
                <c:pt idx="320">
                  <c:v>13595.56</c:v>
                </c:pt>
                <c:pt idx="321">
                  <c:v>15319.82</c:v>
                </c:pt>
                <c:pt idx="322">
                  <c:v>16743.05</c:v>
                </c:pt>
                <c:pt idx="323">
                  <c:v>18373.259999999998</c:v>
                </c:pt>
                <c:pt idx="324">
                  <c:v>19664.41</c:v>
                </c:pt>
                <c:pt idx="325">
                  <c:v>19182.18</c:v>
                </c:pt>
                <c:pt idx="326">
                  <c:v>19286.75</c:v>
                </c:pt>
                <c:pt idx="327">
                  <c:v>22937.42</c:v>
                </c:pt>
                <c:pt idx="328">
                  <c:v>27039.35</c:v>
                </c:pt>
                <c:pt idx="329">
                  <c:v>31802.15</c:v>
                </c:pt>
                <c:pt idx="330">
                  <c:v>35269.51</c:v>
                </c:pt>
                <c:pt idx="331">
                  <c:v>36594.300000000003</c:v>
                </c:pt>
                <c:pt idx="332">
                  <c:v>32419.71</c:v>
                </c:pt>
                <c:pt idx="333">
                  <c:v>33570.269999999997</c:v>
                </c:pt>
                <c:pt idx="334">
                  <c:v>46121.93</c:v>
                </c:pt>
                <c:pt idx="335">
                  <c:v>48110.239999999998</c:v>
                </c:pt>
                <c:pt idx="336">
                  <c:v>53952.15</c:v>
                </c:pt>
                <c:pt idx="337">
                  <c:v>49634.45</c:v>
                </c:pt>
                <c:pt idx="338">
                  <c:v>52088.480000000003</c:v>
                </c:pt>
                <c:pt idx="339">
                  <c:v>56121.120000000003</c:v>
                </c:pt>
                <c:pt idx="340">
                  <c:v>54453.14</c:v>
                </c:pt>
                <c:pt idx="341">
                  <c:v>57571.23</c:v>
                </c:pt>
                <c:pt idx="342">
                  <c:v>58755.85</c:v>
                </c:pt>
                <c:pt idx="343">
                  <c:v>59905.94</c:v>
                </c:pt>
                <c:pt idx="344">
                  <c:v>55798.14</c:v>
                </c:pt>
                <c:pt idx="345">
                  <c:v>53943.35</c:v>
                </c:pt>
                <c:pt idx="346">
                  <c:v>57243.040000000001</c:v>
                </c:pt>
                <c:pt idx="347">
                  <c:v>55902.93</c:v>
                </c:pt>
                <c:pt idx="348">
                  <c:v>43492.4</c:v>
                </c:pt>
                <c:pt idx="349">
                  <c:v>38630.410000000003</c:v>
                </c:pt>
                <c:pt idx="350">
                  <c:v>37312.97</c:v>
                </c:pt>
                <c:pt idx="351">
                  <c:v>33724.910000000003</c:v>
                </c:pt>
                <c:pt idx="352">
                  <c:v>40455.599999999999</c:v>
                </c:pt>
                <c:pt idx="353">
                  <c:v>31715.16</c:v>
                </c:pt>
                <c:pt idx="354">
                  <c:v>34376.19</c:v>
                </c:pt>
                <c:pt idx="355">
                  <c:v>33911.75</c:v>
                </c:pt>
                <c:pt idx="356">
                  <c:v>33135.24</c:v>
                </c:pt>
                <c:pt idx="357">
                  <c:v>30883.47</c:v>
                </c:pt>
                <c:pt idx="358">
                  <c:v>37444.78</c:v>
                </c:pt>
                <c:pt idx="359">
                  <c:v>39304.19</c:v>
                </c:pt>
                <c:pt idx="360">
                  <c:v>46265.64</c:v>
                </c:pt>
                <c:pt idx="361">
                  <c:v>45984.72</c:v>
                </c:pt>
                <c:pt idx="362">
                  <c:v>49590.879999999997</c:v>
                </c:pt>
                <c:pt idx="363">
                  <c:v>47125.77</c:v>
                </c:pt>
                <c:pt idx="364">
                  <c:v>52640.59</c:v>
                </c:pt>
                <c:pt idx="365">
                  <c:v>44991.519999999997</c:v>
                </c:pt>
                <c:pt idx="366">
                  <c:v>42855.51</c:v>
                </c:pt>
                <c:pt idx="367">
                  <c:v>42496.79</c:v>
                </c:pt>
                <c:pt idx="368">
                  <c:v>49288.5</c:v>
                </c:pt>
                <c:pt idx="369">
                  <c:v>57289.19</c:v>
                </c:pt>
                <c:pt idx="370">
                  <c:v>61977.06</c:v>
                </c:pt>
                <c:pt idx="371">
                  <c:v>63031.67</c:v>
                </c:pt>
                <c:pt idx="372">
                  <c:v>61092.1</c:v>
                </c:pt>
                <c:pt idx="373">
                  <c:v>67541.759999999995</c:v>
                </c:pt>
                <c:pt idx="374">
                  <c:v>63753.5</c:v>
                </c:pt>
                <c:pt idx="375">
                  <c:v>56383.57</c:v>
                </c:pt>
                <c:pt idx="376">
                  <c:v>57920.71</c:v>
                </c:pt>
                <c:pt idx="377">
                  <c:v>50535.43</c:v>
                </c:pt>
                <c:pt idx="378">
                  <c:v>46785.33</c:v>
                </c:pt>
                <c:pt idx="379">
                  <c:v>46954.76</c:v>
                </c:pt>
                <c:pt idx="380">
                  <c:v>50774</c:v>
                </c:pt>
                <c:pt idx="381">
                  <c:v>46453.43</c:v>
                </c:pt>
                <c:pt idx="382">
                  <c:v>41817</c:v>
                </c:pt>
                <c:pt idx="383">
                  <c:v>42211.27</c:v>
                </c:pt>
                <c:pt idx="384">
                  <c:v>36660</c:v>
                </c:pt>
                <c:pt idx="385">
                  <c:v>38463</c:v>
                </c:pt>
                <c:pt idx="386">
                  <c:v>43869.04</c:v>
                </c:pt>
                <c:pt idx="387">
                  <c:v>42540.3</c:v>
                </c:pt>
                <c:pt idx="388">
                  <c:v>37076.6</c:v>
                </c:pt>
                <c:pt idx="389">
                  <c:v>43179.25</c:v>
                </c:pt>
                <c:pt idx="390">
                  <c:v>38001.050000000003</c:v>
                </c:pt>
                <c:pt idx="391">
                  <c:v>39649.050000000003</c:v>
                </c:pt>
                <c:pt idx="392">
                  <c:v>41078</c:v>
                </c:pt>
                <c:pt idx="393">
                  <c:v>47223.65</c:v>
                </c:pt>
                <c:pt idx="394">
                  <c:v>46663</c:v>
                </c:pt>
                <c:pt idx="395">
                  <c:v>39544.03</c:v>
                </c:pt>
                <c:pt idx="396">
                  <c:v>40818.879999999997</c:v>
                </c:pt>
                <c:pt idx="397">
                  <c:v>40473.75</c:v>
                </c:pt>
                <c:pt idx="398">
                  <c:v>38566.06</c:v>
                </c:pt>
                <c:pt idx="399">
                  <c:v>30076.31</c:v>
                </c:pt>
                <c:pt idx="400">
                  <c:v>29889.61</c:v>
                </c:pt>
                <c:pt idx="401">
                  <c:v>29088.25</c:v>
                </c:pt>
                <c:pt idx="402">
                  <c:v>31735.95</c:v>
                </c:pt>
                <c:pt idx="403">
                  <c:v>31333.68</c:v>
                </c:pt>
                <c:pt idx="404">
                  <c:v>22316.26</c:v>
                </c:pt>
                <c:pt idx="405">
                  <c:v>20571.63</c:v>
                </c:pt>
                <c:pt idx="406">
                  <c:v>20751.05</c:v>
                </c:pt>
                <c:pt idx="407">
                  <c:v>20226.3</c:v>
                </c:pt>
                <c:pt idx="408">
                  <c:v>19971.330000000002</c:v>
                </c:pt>
                <c:pt idx="409">
                  <c:v>22305.71</c:v>
                </c:pt>
                <c:pt idx="410">
                  <c:v>21510.13</c:v>
                </c:pt>
                <c:pt idx="411">
                  <c:v>23331.439999999999</c:v>
                </c:pt>
                <c:pt idx="412">
                  <c:v>23803.65</c:v>
                </c:pt>
                <c:pt idx="413">
                  <c:v>24083.95</c:v>
                </c:pt>
                <c:pt idx="414">
                  <c:v>21301.08</c:v>
                </c:pt>
                <c:pt idx="415">
                  <c:v>20270.96</c:v>
                </c:pt>
                <c:pt idx="416">
                  <c:v>19797.8</c:v>
                </c:pt>
                <c:pt idx="417">
                  <c:v>22364.720000000001</c:v>
                </c:pt>
                <c:pt idx="418">
                  <c:v>19557.98</c:v>
                </c:pt>
                <c:pt idx="419">
                  <c:v>19201.13</c:v>
                </c:pt>
                <c:pt idx="420">
                  <c:v>19633.43</c:v>
                </c:pt>
                <c:pt idx="421">
                  <c:v>19154.400000000001</c:v>
                </c:pt>
                <c:pt idx="422">
                  <c:v>19557.02</c:v>
                </c:pt>
                <c:pt idx="423">
                  <c:v>19341.46</c:v>
                </c:pt>
                <c:pt idx="424">
                  <c:v>20490.86</c:v>
                </c:pt>
                <c:pt idx="425">
                  <c:v>20568.57</c:v>
                </c:pt>
                <c:pt idx="426">
                  <c:v>16629.48</c:v>
                </c:pt>
                <c:pt idx="427">
                  <c:v>15778.02</c:v>
                </c:pt>
                <c:pt idx="428">
                  <c:v>16212.58</c:v>
                </c:pt>
                <c:pt idx="429">
                  <c:v>16961.349999999999</c:v>
                </c:pt>
                <c:pt idx="430">
                  <c:v>17195.53</c:v>
                </c:pt>
                <c:pt idx="431">
                  <c:v>16424.13</c:v>
                </c:pt>
                <c:pt idx="432">
                  <c:v>16879.939999999999</c:v>
                </c:pt>
                <c:pt idx="433">
                  <c:v>16688.72</c:v>
                </c:pt>
                <c:pt idx="434">
                  <c:v>17182.32</c:v>
                </c:pt>
                <c:pt idx="435">
                  <c:v>21180.41</c:v>
                </c:pt>
                <c:pt idx="436">
                  <c:v>22929.02</c:v>
                </c:pt>
                <c:pt idx="437">
                  <c:v>22799.43</c:v>
                </c:pt>
                <c:pt idx="438">
                  <c:v>22745.17</c:v>
                </c:pt>
                <c:pt idx="439">
                  <c:v>21798.720000000001</c:v>
                </c:pt>
                <c:pt idx="440">
                  <c:v>24797.84</c:v>
                </c:pt>
                <c:pt idx="441">
                  <c:v>23504.19</c:v>
                </c:pt>
                <c:pt idx="442">
                  <c:v>22414.7</c:v>
                </c:pt>
                <c:pt idx="443">
                  <c:v>24154.43</c:v>
                </c:pt>
                <c:pt idx="444">
                  <c:v>27834.34</c:v>
                </c:pt>
                <c:pt idx="445">
                  <c:v>27155</c:v>
                </c:pt>
                <c:pt idx="446">
                  <c:v>27850.98</c:v>
                </c:pt>
                <c:pt idx="447">
                  <c:v>29687.57</c:v>
                </c:pt>
                <c:pt idx="448">
                  <c:v>29469.51</c:v>
                </c:pt>
                <c:pt idx="449">
                  <c:v>27520.2</c:v>
                </c:pt>
                <c:pt idx="450">
                  <c:v>28114.95</c:v>
                </c:pt>
                <c:pt idx="451">
                  <c:v>27727.29</c:v>
                </c:pt>
                <c:pt idx="452">
                  <c:v>27231.62</c:v>
                </c:pt>
                <c:pt idx="453">
                  <c:v>26858.74</c:v>
                </c:pt>
                <c:pt idx="454">
                  <c:v>27765.07</c:v>
                </c:pt>
                <c:pt idx="455">
                  <c:v>25785.85</c:v>
                </c:pt>
                <c:pt idx="456">
                  <c:v>25906.75</c:v>
                </c:pt>
                <c:pt idx="457">
                  <c:v>26778.06</c:v>
                </c:pt>
                <c:pt idx="458">
                  <c:v>30255.89</c:v>
                </c:pt>
                <c:pt idx="459">
                  <c:v>31135.360000000001</c:v>
                </c:pt>
                <c:pt idx="460">
                  <c:v>30394.66</c:v>
                </c:pt>
                <c:pt idx="461">
                  <c:v>30143.75</c:v>
                </c:pt>
                <c:pt idx="462">
                  <c:v>29178.36</c:v>
                </c:pt>
                <c:pt idx="463">
                  <c:v>29219.82</c:v>
                </c:pt>
                <c:pt idx="464">
                  <c:v>29164.36</c:v>
                </c:pt>
                <c:pt idx="465">
                  <c:v>29408.97</c:v>
                </c:pt>
                <c:pt idx="466">
                  <c:v>26128.91</c:v>
                </c:pt>
                <c:pt idx="467">
                  <c:v>26103.279999999999</c:v>
                </c:pt>
                <c:pt idx="468">
                  <c:v>25799.53</c:v>
                </c:pt>
                <c:pt idx="469">
                  <c:v>25135.040000000001</c:v>
                </c:pt>
                <c:pt idx="470">
                  <c:v>26764.63</c:v>
                </c:pt>
                <c:pt idx="471">
                  <c:v>26288.81</c:v>
                </c:pt>
                <c:pt idx="472">
                  <c:v>27565.89</c:v>
                </c:pt>
                <c:pt idx="473">
                  <c:v>27591.35</c:v>
                </c:pt>
                <c:pt idx="474">
                  <c:v>28506.79</c:v>
                </c:pt>
                <c:pt idx="475">
                  <c:v>32954.17</c:v>
                </c:pt>
                <c:pt idx="476">
                  <c:v>34495.11</c:v>
                </c:pt>
                <c:pt idx="477">
                  <c:v>35017.72</c:v>
                </c:pt>
                <c:pt idx="478">
                  <c:v>36543.269999999997</c:v>
                </c:pt>
                <c:pt idx="479">
                  <c:v>37516.050000000003</c:v>
                </c:pt>
                <c:pt idx="480">
                  <c:v>37229.25</c:v>
                </c:pt>
                <c:pt idx="481">
                  <c:v>41910.300000000003</c:v>
                </c:pt>
                <c:pt idx="482">
                  <c:v>41209.89</c:v>
                </c:pt>
                <c:pt idx="483">
                  <c:v>42635.73</c:v>
                </c:pt>
                <c:pt idx="484">
                  <c:v>43623.75</c:v>
                </c:pt>
                <c:pt idx="485">
                  <c:v>44049.47</c:v>
                </c:pt>
                <c:pt idx="486">
                  <c:v>46981.32</c:v>
                </c:pt>
                <c:pt idx="487">
                  <c:v>42528.92</c:v>
                </c:pt>
                <c:pt idx="488">
                  <c:v>39577.1</c:v>
                </c:pt>
                <c:pt idx="489">
                  <c:v>43218.35</c:v>
                </c:pt>
                <c:pt idx="490">
                  <c:v>42619.27</c:v>
                </c:pt>
                <c:pt idx="491">
                  <c:v>49989.8</c:v>
                </c:pt>
                <c:pt idx="492">
                  <c:v>51804.81</c:v>
                </c:pt>
                <c:pt idx="493">
                  <c:v>54551.83</c:v>
                </c:pt>
                <c:pt idx="494">
                  <c:v>68091.839999999997</c:v>
                </c:pt>
                <c:pt idx="495">
                  <c:v>72198.09</c:v>
                </c:pt>
                <c:pt idx="496">
                  <c:v>67770.89</c:v>
                </c:pt>
                <c:pt idx="497">
                  <c:v>70042.02</c:v>
                </c:pt>
                <c:pt idx="498">
                  <c:v>69791.63</c:v>
                </c:pt>
                <c:pt idx="499">
                  <c:v>71712.800000000003</c:v>
                </c:pt>
                <c:pt idx="500">
                  <c:v>63393.33</c:v>
                </c:pt>
                <c:pt idx="501">
                  <c:v>66944.600000000006</c:v>
                </c:pt>
                <c:pt idx="502">
                  <c:v>63908.39</c:v>
                </c:pt>
                <c:pt idx="503">
                  <c:v>63228.1</c:v>
                </c:pt>
                <c:pt idx="504">
                  <c:v>62886.94</c:v>
                </c:pt>
                <c:pt idx="505">
                  <c:v>71202.2</c:v>
                </c:pt>
                <c:pt idx="506">
                  <c:v>69347.820000000007</c:v>
                </c:pt>
                <c:pt idx="507">
                  <c:v>68833.3</c:v>
                </c:pt>
                <c:pt idx="508">
                  <c:v>69465.94</c:v>
                </c:pt>
                <c:pt idx="509">
                  <c:v>66483.88</c:v>
                </c:pt>
                <c:pt idx="510">
                  <c:v>60258.96</c:v>
                </c:pt>
                <c:pt idx="511">
                  <c:v>62835.4</c:v>
                </c:pt>
                <c:pt idx="512">
                  <c:v>56691.91</c:v>
                </c:pt>
                <c:pt idx="513">
                  <c:v>64734.76</c:v>
                </c:pt>
                <c:pt idx="514">
                  <c:v>67535.199999999997</c:v>
                </c:pt>
                <c:pt idx="515">
                  <c:v>66867.17</c:v>
                </c:pt>
                <c:pt idx="516">
                  <c:v>54343.63</c:v>
                </c:pt>
                <c:pt idx="517">
                  <c:v>59394.16</c:v>
                </c:pt>
                <c:pt idx="518">
                  <c:v>59411.519999999997</c:v>
                </c:pt>
                <c:pt idx="519">
                  <c:v>62983.44</c:v>
                </c:pt>
                <c:pt idx="520">
                  <c:v>59159.02</c:v>
                </c:pt>
                <c:pt idx="521">
                  <c:v>57135.78</c:v>
                </c:pt>
                <c:pt idx="522">
                  <c:v>58227.46</c:v>
                </c:pt>
                <c:pt idx="523">
                  <c:v>63336.01</c:v>
                </c:pt>
                <c:pt idx="524">
                  <c:v>63260.04</c:v>
                </c:pt>
                <c:pt idx="525">
                  <c:v>62416.51</c:v>
                </c:pt>
                <c:pt idx="526">
                  <c:v>66089.759999999995</c:v>
                </c:pt>
                <c:pt idx="527">
                  <c:v>67440.460000000006</c:v>
                </c:pt>
                <c:pt idx="528">
                  <c:v>69862.52</c:v>
                </c:pt>
                <c:pt idx="529">
                  <c:v>67779.100000000006</c:v>
                </c:pt>
                <c:pt idx="530">
                  <c:v>88860</c:v>
                </c:pt>
                <c:pt idx="531">
                  <c:v>90587.7</c:v>
                </c:pt>
                <c:pt idx="532">
                  <c:v>93343.03</c:v>
                </c:pt>
                <c:pt idx="533">
                  <c:v>95726.44</c:v>
                </c:pt>
                <c:pt idx="534">
                  <c:v>97390.2</c:v>
                </c:pt>
                <c:pt idx="535">
                  <c:v>105855.67</c:v>
                </c:pt>
                <c:pt idx="536">
                  <c:v>94800.76</c:v>
                </c:pt>
                <c:pt idx="537">
                  <c:v>92523.16</c:v>
                </c:pt>
                <c:pt idx="538">
                  <c:v>102179.56</c:v>
                </c:pt>
                <c:pt idx="539">
                  <c:v>94375.73</c:v>
                </c:pt>
                <c:pt idx="540">
                  <c:v>102589</c:v>
                </c:pt>
                <c:pt idx="541">
                  <c:v>101907.45</c:v>
                </c:pt>
                <c:pt idx="542">
                  <c:v>101582.41</c:v>
                </c:pt>
                <c:pt idx="543">
                  <c:v>97375.23</c:v>
                </c:pt>
                <c:pt idx="544">
                  <c:v>95790.51</c:v>
                </c:pt>
                <c:pt idx="545">
                  <c:v>91869.65</c:v>
                </c:pt>
                <c:pt idx="546">
                  <c:v>86315.93</c:v>
                </c:pt>
                <c:pt idx="547">
                  <c:v>79005.960000000006</c:v>
                </c:pt>
                <c:pt idx="548">
                  <c:v>84013.95</c:v>
                </c:pt>
                <c:pt idx="549">
                  <c:v>87322.57</c:v>
                </c:pt>
                <c:pt idx="550">
                  <c:v>82461.45</c:v>
                </c:pt>
                <c:pt idx="551">
                  <c:v>79421.8</c:v>
                </c:pt>
                <c:pt idx="552">
                  <c:v>84589.03</c:v>
                </c:pt>
                <c:pt idx="553">
                  <c:v>87360.72</c:v>
                </c:pt>
                <c:pt idx="554">
                  <c:v>95066.02</c:v>
                </c:pt>
                <c:pt idx="555">
                  <c:v>94853.73</c:v>
                </c:pt>
                <c:pt idx="556">
                  <c:v>102920.07</c:v>
                </c:pt>
                <c:pt idx="557">
                  <c:v>105615.83</c:v>
                </c:pt>
                <c:pt idx="558">
                  <c:v>109371.99</c:v>
                </c:pt>
                <c:pt idx="559">
                  <c:v>105899.7</c:v>
                </c:pt>
                <c:pt idx="560">
                  <c:v>110198.16</c:v>
                </c:pt>
                <c:pt idx="561">
                  <c:v>107243.93</c:v>
                </c:pt>
                <c:pt idx="562">
                  <c:v>105496.95</c:v>
                </c:pt>
                <c:pt idx="563">
                  <c:v>107153.1</c:v>
                </c:pt>
                <c:pt idx="564">
                  <c:v>108249.4</c:v>
                </c:pt>
                <c:pt idx="565">
                  <c:v>119871.1</c:v>
                </c:pt>
                <c:pt idx="566">
                  <c:v>117432.44</c:v>
                </c:pt>
                <c:pt idx="567">
                  <c:v>118022.64</c:v>
                </c:pt>
                <c:pt idx="568">
                  <c:v>115199.93</c:v>
                </c:pt>
                <c:pt idx="569">
                  <c:v>118742.04</c:v>
                </c:pt>
                <c:pt idx="570">
                  <c:v>116312.91</c:v>
                </c:pt>
                <c:pt idx="571">
                  <c:v>110089.53</c:v>
                </c:pt>
                <c:pt idx="572">
                  <c:v>108992.32000000001</c:v>
                </c:pt>
                <c:pt idx="573">
                  <c:v>112112.31</c:v>
                </c:pt>
                <c:pt idx="574">
                  <c:v>115420.93</c:v>
                </c:pt>
                <c:pt idx="575">
                  <c:v>117014.43</c:v>
                </c:pt>
                <c:pt idx="57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F2-184D-B1B7-4CECF28CF288}"/>
            </c:ext>
          </c:extLst>
        </c:ser>
        <c:ser>
          <c:idx val="1"/>
          <c:order val="1"/>
          <c:tx>
            <c:strRef>
              <c:f>'weekly price'!$M$1</c:f>
              <c:strCache>
                <c:ptCount val="1"/>
                <c:pt idx="0">
                  <c:v>Price lower 2 SD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price'!$M$2:$M$578</c:f>
              <c:numCache>
                <c:formatCode>"$"#,##0.00</c:formatCode>
                <c:ptCount val="577"/>
                <c:pt idx="1">
                  <c:v>0</c:v>
                </c:pt>
                <c:pt idx="2">
                  <c:v>336.44690692445323</c:v>
                </c:pt>
                <c:pt idx="3">
                  <c:v>302.5067547325055</c:v>
                </c:pt>
                <c:pt idx="4">
                  <c:v>261.91270379528044</c:v>
                </c:pt>
                <c:pt idx="5">
                  <c:v>277.21439684019043</c:v>
                </c:pt>
                <c:pt idx="6">
                  <c:v>282.0537451347609</c:v>
                </c:pt>
                <c:pt idx="7">
                  <c:v>285.06605092171321</c:v>
                </c:pt>
                <c:pt idx="8">
                  <c:v>281.56234584435111</c:v>
                </c:pt>
                <c:pt idx="9">
                  <c:v>287.81892692251597</c:v>
                </c:pt>
                <c:pt idx="10">
                  <c:v>292.92870211576621</c:v>
                </c:pt>
                <c:pt idx="11">
                  <c:v>297.41697795535339</c:v>
                </c:pt>
                <c:pt idx="12">
                  <c:v>299.97860314056823</c:v>
                </c:pt>
                <c:pt idx="13">
                  <c:v>301.17421748307686</c:v>
                </c:pt>
                <c:pt idx="14">
                  <c:v>300.95190481820993</c:v>
                </c:pt>
                <c:pt idx="15">
                  <c:v>298.44656935134986</c:v>
                </c:pt>
                <c:pt idx="16">
                  <c:v>290.62827424334887</c:v>
                </c:pt>
                <c:pt idx="17">
                  <c:v>291.89976573452702</c:v>
                </c:pt>
                <c:pt idx="18">
                  <c:v>275.09925743413385</c:v>
                </c:pt>
                <c:pt idx="19">
                  <c:v>245.76678545116985</c:v>
                </c:pt>
                <c:pt idx="20">
                  <c:v>235.61515812138742</c:v>
                </c:pt>
                <c:pt idx="21">
                  <c:v>229.94480150148286</c:v>
                </c:pt>
                <c:pt idx="22">
                  <c:v>226.12175301933803</c:v>
                </c:pt>
                <c:pt idx="23">
                  <c:v>218.59919063115939</c:v>
                </c:pt>
                <c:pt idx="24">
                  <c:v>207.07837143974066</c:v>
                </c:pt>
                <c:pt idx="25">
                  <c:v>203.66989872188799</c:v>
                </c:pt>
                <c:pt idx="26">
                  <c:v>203.42221597034438</c:v>
                </c:pt>
                <c:pt idx="27">
                  <c:v>199.6750784799323</c:v>
                </c:pt>
                <c:pt idx="28">
                  <c:v>195.23973273621721</c:v>
                </c:pt>
                <c:pt idx="29">
                  <c:v>193.68523525782058</c:v>
                </c:pt>
                <c:pt idx="30">
                  <c:v>191.84698729129474</c:v>
                </c:pt>
                <c:pt idx="31">
                  <c:v>190.05113074580095</c:v>
                </c:pt>
                <c:pt idx="32">
                  <c:v>198.91124825021149</c:v>
                </c:pt>
                <c:pt idx="33">
                  <c:v>210.75874060323352</c:v>
                </c:pt>
                <c:pt idx="34">
                  <c:v>215.08655821343592</c:v>
                </c:pt>
                <c:pt idx="35">
                  <c:v>217.6678433588477</c:v>
                </c:pt>
                <c:pt idx="36">
                  <c:v>219.48613574672649</c:v>
                </c:pt>
                <c:pt idx="37">
                  <c:v>218.23972127835245</c:v>
                </c:pt>
                <c:pt idx="38">
                  <c:v>223.99323625174941</c:v>
                </c:pt>
                <c:pt idx="39">
                  <c:v>219.95662722788089</c:v>
                </c:pt>
                <c:pt idx="40">
                  <c:v>214.05036319388819</c:v>
                </c:pt>
                <c:pt idx="41">
                  <c:v>213.90207124312971</c:v>
                </c:pt>
                <c:pt idx="42">
                  <c:v>217.04742244997658</c:v>
                </c:pt>
                <c:pt idx="43">
                  <c:v>221.39614020113754</c:v>
                </c:pt>
                <c:pt idx="44">
                  <c:v>231.43625901781516</c:v>
                </c:pt>
                <c:pt idx="45">
                  <c:v>235.32364046697305</c:v>
                </c:pt>
                <c:pt idx="46">
                  <c:v>237.01265122996941</c:v>
                </c:pt>
                <c:pt idx="47">
                  <c:v>236.99613551690166</c:v>
                </c:pt>
                <c:pt idx="48">
                  <c:v>237.52268250858637</c:v>
                </c:pt>
                <c:pt idx="49">
                  <c:v>224.46939657920328</c:v>
                </c:pt>
                <c:pt idx="50">
                  <c:v>220.81788069960845</c:v>
                </c:pt>
                <c:pt idx="51">
                  <c:v>221.84706566458911</c:v>
                </c:pt>
                <c:pt idx="52">
                  <c:v>221.21043575478515</c:v>
                </c:pt>
                <c:pt idx="53">
                  <c:v>220.97845561916515</c:v>
                </c:pt>
                <c:pt idx="54">
                  <c:v>220.44473971216971</c:v>
                </c:pt>
                <c:pt idx="55">
                  <c:v>220.16693768523652</c:v>
                </c:pt>
                <c:pt idx="56">
                  <c:v>219.40497450292298</c:v>
                </c:pt>
                <c:pt idx="57">
                  <c:v>216.04800594651681</c:v>
                </c:pt>
                <c:pt idx="58">
                  <c:v>215.12464738227592</c:v>
                </c:pt>
                <c:pt idx="59">
                  <c:v>210.78374423073478</c:v>
                </c:pt>
                <c:pt idx="60">
                  <c:v>236.76477455969109</c:v>
                </c:pt>
                <c:pt idx="61">
                  <c:v>238.15134429366674</c:v>
                </c:pt>
                <c:pt idx="62">
                  <c:v>241.05230928133992</c:v>
                </c:pt>
                <c:pt idx="63">
                  <c:v>256.54636489543054</c:v>
                </c:pt>
                <c:pt idx="64">
                  <c:v>267.58206559412235</c:v>
                </c:pt>
                <c:pt idx="65">
                  <c:v>279.69486594646446</c:v>
                </c:pt>
                <c:pt idx="66">
                  <c:v>291.90855437959897</c:v>
                </c:pt>
                <c:pt idx="67">
                  <c:v>297.70976149744104</c:v>
                </c:pt>
                <c:pt idx="68">
                  <c:v>303.15485476383725</c:v>
                </c:pt>
                <c:pt idx="69">
                  <c:v>309.73980688956874</c:v>
                </c:pt>
                <c:pt idx="70">
                  <c:v>302.49517845693072</c:v>
                </c:pt>
                <c:pt idx="71">
                  <c:v>306.09738245548755</c:v>
                </c:pt>
                <c:pt idx="72">
                  <c:v>306.94060901959836</c:v>
                </c:pt>
                <c:pt idx="73">
                  <c:v>327.91417983665571</c:v>
                </c:pt>
                <c:pt idx="74">
                  <c:v>328.71502229228821</c:v>
                </c:pt>
                <c:pt idx="75">
                  <c:v>341.47428162334887</c:v>
                </c:pt>
                <c:pt idx="76">
                  <c:v>347.43061028559333</c:v>
                </c:pt>
                <c:pt idx="77">
                  <c:v>356.71241222887721</c:v>
                </c:pt>
                <c:pt idx="78">
                  <c:v>358.54995584205807</c:v>
                </c:pt>
                <c:pt idx="79">
                  <c:v>363.37707412716554</c:v>
                </c:pt>
                <c:pt idx="80">
                  <c:v>361.68482229906067</c:v>
                </c:pt>
                <c:pt idx="81">
                  <c:v>362.29445603185337</c:v>
                </c:pt>
                <c:pt idx="82">
                  <c:v>362.49407562885671</c:v>
                </c:pt>
                <c:pt idx="83">
                  <c:v>362.43466763763672</c:v>
                </c:pt>
                <c:pt idx="84">
                  <c:v>378.32187414582808</c:v>
                </c:pt>
                <c:pt idx="85">
                  <c:v>379.843548828076</c:v>
                </c:pt>
                <c:pt idx="86">
                  <c:v>387.45001273232106</c:v>
                </c:pt>
                <c:pt idx="87">
                  <c:v>390.88181069960035</c:v>
                </c:pt>
                <c:pt idx="88">
                  <c:v>395.98728930502426</c:v>
                </c:pt>
                <c:pt idx="89">
                  <c:v>387.48829875560369</c:v>
                </c:pt>
                <c:pt idx="90">
                  <c:v>396.57873123118964</c:v>
                </c:pt>
                <c:pt idx="91">
                  <c:v>412.22325058954897</c:v>
                </c:pt>
                <c:pt idx="92">
                  <c:v>455.35565881694555</c:v>
                </c:pt>
                <c:pt idx="93">
                  <c:v>468.47540390577996</c:v>
                </c:pt>
                <c:pt idx="94">
                  <c:v>483.09348490527987</c:v>
                </c:pt>
                <c:pt idx="95">
                  <c:v>491.98185717058158</c:v>
                </c:pt>
                <c:pt idx="96">
                  <c:v>502.40226167067749</c:v>
                </c:pt>
                <c:pt idx="97">
                  <c:v>507.88690600986087</c:v>
                </c:pt>
                <c:pt idx="98">
                  <c:v>508.17552567228529</c:v>
                </c:pt>
                <c:pt idx="99">
                  <c:v>513.36139266340956</c:v>
                </c:pt>
                <c:pt idx="100">
                  <c:v>513.97050328870523</c:v>
                </c:pt>
                <c:pt idx="101">
                  <c:v>517.82402891789411</c:v>
                </c:pt>
                <c:pt idx="102">
                  <c:v>521.98818643094921</c:v>
                </c:pt>
                <c:pt idx="103">
                  <c:v>544.8263051862516</c:v>
                </c:pt>
                <c:pt idx="104">
                  <c:v>551.58594021656336</c:v>
                </c:pt>
                <c:pt idx="105">
                  <c:v>581.4391499690845</c:v>
                </c:pt>
                <c:pt idx="106">
                  <c:v>569.86441243255513</c:v>
                </c:pt>
                <c:pt idx="107">
                  <c:v>574.32610948728222</c:v>
                </c:pt>
                <c:pt idx="108">
                  <c:v>570.79259896117617</c:v>
                </c:pt>
                <c:pt idx="109">
                  <c:v>567.96106909159028</c:v>
                </c:pt>
                <c:pt idx="110">
                  <c:v>566.28460103179634</c:v>
                </c:pt>
                <c:pt idx="111">
                  <c:v>564.43329962869461</c:v>
                </c:pt>
                <c:pt idx="112">
                  <c:v>582.36632135291438</c:v>
                </c:pt>
                <c:pt idx="113">
                  <c:v>594.61795647155805</c:v>
                </c:pt>
                <c:pt idx="114">
                  <c:v>613.69526319128772</c:v>
                </c:pt>
                <c:pt idx="115">
                  <c:v>621.337907134077</c:v>
                </c:pt>
                <c:pt idx="116">
                  <c:v>636.4915346620129</c:v>
                </c:pt>
                <c:pt idx="117">
                  <c:v>653.24166419447158</c:v>
                </c:pt>
                <c:pt idx="118">
                  <c:v>666.54032898611433</c:v>
                </c:pt>
                <c:pt idx="119">
                  <c:v>673.10965363099547</c:v>
                </c:pt>
                <c:pt idx="120">
                  <c:v>703.48697552883448</c:v>
                </c:pt>
                <c:pt idx="121">
                  <c:v>707.7159511000915</c:v>
                </c:pt>
                <c:pt idx="122">
                  <c:v>704.46397750417157</c:v>
                </c:pt>
                <c:pt idx="123">
                  <c:v>711.55087763679091</c:v>
                </c:pt>
                <c:pt idx="124">
                  <c:v>721.28065366764815</c:v>
                </c:pt>
                <c:pt idx="125">
                  <c:v>736.37981124879263</c:v>
                </c:pt>
                <c:pt idx="126">
                  <c:v>752.80032942575986</c:v>
                </c:pt>
                <c:pt idx="127">
                  <c:v>767.38128583034108</c:v>
                </c:pt>
                <c:pt idx="128">
                  <c:v>793.89631947504563</c:v>
                </c:pt>
                <c:pt idx="129">
                  <c:v>832.65303782365606</c:v>
                </c:pt>
                <c:pt idx="130">
                  <c:v>861.78553140112228</c:v>
                </c:pt>
                <c:pt idx="131">
                  <c:v>835.72095062286894</c:v>
                </c:pt>
                <c:pt idx="132">
                  <c:v>841.34712449523272</c:v>
                </c:pt>
                <c:pt idx="133">
                  <c:v>864.1325313735706</c:v>
                </c:pt>
                <c:pt idx="134">
                  <c:v>888.96414569336662</c:v>
                </c:pt>
                <c:pt idx="135">
                  <c:v>924.41809066433018</c:v>
                </c:pt>
                <c:pt idx="136">
                  <c:v>957.31785570967475</c:v>
                </c:pt>
                <c:pt idx="137">
                  <c:v>982.15355605696698</c:v>
                </c:pt>
                <c:pt idx="138">
                  <c:v>1044.5264752322032</c:v>
                </c:pt>
                <c:pt idx="139">
                  <c:v>1121.3474664982591</c:v>
                </c:pt>
                <c:pt idx="140">
                  <c:v>1210.5322330656577</c:v>
                </c:pt>
                <c:pt idx="141">
                  <c:v>1364.600754984215</c:v>
                </c:pt>
                <c:pt idx="142">
                  <c:v>1487.4328614317794</c:v>
                </c:pt>
                <c:pt idx="143">
                  <c:v>1596.2869499491223</c:v>
                </c:pt>
                <c:pt idx="144">
                  <c:v>1684.4815074400121</c:v>
                </c:pt>
                <c:pt idx="145">
                  <c:v>1808.5605899848429</c:v>
                </c:pt>
                <c:pt idx="146">
                  <c:v>1868.0727099250166</c:v>
                </c:pt>
                <c:pt idx="147">
                  <c:v>1852.6614058451528</c:v>
                </c:pt>
                <c:pt idx="148">
                  <c:v>1855.3905988420693</c:v>
                </c:pt>
                <c:pt idx="149">
                  <c:v>1851.5698331335357</c:v>
                </c:pt>
                <c:pt idx="150">
                  <c:v>1889.5777548028041</c:v>
                </c:pt>
                <c:pt idx="151">
                  <c:v>1945.1627060231503</c:v>
                </c:pt>
                <c:pt idx="152">
                  <c:v>2070.9392584613738</c:v>
                </c:pt>
                <c:pt idx="153">
                  <c:v>2196.5989494630189</c:v>
                </c:pt>
                <c:pt idx="154">
                  <c:v>2373.6792118174058</c:v>
                </c:pt>
                <c:pt idx="155">
                  <c:v>2518.1119870457974</c:v>
                </c:pt>
                <c:pt idx="156">
                  <c:v>2636.2304253806005</c:v>
                </c:pt>
                <c:pt idx="157">
                  <c:v>2718.4902400600558</c:v>
                </c:pt>
                <c:pt idx="158">
                  <c:v>2786.2272972848909</c:v>
                </c:pt>
                <c:pt idx="159">
                  <c:v>2886.3356730910355</c:v>
                </c:pt>
                <c:pt idx="160">
                  <c:v>2967.6160373096127</c:v>
                </c:pt>
                <c:pt idx="161">
                  <c:v>3143.3638803428489</c:v>
                </c:pt>
                <c:pt idx="162">
                  <c:v>3351.937798277906</c:v>
                </c:pt>
                <c:pt idx="163">
                  <c:v>3627.8781639300578</c:v>
                </c:pt>
                <c:pt idx="164">
                  <c:v>3855.6947340646234</c:v>
                </c:pt>
                <c:pt idx="165">
                  <c:v>4088.1624623254843</c:v>
                </c:pt>
                <c:pt idx="166">
                  <c:v>4443.9979108594489</c:v>
                </c:pt>
                <c:pt idx="167">
                  <c:v>4963.8266152718652</c:v>
                </c:pt>
                <c:pt idx="168">
                  <c:v>5734.9430202657759</c:v>
                </c:pt>
                <c:pt idx="169">
                  <c:v>7014.4080110759614</c:v>
                </c:pt>
                <c:pt idx="170">
                  <c:v>8692.7986171872271</c:v>
                </c:pt>
                <c:pt idx="171">
                  <c:v>8434.0088723065892</c:v>
                </c:pt>
                <c:pt idx="172">
                  <c:v>8582.1545858683512</c:v>
                </c:pt>
                <c:pt idx="173">
                  <c:v>8879.166602506155</c:v>
                </c:pt>
                <c:pt idx="174">
                  <c:v>8740.2111842631584</c:v>
                </c:pt>
                <c:pt idx="175">
                  <c:v>8262.4501114788854</c:v>
                </c:pt>
                <c:pt idx="176">
                  <c:v>8245.1963423695579</c:v>
                </c:pt>
                <c:pt idx="177">
                  <c:v>7168.7348896922358</c:v>
                </c:pt>
                <c:pt idx="178">
                  <c:v>6845.4256513758919</c:v>
                </c:pt>
                <c:pt idx="179">
                  <c:v>6801.7002473289713</c:v>
                </c:pt>
                <c:pt idx="180">
                  <c:v>6923.9956591912278</c:v>
                </c:pt>
                <c:pt idx="181">
                  <c:v>6991.1500850497014</c:v>
                </c:pt>
                <c:pt idx="182">
                  <c:v>6822.5014529434311</c:v>
                </c:pt>
                <c:pt idx="183">
                  <c:v>7502.9638503080496</c:v>
                </c:pt>
                <c:pt idx="184">
                  <c:v>7145.9284910710949</c:v>
                </c:pt>
                <c:pt idx="185">
                  <c:v>7016.5698624352644</c:v>
                </c:pt>
                <c:pt idx="186">
                  <c:v>6766.9367445287717</c:v>
                </c:pt>
                <c:pt idx="187">
                  <c:v>6140.1242203651072</c:v>
                </c:pt>
                <c:pt idx="188">
                  <c:v>5730.9422553412032</c:v>
                </c:pt>
                <c:pt idx="189">
                  <c:v>5760.2425267097206</c:v>
                </c:pt>
                <c:pt idx="190">
                  <c:v>5656.6875205825672</c:v>
                </c:pt>
                <c:pt idx="191">
                  <c:v>6404.9566506283618</c:v>
                </c:pt>
                <c:pt idx="192">
                  <c:v>6789.052822049106</c:v>
                </c:pt>
                <c:pt idx="193">
                  <c:v>6855.1365550096298</c:v>
                </c:pt>
                <c:pt idx="194">
                  <c:v>6677.5648637896929</c:v>
                </c:pt>
                <c:pt idx="195">
                  <c:v>6518.1249322176436</c:v>
                </c:pt>
                <c:pt idx="196">
                  <c:v>6606.0827540735836</c:v>
                </c:pt>
                <c:pt idx="197">
                  <c:v>6504.3679458551132</c:v>
                </c:pt>
                <c:pt idx="198">
                  <c:v>6407.4202403315967</c:v>
                </c:pt>
                <c:pt idx="199">
                  <c:v>6518.8580241066811</c:v>
                </c:pt>
                <c:pt idx="200">
                  <c:v>6542.5578447742218</c:v>
                </c:pt>
                <c:pt idx="201">
                  <c:v>6634.431467510547</c:v>
                </c:pt>
                <c:pt idx="202">
                  <c:v>6637.9442151798612</c:v>
                </c:pt>
                <c:pt idx="203">
                  <c:v>6309.4240756252029</c:v>
                </c:pt>
                <c:pt idx="204">
                  <c:v>6030.0287691133954</c:v>
                </c:pt>
                <c:pt idx="205">
                  <c:v>5859.8116261025243</c:v>
                </c:pt>
                <c:pt idx="206">
                  <c:v>5677.3134726859753</c:v>
                </c:pt>
                <c:pt idx="207">
                  <c:v>5797.8299025251317</c:v>
                </c:pt>
                <c:pt idx="208">
                  <c:v>5634.2338149374973</c:v>
                </c:pt>
                <c:pt idx="209">
                  <c:v>5641.6528137869163</c:v>
                </c:pt>
                <c:pt idx="210">
                  <c:v>5620.0260949767362</c:v>
                </c:pt>
                <c:pt idx="211">
                  <c:v>5668.8595629720867</c:v>
                </c:pt>
                <c:pt idx="212">
                  <c:v>5687.6491477979343</c:v>
                </c:pt>
                <c:pt idx="213">
                  <c:v>5672.9683042251672</c:v>
                </c:pt>
                <c:pt idx="214">
                  <c:v>5654.556636252295</c:v>
                </c:pt>
                <c:pt idx="215">
                  <c:v>5724.5544278571779</c:v>
                </c:pt>
                <c:pt idx="216">
                  <c:v>5622.1974949403448</c:v>
                </c:pt>
                <c:pt idx="217">
                  <c:v>5739.5506966350076</c:v>
                </c:pt>
                <c:pt idx="218">
                  <c:v>5296.9454390658402</c:v>
                </c:pt>
                <c:pt idx="219">
                  <c:v>4868.2315273738441</c:v>
                </c:pt>
                <c:pt idx="220">
                  <c:v>4703.4018450282201</c:v>
                </c:pt>
                <c:pt idx="221">
                  <c:v>4483.0708595260885</c:v>
                </c:pt>
                <c:pt idx="222">
                  <c:v>4344.6210998240767</c:v>
                </c:pt>
                <c:pt idx="223">
                  <c:v>4062.5037237541219</c:v>
                </c:pt>
                <c:pt idx="224">
                  <c:v>3901.8028455026579</c:v>
                </c:pt>
                <c:pt idx="225">
                  <c:v>3719.6259601337892</c:v>
                </c:pt>
                <c:pt idx="226">
                  <c:v>3573.1253862474196</c:v>
                </c:pt>
                <c:pt idx="227">
                  <c:v>3433.3458627765767</c:v>
                </c:pt>
                <c:pt idx="228">
                  <c:v>3289.1418595523219</c:v>
                </c:pt>
                <c:pt idx="229">
                  <c:v>3164.8775188919217</c:v>
                </c:pt>
                <c:pt idx="230">
                  <c:v>3028.2115190220684</c:v>
                </c:pt>
                <c:pt idx="231">
                  <c:v>2892.7811659294825</c:v>
                </c:pt>
                <c:pt idx="232">
                  <c:v>2979.8532579272942</c:v>
                </c:pt>
                <c:pt idx="233">
                  <c:v>3142.8405101100348</c:v>
                </c:pt>
                <c:pt idx="234">
                  <c:v>3148.2336394618646</c:v>
                </c:pt>
                <c:pt idx="235">
                  <c:v>3242.7694146402323</c:v>
                </c:pt>
                <c:pt idx="236">
                  <c:v>3263.7704179423799</c:v>
                </c:pt>
                <c:pt idx="237">
                  <c:v>3371.3889659324905</c:v>
                </c:pt>
                <c:pt idx="238">
                  <c:v>3332.3565600747702</c:v>
                </c:pt>
                <c:pt idx="239">
                  <c:v>3425.5119710738318</c:v>
                </c:pt>
                <c:pt idx="240">
                  <c:v>3582.3228762943218</c:v>
                </c:pt>
                <c:pt idx="241">
                  <c:v>3680.2865981357127</c:v>
                </c:pt>
                <c:pt idx="242">
                  <c:v>3814.0544848263403</c:v>
                </c:pt>
                <c:pt idx="243">
                  <c:v>3811.9308861760264</c:v>
                </c:pt>
                <c:pt idx="244">
                  <c:v>4184.4550088260212</c:v>
                </c:pt>
                <c:pt idx="245">
                  <c:v>4519.9983325798366</c:v>
                </c:pt>
                <c:pt idx="246">
                  <c:v>4723.1527873839905</c:v>
                </c:pt>
                <c:pt idx="247">
                  <c:v>4907.5588305137517</c:v>
                </c:pt>
                <c:pt idx="248">
                  <c:v>5117.577833598797</c:v>
                </c:pt>
                <c:pt idx="249">
                  <c:v>5403.5198536405433</c:v>
                </c:pt>
                <c:pt idx="250">
                  <c:v>5748.2103647631184</c:v>
                </c:pt>
                <c:pt idx="251">
                  <c:v>6112.4039164613268</c:v>
                </c:pt>
                <c:pt idx="252">
                  <c:v>6438.8979322480991</c:v>
                </c:pt>
                <c:pt idx="253">
                  <c:v>6638.2672910730353</c:v>
                </c:pt>
                <c:pt idx="254">
                  <c:v>6675.5892369628191</c:v>
                </c:pt>
                <c:pt idx="255">
                  <c:v>6798.708128248828</c:v>
                </c:pt>
                <c:pt idx="256">
                  <c:v>6973.937678380611</c:v>
                </c:pt>
                <c:pt idx="257">
                  <c:v>7685.5980991297893</c:v>
                </c:pt>
                <c:pt idx="258">
                  <c:v>7810.6527670292144</c:v>
                </c:pt>
                <c:pt idx="259">
                  <c:v>7953.2267955983416</c:v>
                </c:pt>
                <c:pt idx="260">
                  <c:v>8156.2000852745023</c:v>
                </c:pt>
                <c:pt idx="261">
                  <c:v>8295.5005186763519</c:v>
                </c:pt>
                <c:pt idx="262">
                  <c:v>8464.811180335173</c:v>
                </c:pt>
                <c:pt idx="263">
                  <c:v>8425.3360865158338</c:v>
                </c:pt>
                <c:pt idx="264">
                  <c:v>8327.777247580756</c:v>
                </c:pt>
                <c:pt idx="265">
                  <c:v>8321.9938438050867</c:v>
                </c:pt>
                <c:pt idx="266">
                  <c:v>8221.6437403886121</c:v>
                </c:pt>
                <c:pt idx="267">
                  <c:v>7975.6495203655822</c:v>
                </c:pt>
                <c:pt idx="268">
                  <c:v>8008.6704271039116</c:v>
                </c:pt>
                <c:pt idx="269">
                  <c:v>8383.8789977777433</c:v>
                </c:pt>
                <c:pt idx="270">
                  <c:v>8146.9589955770498</c:v>
                </c:pt>
                <c:pt idx="271">
                  <c:v>7767.0222054006999</c:v>
                </c:pt>
                <c:pt idx="272">
                  <c:v>7550.074270148094</c:v>
                </c:pt>
                <c:pt idx="273">
                  <c:v>7393.1503105565826</c:v>
                </c:pt>
                <c:pt idx="274">
                  <c:v>7195.281546710009</c:v>
                </c:pt>
                <c:pt idx="275">
                  <c:v>6968.5182232027819</c:v>
                </c:pt>
                <c:pt idx="276">
                  <c:v>6843.8270802718243</c:v>
                </c:pt>
                <c:pt idx="277">
                  <c:v>6911.3887560064777</c:v>
                </c:pt>
                <c:pt idx="278">
                  <c:v>6892.9353338894061</c:v>
                </c:pt>
                <c:pt idx="279">
                  <c:v>6905.8958696660411</c:v>
                </c:pt>
                <c:pt idx="280">
                  <c:v>6951.6879605820977</c:v>
                </c:pt>
                <c:pt idx="281">
                  <c:v>7111.619928093166</c:v>
                </c:pt>
                <c:pt idx="282">
                  <c:v>7143.4178901562118</c:v>
                </c:pt>
                <c:pt idx="283">
                  <c:v>7332.3125058445539</c:v>
                </c:pt>
                <c:pt idx="284">
                  <c:v>7525.0387878605261</c:v>
                </c:pt>
                <c:pt idx="285">
                  <c:v>7788.8463805627152</c:v>
                </c:pt>
                <c:pt idx="286">
                  <c:v>7599.0465214651304</c:v>
                </c:pt>
                <c:pt idx="287">
                  <c:v>6371.5590770052104</c:v>
                </c:pt>
                <c:pt idx="288">
                  <c:v>5856.8513628938827</c:v>
                </c:pt>
                <c:pt idx="289">
                  <c:v>5803.0441779519469</c:v>
                </c:pt>
                <c:pt idx="290">
                  <c:v>5720.9629543667952</c:v>
                </c:pt>
                <c:pt idx="291">
                  <c:v>5666.5771105061976</c:v>
                </c:pt>
                <c:pt idx="292">
                  <c:v>5617.0156694336938</c:v>
                </c:pt>
                <c:pt idx="293">
                  <c:v>5519.5981518475492</c:v>
                </c:pt>
                <c:pt idx="294">
                  <c:v>5478.9422924499504</c:v>
                </c:pt>
                <c:pt idx="295">
                  <c:v>5469.4130750346194</c:v>
                </c:pt>
                <c:pt idx="296">
                  <c:v>5442.4567845578558</c:v>
                </c:pt>
                <c:pt idx="297">
                  <c:v>5363.9679297236507</c:v>
                </c:pt>
                <c:pt idx="298">
                  <c:v>5293.8307979565088</c:v>
                </c:pt>
                <c:pt idx="299">
                  <c:v>5323.5694329348726</c:v>
                </c:pt>
                <c:pt idx="300">
                  <c:v>5425.693389094964</c:v>
                </c:pt>
                <c:pt idx="301">
                  <c:v>6430.0409504477539</c:v>
                </c:pt>
                <c:pt idx="302">
                  <c:v>6945.0283028394897</c:v>
                </c:pt>
                <c:pt idx="303">
                  <c:v>7116.4381258871908</c:v>
                </c:pt>
                <c:pt idx="304">
                  <c:v>7310.0908069324651</c:v>
                </c:pt>
                <c:pt idx="305">
                  <c:v>7519.8126389303061</c:v>
                </c:pt>
                <c:pt idx="306">
                  <c:v>7513.2221424318896</c:v>
                </c:pt>
                <c:pt idx="307">
                  <c:v>7811.6531539391044</c:v>
                </c:pt>
                <c:pt idx="308">
                  <c:v>8096.7901331956355</c:v>
                </c:pt>
                <c:pt idx="309">
                  <c:v>8430.8845351669916</c:v>
                </c:pt>
                <c:pt idx="310">
                  <c:v>8652.3823821512178</c:v>
                </c:pt>
                <c:pt idx="311">
                  <c:v>8977.0077506975904</c:v>
                </c:pt>
                <c:pt idx="312">
                  <c:v>9012.9617072795027</c:v>
                </c:pt>
                <c:pt idx="313">
                  <c:v>9105.264022865189</c:v>
                </c:pt>
                <c:pt idx="314">
                  <c:v>9176.2881751293553</c:v>
                </c:pt>
                <c:pt idx="315">
                  <c:v>9230.5366122512205</c:v>
                </c:pt>
                <c:pt idx="316">
                  <c:v>9345.7985419906545</c:v>
                </c:pt>
                <c:pt idx="317">
                  <c:v>9414.0363496308637</c:v>
                </c:pt>
                <c:pt idx="318">
                  <c:v>9525.0156752915555</c:v>
                </c:pt>
                <c:pt idx="319">
                  <c:v>9626.574729214477</c:v>
                </c:pt>
                <c:pt idx="320">
                  <c:v>10251.886648247981</c:v>
                </c:pt>
                <c:pt idx="321">
                  <c:v>10354.177793923969</c:v>
                </c:pt>
                <c:pt idx="322">
                  <c:v>10586.018287817629</c:v>
                </c:pt>
                <c:pt idx="323">
                  <c:v>10974.995185676658</c:v>
                </c:pt>
                <c:pt idx="324">
                  <c:v>11640.863998756578</c:v>
                </c:pt>
                <c:pt idx="325">
                  <c:v>12048.414737639436</c:v>
                </c:pt>
                <c:pt idx="326">
                  <c:v>12950.574098892559</c:v>
                </c:pt>
                <c:pt idx="327">
                  <c:v>13452.413595556645</c:v>
                </c:pt>
                <c:pt idx="328">
                  <c:v>14561.826093181726</c:v>
                </c:pt>
                <c:pt idx="329">
                  <c:v>16133.390524824848</c:v>
                </c:pt>
                <c:pt idx="330">
                  <c:v>18873.694084779767</c:v>
                </c:pt>
                <c:pt idx="331">
                  <c:v>20947.819733617631</c:v>
                </c:pt>
                <c:pt idx="332">
                  <c:v>21141.614681730716</c:v>
                </c:pt>
                <c:pt idx="333">
                  <c:v>22314.848726700966</c:v>
                </c:pt>
                <c:pt idx="334">
                  <c:v>22501.320921534443</c:v>
                </c:pt>
                <c:pt idx="335">
                  <c:v>24449.07955349682</c:v>
                </c:pt>
                <c:pt idx="336">
                  <c:v>26333.306965739048</c:v>
                </c:pt>
                <c:pt idx="337">
                  <c:v>27278.405214112423</c:v>
                </c:pt>
                <c:pt idx="338">
                  <c:v>28615.684541076433</c:v>
                </c:pt>
                <c:pt idx="339">
                  <c:v>30385.709806013805</c:v>
                </c:pt>
                <c:pt idx="340">
                  <c:v>31424.604727322068</c:v>
                </c:pt>
                <c:pt idx="341">
                  <c:v>33180.63064211428</c:v>
                </c:pt>
                <c:pt idx="342">
                  <c:v>34919.793361696422</c:v>
                </c:pt>
                <c:pt idx="343">
                  <c:v>36684.536651656701</c:v>
                </c:pt>
                <c:pt idx="344">
                  <c:v>37744.333574108998</c:v>
                </c:pt>
                <c:pt idx="345">
                  <c:v>38652.868146693691</c:v>
                </c:pt>
                <c:pt idx="346">
                  <c:v>40732.393123043556</c:v>
                </c:pt>
                <c:pt idx="347">
                  <c:v>41985.212936290955</c:v>
                </c:pt>
                <c:pt idx="348">
                  <c:v>44542.984766621848</c:v>
                </c:pt>
                <c:pt idx="349">
                  <c:v>43382.046202995254</c:v>
                </c:pt>
                <c:pt idx="350">
                  <c:v>43441.718164465667</c:v>
                </c:pt>
                <c:pt idx="351">
                  <c:v>42834.219729049815</c:v>
                </c:pt>
                <c:pt idx="352">
                  <c:v>40485.506900393411</c:v>
                </c:pt>
                <c:pt idx="353">
                  <c:v>38489.770438480889</c:v>
                </c:pt>
                <c:pt idx="354">
                  <c:v>37125.916778554492</c:v>
                </c:pt>
                <c:pt idx="355">
                  <c:v>36322.918926321821</c:v>
                </c:pt>
                <c:pt idx="356">
                  <c:v>35291.958968674873</c:v>
                </c:pt>
                <c:pt idx="357">
                  <c:v>34064.685629255437</c:v>
                </c:pt>
                <c:pt idx="358">
                  <c:v>31267.20581701797</c:v>
                </c:pt>
                <c:pt idx="359">
                  <c:v>30133.58311425494</c:v>
                </c:pt>
                <c:pt idx="360">
                  <c:v>28690.483698644533</c:v>
                </c:pt>
                <c:pt idx="361">
                  <c:v>27602.3491222952</c:v>
                </c:pt>
                <c:pt idx="362">
                  <c:v>28668.502844262188</c:v>
                </c:pt>
                <c:pt idx="363">
                  <c:v>29363.447833035298</c:v>
                </c:pt>
                <c:pt idx="364">
                  <c:v>30195.408575452027</c:v>
                </c:pt>
                <c:pt idx="365">
                  <c:v>30514.553420158361</c:v>
                </c:pt>
                <c:pt idx="366">
                  <c:v>31367.328608826199</c:v>
                </c:pt>
                <c:pt idx="367">
                  <c:v>33663.584201815749</c:v>
                </c:pt>
                <c:pt idx="368">
                  <c:v>34208.411068092923</c:v>
                </c:pt>
                <c:pt idx="369">
                  <c:v>35240.379109903202</c:v>
                </c:pt>
                <c:pt idx="370">
                  <c:v>36992.106011577911</c:v>
                </c:pt>
                <c:pt idx="371">
                  <c:v>38980.859584932186</c:v>
                </c:pt>
                <c:pt idx="372">
                  <c:v>40907.648501070413</c:v>
                </c:pt>
                <c:pt idx="373">
                  <c:v>42262.525993184667</c:v>
                </c:pt>
                <c:pt idx="374">
                  <c:v>43776.170056003437</c:v>
                </c:pt>
                <c:pt idx="375">
                  <c:v>43548.702754353297</c:v>
                </c:pt>
                <c:pt idx="376">
                  <c:v>44157.376871505156</c:v>
                </c:pt>
                <c:pt idx="377">
                  <c:v>43614.853320388058</c:v>
                </c:pt>
                <c:pt idx="378">
                  <c:v>43654.334233218695</c:v>
                </c:pt>
                <c:pt idx="379">
                  <c:v>44871.745862611075</c:v>
                </c:pt>
                <c:pt idx="380">
                  <c:v>45289.061561127099</c:v>
                </c:pt>
                <c:pt idx="381">
                  <c:v>45278.558599249256</c:v>
                </c:pt>
                <c:pt idx="382">
                  <c:v>45375.606565121685</c:v>
                </c:pt>
                <c:pt idx="383">
                  <c:v>46123.856354830481</c:v>
                </c:pt>
                <c:pt idx="384">
                  <c:v>44707.989358364459</c:v>
                </c:pt>
                <c:pt idx="385">
                  <c:v>43103.952525847955</c:v>
                </c:pt>
                <c:pt idx="386">
                  <c:v>40866.209403154935</c:v>
                </c:pt>
                <c:pt idx="387">
                  <c:v>40138.401962992037</c:v>
                </c:pt>
                <c:pt idx="388">
                  <c:v>38149.006011533602</c:v>
                </c:pt>
                <c:pt idx="389">
                  <c:v>36212.657129552274</c:v>
                </c:pt>
                <c:pt idx="390">
                  <c:v>34662.207942353794</c:v>
                </c:pt>
                <c:pt idx="391">
                  <c:v>34141.75964412633</c:v>
                </c:pt>
                <c:pt idx="392">
                  <c:v>33868.077968594458</c:v>
                </c:pt>
                <c:pt idx="393">
                  <c:v>33140.633970666488</c:v>
                </c:pt>
                <c:pt idx="394">
                  <c:v>33178.307752002293</c:v>
                </c:pt>
                <c:pt idx="395">
                  <c:v>32305.88157139155</c:v>
                </c:pt>
                <c:pt idx="396">
                  <c:v>32492.920472527974</c:v>
                </c:pt>
                <c:pt idx="397">
                  <c:v>32386.894026814411</c:v>
                </c:pt>
                <c:pt idx="398">
                  <c:v>32974.206788025796</c:v>
                </c:pt>
                <c:pt idx="399">
                  <c:v>31014.208572214695</c:v>
                </c:pt>
                <c:pt idx="400">
                  <c:v>30507.465076053606</c:v>
                </c:pt>
                <c:pt idx="401">
                  <c:v>29802.940416412464</c:v>
                </c:pt>
                <c:pt idx="402">
                  <c:v>29570.394194986744</c:v>
                </c:pt>
                <c:pt idx="403">
                  <c:v>29808.529074390823</c:v>
                </c:pt>
                <c:pt idx="404">
                  <c:v>27334.569471258954</c:v>
                </c:pt>
                <c:pt idx="405">
                  <c:v>26089.243980436702</c:v>
                </c:pt>
                <c:pt idx="406">
                  <c:v>25255.174976852035</c:v>
                </c:pt>
                <c:pt idx="407">
                  <c:v>24912.064940320011</c:v>
                </c:pt>
                <c:pt idx="408">
                  <c:v>23391.140373337137</c:v>
                </c:pt>
                <c:pt idx="409">
                  <c:v>22245.999261395707</c:v>
                </c:pt>
                <c:pt idx="410">
                  <c:v>21360.597050249929</c:v>
                </c:pt>
                <c:pt idx="411">
                  <c:v>20271.434892400812</c:v>
                </c:pt>
                <c:pt idx="412">
                  <c:v>19450.816803187365</c:v>
                </c:pt>
                <c:pt idx="413">
                  <c:v>19813.30820199128</c:v>
                </c:pt>
                <c:pt idx="414">
                  <c:v>18901.136666207905</c:v>
                </c:pt>
                <c:pt idx="415">
                  <c:v>18387.149352661905</c:v>
                </c:pt>
                <c:pt idx="416">
                  <c:v>17968.572706549949</c:v>
                </c:pt>
                <c:pt idx="417">
                  <c:v>17088.864279180016</c:v>
                </c:pt>
                <c:pt idx="418">
                  <c:v>18050.236881582459</c:v>
                </c:pt>
                <c:pt idx="419">
                  <c:v>18077.052691639237</c:v>
                </c:pt>
                <c:pt idx="420">
                  <c:v>17965.505919806019</c:v>
                </c:pt>
                <c:pt idx="421">
                  <c:v>17899.105600826279</c:v>
                </c:pt>
                <c:pt idx="422">
                  <c:v>17873.124238194894</c:v>
                </c:pt>
                <c:pt idx="423">
                  <c:v>18051.131060662032</c:v>
                </c:pt>
                <c:pt idx="424">
                  <c:v>17903.40221262494</c:v>
                </c:pt>
                <c:pt idx="425">
                  <c:v>17919.455389862567</c:v>
                </c:pt>
                <c:pt idx="426">
                  <c:v>16697.084692007673</c:v>
                </c:pt>
                <c:pt idx="427">
                  <c:v>16310.598788353174</c:v>
                </c:pt>
                <c:pt idx="428">
                  <c:v>16198.374022930237</c:v>
                </c:pt>
                <c:pt idx="429">
                  <c:v>16012.017689545257</c:v>
                </c:pt>
                <c:pt idx="430">
                  <c:v>15907.611712814021</c:v>
                </c:pt>
                <c:pt idx="431">
                  <c:v>15962.131658282271</c:v>
                </c:pt>
                <c:pt idx="432">
                  <c:v>16068.701779153336</c:v>
                </c:pt>
                <c:pt idx="433">
                  <c:v>15959.90651935184</c:v>
                </c:pt>
                <c:pt idx="434">
                  <c:v>15794.425498810371</c:v>
                </c:pt>
                <c:pt idx="435">
                  <c:v>14924.719176109216</c:v>
                </c:pt>
                <c:pt idx="436">
                  <c:v>15036.247575227793</c:v>
                </c:pt>
                <c:pt idx="437">
                  <c:v>15223.049372913372</c:v>
                </c:pt>
                <c:pt idx="438">
                  <c:v>15295.675990216241</c:v>
                </c:pt>
                <c:pt idx="439">
                  <c:v>15228.36163143972</c:v>
                </c:pt>
                <c:pt idx="440">
                  <c:v>16634.91696153189</c:v>
                </c:pt>
                <c:pt idx="441">
                  <c:v>17211.413889100433</c:v>
                </c:pt>
                <c:pt idx="442">
                  <c:v>17510.383215233429</c:v>
                </c:pt>
                <c:pt idx="443">
                  <c:v>17944.972571214999</c:v>
                </c:pt>
                <c:pt idx="444">
                  <c:v>18554.582158228484</c:v>
                </c:pt>
                <c:pt idx="445">
                  <c:v>19219.838814152572</c:v>
                </c:pt>
                <c:pt idx="446">
                  <c:v>19645.502562641817</c:v>
                </c:pt>
                <c:pt idx="447">
                  <c:v>20126.287643200365</c:v>
                </c:pt>
                <c:pt idx="448">
                  <c:v>20505.022202727378</c:v>
                </c:pt>
                <c:pt idx="449">
                  <c:v>21603.39982452504</c:v>
                </c:pt>
                <c:pt idx="450">
                  <c:v>22018.516494399297</c:v>
                </c:pt>
                <c:pt idx="451">
                  <c:v>22283.266040231971</c:v>
                </c:pt>
                <c:pt idx="452">
                  <c:v>22523.70457973647</c:v>
                </c:pt>
                <c:pt idx="453">
                  <c:v>22917.375155166137</c:v>
                </c:pt>
                <c:pt idx="454">
                  <c:v>23618.718546514589</c:v>
                </c:pt>
                <c:pt idx="455">
                  <c:v>23746.376771002335</c:v>
                </c:pt>
                <c:pt idx="456">
                  <c:v>24092.424621274098</c:v>
                </c:pt>
                <c:pt idx="457">
                  <c:v>24511.00416417433</c:v>
                </c:pt>
                <c:pt idx="458">
                  <c:v>24908.274901906108</c:v>
                </c:pt>
                <c:pt idx="459">
                  <c:v>25214.236312887675</c:v>
                </c:pt>
                <c:pt idx="460">
                  <c:v>25319.397297475924</c:v>
                </c:pt>
                <c:pt idx="461">
                  <c:v>25504.859824870833</c:v>
                </c:pt>
                <c:pt idx="462">
                  <c:v>25414.883530898584</c:v>
                </c:pt>
                <c:pt idx="463">
                  <c:v>25736.551478874771</c:v>
                </c:pt>
                <c:pt idx="464">
                  <c:v>25816.728300934428</c:v>
                </c:pt>
                <c:pt idx="465">
                  <c:v>25941.670100171788</c:v>
                </c:pt>
                <c:pt idx="466">
                  <c:v>25308.470170889894</c:v>
                </c:pt>
                <c:pt idx="467">
                  <c:v>25275.095786700022</c:v>
                </c:pt>
                <c:pt idx="468">
                  <c:v>25150.395421800938</c:v>
                </c:pt>
                <c:pt idx="469">
                  <c:v>25328.59372069508</c:v>
                </c:pt>
                <c:pt idx="470">
                  <c:v>25259.081237964772</c:v>
                </c:pt>
                <c:pt idx="471">
                  <c:v>25268.486939995917</c:v>
                </c:pt>
                <c:pt idx="472">
                  <c:v>25721.705510202086</c:v>
                </c:pt>
                <c:pt idx="473">
                  <c:v>25515.041563207065</c:v>
                </c:pt>
                <c:pt idx="474">
                  <c:v>25314.401413592615</c:v>
                </c:pt>
                <c:pt idx="475">
                  <c:v>24566.399015624982</c:v>
                </c:pt>
                <c:pt idx="476">
                  <c:v>25248.323423248246</c:v>
                </c:pt>
                <c:pt idx="477">
                  <c:v>25704.212195892698</c:v>
                </c:pt>
                <c:pt idx="478">
                  <c:v>26312.723258957274</c:v>
                </c:pt>
                <c:pt idx="479">
                  <c:v>26999.509133216583</c:v>
                </c:pt>
                <c:pt idx="480">
                  <c:v>28611.440756713258</c:v>
                </c:pt>
                <c:pt idx="481">
                  <c:v>29302.699227515786</c:v>
                </c:pt>
                <c:pt idx="482">
                  <c:v>30665.804562565387</c:v>
                </c:pt>
                <c:pt idx="483">
                  <c:v>31988.236115856056</c:v>
                </c:pt>
                <c:pt idx="484">
                  <c:v>33156.086351777718</c:v>
                </c:pt>
                <c:pt idx="485">
                  <c:v>34254.090320702424</c:v>
                </c:pt>
                <c:pt idx="486">
                  <c:v>35379.880982600858</c:v>
                </c:pt>
                <c:pt idx="487">
                  <c:v>35226.878208049558</c:v>
                </c:pt>
                <c:pt idx="488">
                  <c:v>35048.916467952993</c:v>
                </c:pt>
                <c:pt idx="489">
                  <c:v>36190.619134492561</c:v>
                </c:pt>
                <c:pt idx="490">
                  <c:v>36679.760389018287</c:v>
                </c:pt>
                <c:pt idx="491">
                  <c:v>36341.478949119912</c:v>
                </c:pt>
                <c:pt idx="492">
                  <c:v>37355.290522793381</c:v>
                </c:pt>
                <c:pt idx="493">
                  <c:v>38266.718757853188</c:v>
                </c:pt>
                <c:pt idx="494">
                  <c:v>39223.928856770777</c:v>
                </c:pt>
                <c:pt idx="495">
                  <c:v>42526.961850959888</c:v>
                </c:pt>
                <c:pt idx="496">
                  <c:v>44458.0241127103</c:v>
                </c:pt>
                <c:pt idx="497">
                  <c:v>46273.63412432334</c:v>
                </c:pt>
                <c:pt idx="498">
                  <c:v>47526.450188776151</c:v>
                </c:pt>
                <c:pt idx="499">
                  <c:v>48862.233322336404</c:v>
                </c:pt>
                <c:pt idx="500">
                  <c:v>48706.198507308829</c:v>
                </c:pt>
                <c:pt idx="501">
                  <c:v>50945.195129223524</c:v>
                </c:pt>
                <c:pt idx="502">
                  <c:v>51988.654563238881</c:v>
                </c:pt>
                <c:pt idx="503">
                  <c:v>52763.712998424518</c:v>
                </c:pt>
                <c:pt idx="504">
                  <c:v>53421.141000729331</c:v>
                </c:pt>
                <c:pt idx="505">
                  <c:v>54795.752152457891</c:v>
                </c:pt>
                <c:pt idx="506">
                  <c:v>55505.793760487824</c:v>
                </c:pt>
                <c:pt idx="507">
                  <c:v>56036.69614141911</c:v>
                </c:pt>
                <c:pt idx="508">
                  <c:v>60082.303533687787</c:v>
                </c:pt>
                <c:pt idx="509">
                  <c:v>59741.085120397773</c:v>
                </c:pt>
                <c:pt idx="510">
                  <c:v>58976.757157878958</c:v>
                </c:pt>
                <c:pt idx="511">
                  <c:v>58404.015152021289</c:v>
                </c:pt>
                <c:pt idx="512">
                  <c:v>56946.824289871402</c:v>
                </c:pt>
                <c:pt idx="513">
                  <c:v>54994.851759287034</c:v>
                </c:pt>
                <c:pt idx="514">
                  <c:v>56112.70227583385</c:v>
                </c:pt>
                <c:pt idx="515">
                  <c:v>56266.997722614746</c:v>
                </c:pt>
                <c:pt idx="516">
                  <c:v>53463.848699088376</c:v>
                </c:pt>
                <c:pt idx="517">
                  <c:v>52557.528491538498</c:v>
                </c:pt>
                <c:pt idx="518">
                  <c:v>52362.334005243822</c:v>
                </c:pt>
                <c:pt idx="519">
                  <c:v>52725.696267031504</c:v>
                </c:pt>
                <c:pt idx="520">
                  <c:v>51955.854574843463</c:v>
                </c:pt>
                <c:pt idx="521">
                  <c:v>51312.830967955495</c:v>
                </c:pt>
                <c:pt idx="522">
                  <c:v>50512.68139501159</c:v>
                </c:pt>
                <c:pt idx="523">
                  <c:v>50015.68171080466</c:v>
                </c:pt>
                <c:pt idx="524">
                  <c:v>50675.020836331343</c:v>
                </c:pt>
                <c:pt idx="525">
                  <c:v>50736.223795923528</c:v>
                </c:pt>
                <c:pt idx="526">
                  <c:v>51753.430651002898</c:v>
                </c:pt>
                <c:pt idx="527">
                  <c:v>53056.941695125803</c:v>
                </c:pt>
                <c:pt idx="528">
                  <c:v>53209.936171368696</c:v>
                </c:pt>
                <c:pt idx="529">
                  <c:v>53288.818373910741</c:v>
                </c:pt>
                <c:pt idx="530">
                  <c:v>54268.86020977117</c:v>
                </c:pt>
                <c:pt idx="531">
                  <c:v>58409.87118307397</c:v>
                </c:pt>
                <c:pt idx="532">
                  <c:v>61291.933639281771</c:v>
                </c:pt>
                <c:pt idx="533">
                  <c:v>63548.643043260607</c:v>
                </c:pt>
                <c:pt idx="534">
                  <c:v>66914.647103023133</c:v>
                </c:pt>
                <c:pt idx="535">
                  <c:v>70355.423326459553</c:v>
                </c:pt>
                <c:pt idx="536">
                  <c:v>70526.259284881206</c:v>
                </c:pt>
                <c:pt idx="537">
                  <c:v>71565.830353366109</c:v>
                </c:pt>
                <c:pt idx="538">
                  <c:v>72554.892697881354</c:v>
                </c:pt>
                <c:pt idx="539">
                  <c:v>72964.411676236472</c:v>
                </c:pt>
                <c:pt idx="540">
                  <c:v>74187.506439157034</c:v>
                </c:pt>
                <c:pt idx="541">
                  <c:v>75480.018205681816</c:v>
                </c:pt>
                <c:pt idx="542">
                  <c:v>76364.617815986145</c:v>
                </c:pt>
                <c:pt idx="543">
                  <c:v>77374.167224802994</c:v>
                </c:pt>
                <c:pt idx="544">
                  <c:v>85672.031426557485</c:v>
                </c:pt>
                <c:pt idx="545">
                  <c:v>85942.172081544253</c:v>
                </c:pt>
                <c:pt idx="546">
                  <c:v>85195.392103585065</c:v>
                </c:pt>
                <c:pt idx="547">
                  <c:v>83691.555650529161</c:v>
                </c:pt>
                <c:pt idx="548">
                  <c:v>82561.425726127476</c:v>
                </c:pt>
                <c:pt idx="549">
                  <c:v>82091.885902384165</c:v>
                </c:pt>
                <c:pt idx="550">
                  <c:v>82381.962029306218</c:v>
                </c:pt>
                <c:pt idx="551">
                  <c:v>81680.473288584239</c:v>
                </c:pt>
                <c:pt idx="552">
                  <c:v>81506.247710985452</c:v>
                </c:pt>
                <c:pt idx="553">
                  <c:v>81552.564183250201</c:v>
                </c:pt>
                <c:pt idx="554">
                  <c:v>80636.739055795275</c:v>
                </c:pt>
                <c:pt idx="555">
                  <c:v>79504.426192870655</c:v>
                </c:pt>
                <c:pt idx="556">
                  <c:v>78822.332025453841</c:v>
                </c:pt>
                <c:pt idx="557">
                  <c:v>79623.261375933565</c:v>
                </c:pt>
                <c:pt idx="558">
                  <c:v>81133.217403994946</c:v>
                </c:pt>
                <c:pt idx="559">
                  <c:v>82320.666597830117</c:v>
                </c:pt>
                <c:pt idx="560">
                  <c:v>84901.652999300495</c:v>
                </c:pt>
                <c:pt idx="561">
                  <c:v>88556.437556909543</c:v>
                </c:pt>
                <c:pt idx="562">
                  <c:v>90027.152692936521</c:v>
                </c:pt>
                <c:pt idx="563">
                  <c:v>91078.034567582683</c:v>
                </c:pt>
                <c:pt idx="564">
                  <c:v>93253.415140950965</c:v>
                </c:pt>
                <c:pt idx="565">
                  <c:v>95413.432195900663</c:v>
                </c:pt>
                <c:pt idx="566">
                  <c:v>98181.512476746968</c:v>
                </c:pt>
                <c:pt idx="567">
                  <c:v>99632.926840828412</c:v>
                </c:pt>
                <c:pt idx="568">
                  <c:v>101313.4556266063</c:v>
                </c:pt>
                <c:pt idx="569">
                  <c:v>102351.31778775714</c:v>
                </c:pt>
                <c:pt idx="570">
                  <c:v>104089.18530274575</c:v>
                </c:pt>
                <c:pt idx="571">
                  <c:v>103569.65145856628</c:v>
                </c:pt>
                <c:pt idx="572">
                  <c:v>103726.31015648275</c:v>
                </c:pt>
                <c:pt idx="573">
                  <c:v>104168.2491181588</c:v>
                </c:pt>
                <c:pt idx="574">
                  <c:v>104577.75833967858</c:v>
                </c:pt>
                <c:pt idx="575">
                  <c:v>105281.40650648385</c:v>
                </c:pt>
                <c:pt idx="576">
                  <c:v>52161.379097853613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F2-184D-B1B7-4CECF28CF288}"/>
            </c:ext>
          </c:extLst>
        </c:ser>
        <c:ser>
          <c:idx val="2"/>
          <c:order val="2"/>
          <c:tx>
            <c:strRef>
              <c:f>'weekly price'!$N$1</c:f>
              <c:strCache>
                <c:ptCount val="1"/>
                <c:pt idx="0">
                  <c:v>price upper 2 SD</c:v>
                </c:pt>
              </c:strCache>
            </c:strRef>
          </c:tx>
          <c:spPr>
            <a:ln cmpd="sng">
              <a:solidFill>
                <a:srgbClr val="3C78D8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price'!$N$2:$N$578</c:f>
              <c:numCache>
                <c:formatCode>General</c:formatCode>
                <c:ptCount val="577"/>
                <c:pt idx="1">
                  <c:v>0</c:v>
                </c:pt>
                <c:pt idx="2" formatCode="&quot;$&quot;#,##0.00">
                  <c:v>409.67309307554677</c:v>
                </c:pt>
                <c:pt idx="3" formatCode="&quot;$&quot;#,##0.00">
                  <c:v>388.38082366630573</c:v>
                </c:pt>
                <c:pt idx="4" formatCode="&quot;$&quot;#,##0.00">
                  <c:v>468.44715877894896</c:v>
                </c:pt>
                <c:pt idx="5" formatCode="&quot;$&quot;#,##0.00">
                  <c:v>458.37074112620422</c:v>
                </c:pt>
                <c:pt idx="6" formatCode="&quot;$&quot;#,##0.00">
                  <c:v>449.77276511016913</c:v>
                </c:pt>
                <c:pt idx="7" formatCode="&quot;$&quot;#,##0.00">
                  <c:v>439.41470734459574</c:v>
                </c:pt>
                <c:pt idx="8" formatCode="&quot;$&quot;#,##0.00">
                  <c:v>443.50453844410322</c:v>
                </c:pt>
                <c:pt idx="9" formatCode="&quot;$&quot;#,##0.00">
                  <c:v>444.14648103893614</c:v>
                </c:pt>
                <c:pt idx="10" formatCode="&quot;$&quot;#,##0.00">
                  <c:v>441.36400290720542</c:v>
                </c:pt>
                <c:pt idx="11" formatCode="&quot;$&quot;#,##0.00">
                  <c:v>438.60423184305859</c:v>
                </c:pt>
                <c:pt idx="12" formatCode="&quot;$&quot;#,##0.00">
                  <c:v>435.63519967678099</c:v>
                </c:pt>
                <c:pt idx="13" formatCode="&quot;$&quot;#,##0.00">
                  <c:v>431.56063685864859</c:v>
                </c:pt>
                <c:pt idx="14" formatCode="&quot;$&quot;#,##0.00">
                  <c:v>426.04599393214914</c:v>
                </c:pt>
                <c:pt idx="15" formatCode="&quot;$&quot;#,##0.00">
                  <c:v>423.91576120525013</c:v>
                </c:pt>
                <c:pt idx="16" formatCode="&quot;$&quot;#,##0.00">
                  <c:v>418.99320187580139</c:v>
                </c:pt>
                <c:pt idx="17" formatCode="&quot;$&quot;#,##0.00">
                  <c:v>411.8310281994826</c:v>
                </c:pt>
                <c:pt idx="18" formatCode="&quot;$&quot;#,##0.00">
                  <c:v>371.55797870406798</c:v>
                </c:pt>
                <c:pt idx="19" formatCode="&quot;$&quot;#,##0.00">
                  <c:v>384.36661678771031</c:v>
                </c:pt>
                <c:pt idx="20" formatCode="&quot;$&quot;#,##0.00">
                  <c:v>372.24455855887885</c:v>
                </c:pt>
                <c:pt idx="21" formatCode="&quot;$&quot;#,##0.00">
                  <c:v>363.85403428268762</c:v>
                </c:pt>
                <c:pt idx="22" formatCode="&quot;$&quot;#,##0.00">
                  <c:v>350.64550400834958</c:v>
                </c:pt>
                <c:pt idx="23" formatCode="&quot;$&quot;#,##0.00">
                  <c:v>336.07688677030802</c:v>
                </c:pt>
                <c:pt idx="24" formatCode="&quot;$&quot;#,##0.00">
                  <c:v>333.39270605098341</c:v>
                </c:pt>
                <c:pt idx="25" formatCode="&quot;$&quot;#,##0.00">
                  <c:v>329.60592691284933</c:v>
                </c:pt>
                <c:pt idx="26" formatCode="&quot;$&quot;#,##0.00">
                  <c:v>328.8792063157432</c:v>
                </c:pt>
                <c:pt idx="27" formatCode="&quot;$&quot;#,##0.00">
                  <c:v>324.73410522681888</c:v>
                </c:pt>
                <c:pt idx="28" formatCode="&quot;$&quot;#,##0.00">
                  <c:v>318.46830375876709</c:v>
                </c:pt>
                <c:pt idx="29" formatCode="&quot;$&quot;#,##0.00">
                  <c:v>315.83725165400591</c:v>
                </c:pt>
                <c:pt idx="30" formatCode="&quot;$&quot;#,##0.00">
                  <c:v>312.72094670030737</c:v>
                </c:pt>
                <c:pt idx="31" formatCode="&quot;$&quot;#,##0.00">
                  <c:v>309.68824815322819</c:v>
                </c:pt>
                <c:pt idx="32" formatCode="&quot;$&quot;#,##0.00">
                  <c:v>307.22513098388742</c:v>
                </c:pt>
                <c:pt idx="33" formatCode="&quot;$&quot;#,##0.00">
                  <c:v>290.70328034959783</c:v>
                </c:pt>
                <c:pt idx="34" formatCode="&quot;$&quot;#,##0.00">
                  <c:v>287.84339979672905</c:v>
                </c:pt>
                <c:pt idx="35" formatCode="&quot;$&quot;#,##0.00">
                  <c:v>287.85976699395121</c:v>
                </c:pt>
                <c:pt idx="36" formatCode="&quot;$&quot;#,##0.00">
                  <c:v>287.95798054371818</c:v>
                </c:pt>
                <c:pt idx="37" formatCode="&quot;$&quot;#,##0.00">
                  <c:v>288.34366092758324</c:v>
                </c:pt>
                <c:pt idx="38" formatCode="&quot;$&quot;#,##0.00">
                  <c:v>277.20768652813354</c:v>
                </c:pt>
                <c:pt idx="39" formatCode="&quot;$&quot;#,##0.00">
                  <c:v>270.88889262353598</c:v>
                </c:pt>
                <c:pt idx="40" formatCode="&quot;$&quot;#,##0.00">
                  <c:v>265.76290613729566</c:v>
                </c:pt>
                <c:pt idx="41" formatCode="&quot;$&quot;#,##0.00">
                  <c:v>262.32370062605361</c:v>
                </c:pt>
                <c:pt idx="42" formatCode="&quot;$&quot;#,##0.00">
                  <c:v>263.65792271289138</c:v>
                </c:pt>
                <c:pt idx="43" formatCode="&quot;$&quot;#,##0.00">
                  <c:v>273.61375001531655</c:v>
                </c:pt>
                <c:pt idx="44" formatCode="&quot;$&quot;#,##0.00">
                  <c:v>272.74668040981555</c:v>
                </c:pt>
                <c:pt idx="45" formatCode="&quot;$&quot;#,##0.00">
                  <c:v>278.27324598153359</c:v>
                </c:pt>
                <c:pt idx="46" formatCode="&quot;$&quot;#,##0.00">
                  <c:v>283.83468054228655</c:v>
                </c:pt>
                <c:pt idx="47" formatCode="&quot;$&quot;#,##0.00">
                  <c:v>287.54800707060315</c:v>
                </c:pt>
                <c:pt idx="48" formatCode="&quot;$&quot;#,##0.00">
                  <c:v>289.16089563621443</c:v>
                </c:pt>
                <c:pt idx="49" formatCode="&quot;$&quot;#,##0.00">
                  <c:v>296.263203735118</c:v>
                </c:pt>
                <c:pt idx="50" formatCode="&quot;$&quot;#,##0.00">
                  <c:v>296.48288480033983</c:v>
                </c:pt>
                <c:pt idx="51" formatCode="&quot;$&quot;#,##0.00">
                  <c:v>296.34398495626095</c:v>
                </c:pt>
                <c:pt idx="52" formatCode="&quot;$&quot;#,##0.00">
                  <c:v>296.61093427884413</c:v>
                </c:pt>
                <c:pt idx="53" formatCode="&quot;$&quot;#,##0.00">
                  <c:v>295.8156256573896</c:v>
                </c:pt>
                <c:pt idx="54" formatCode="&quot;$&quot;#,##0.00">
                  <c:v>296.08827303750451</c:v>
                </c:pt>
                <c:pt idx="55" formatCode="&quot;$&quot;#,##0.00">
                  <c:v>294.72542057860994</c:v>
                </c:pt>
                <c:pt idx="56" formatCode="&quot;$&quot;#,##0.00">
                  <c:v>292.3758762871887</c:v>
                </c:pt>
                <c:pt idx="57" formatCode="&quot;$&quot;#,##0.00">
                  <c:v>286.47801090393682</c:v>
                </c:pt>
                <c:pt idx="58" formatCode="&quot;$&quot;#,##0.00">
                  <c:v>288.43464793203998</c:v>
                </c:pt>
                <c:pt idx="59" formatCode="&quot;$&quot;#,##0.00">
                  <c:v>318.40647821316111</c:v>
                </c:pt>
                <c:pt idx="60" formatCode="&quot;$&quot;#,##0.00">
                  <c:v>355.52699276482281</c:v>
                </c:pt>
                <c:pt idx="61" formatCode="&quot;$&quot;#,##0.00">
                  <c:v>366.81370849466873</c:v>
                </c:pt>
                <c:pt idx="62" formatCode="&quot;$&quot;#,##0.00">
                  <c:v>371.19821108883923</c:v>
                </c:pt>
                <c:pt idx="63" formatCode="&quot;$&quot;#,##0.00">
                  <c:v>378.57722337656503</c:v>
                </c:pt>
                <c:pt idx="64" formatCode="&quot;$&quot;#,##0.00">
                  <c:v>393.60838111955195</c:v>
                </c:pt>
                <c:pt idx="65" formatCode="&quot;$&quot;#,##0.00">
                  <c:v>415.23112603893179</c:v>
                </c:pt>
                <c:pt idx="66" formatCode="&quot;$&quot;#,##0.00">
                  <c:v>430.31489204565491</c:v>
                </c:pt>
                <c:pt idx="67" formatCode="&quot;$&quot;#,##0.00">
                  <c:v>441.11928745814907</c:v>
                </c:pt>
                <c:pt idx="68" formatCode="&quot;$&quot;#,##0.00">
                  <c:v>449.37186877682376</c:v>
                </c:pt>
                <c:pt idx="69" formatCode="&quot;$&quot;#,##0.00">
                  <c:v>457.75452869978608</c:v>
                </c:pt>
                <c:pt idx="70" formatCode="&quot;$&quot;#,##0.00">
                  <c:v>471.64794228986466</c:v>
                </c:pt>
                <c:pt idx="71" formatCode="&quot;$&quot;#,##0.00">
                  <c:v>476.4304228371189</c:v>
                </c:pt>
                <c:pt idx="72" formatCode="&quot;$&quot;#,##0.00">
                  <c:v>480.29353659344218</c:v>
                </c:pt>
                <c:pt idx="73" formatCode="&quot;$&quot;#,##0.00">
                  <c:v>460.13504144831785</c:v>
                </c:pt>
                <c:pt idx="74" formatCode="&quot;$&quot;#,##0.00">
                  <c:v>464.38972624382308</c:v>
                </c:pt>
                <c:pt idx="75" formatCode="&quot;$&quot;#,##0.00">
                  <c:v>469.25587164859712</c:v>
                </c:pt>
                <c:pt idx="76" formatCode="&quot;$&quot;#,##0.00">
                  <c:v>475.71723355444539</c:v>
                </c:pt>
                <c:pt idx="77" formatCode="&quot;$&quot;#,##0.00">
                  <c:v>470.24027666249191</c:v>
                </c:pt>
                <c:pt idx="78" formatCode="&quot;$&quot;#,##0.00">
                  <c:v>470.89977452583656</c:v>
                </c:pt>
                <c:pt idx="79" formatCode="&quot;$&quot;#,##0.00">
                  <c:v>460.83708662472031</c:v>
                </c:pt>
                <c:pt idx="80" formatCode="&quot;$&quot;#,##0.00">
                  <c:v>459.63318417746149</c:v>
                </c:pt>
                <c:pt idx="81" formatCode="&quot;$&quot;#,##0.00">
                  <c:v>458.72003113926496</c:v>
                </c:pt>
                <c:pt idx="82" formatCode="&quot;$&quot;#,##0.00">
                  <c:v>458.04210690634687</c:v>
                </c:pt>
                <c:pt idx="83" formatCode="&quot;$&quot;#,##0.00">
                  <c:v>456.61380676196569</c:v>
                </c:pt>
                <c:pt idx="84" formatCode="&quot;$&quot;#,##0.00">
                  <c:v>453.43132818707124</c:v>
                </c:pt>
                <c:pt idx="85" formatCode="&quot;$&quot;#,##0.00">
                  <c:v>460.02189266724281</c:v>
                </c:pt>
                <c:pt idx="86" formatCode="&quot;$&quot;#,##0.00">
                  <c:v>463.55210197437395</c:v>
                </c:pt>
                <c:pt idx="87" formatCode="&quot;$&quot;#,##0.00">
                  <c:v>469.04078603273592</c:v>
                </c:pt>
                <c:pt idx="88" formatCode="&quot;$&quot;#,##0.00">
                  <c:v>470.41443936607692</c:v>
                </c:pt>
                <c:pt idx="89" formatCode="&quot;$&quot;#,##0.00">
                  <c:v>500.47300210720869</c:v>
                </c:pt>
                <c:pt idx="90" formatCode="&quot;$&quot;#,##0.00">
                  <c:v>519.42166363770866</c:v>
                </c:pt>
                <c:pt idx="91" formatCode="&quot;$&quot;#,##0.00">
                  <c:v>565.14584482503403</c:v>
                </c:pt>
                <c:pt idx="92" formatCode="&quot;$&quot;#,##0.00">
                  <c:v>622.81238447545525</c:v>
                </c:pt>
                <c:pt idx="93" formatCode="&quot;$&quot;#,##0.00">
                  <c:v>661.53711426390055</c:v>
                </c:pt>
                <c:pt idx="94" formatCode="&quot;$&quot;#,##0.00">
                  <c:v>682.09650150521384</c:v>
                </c:pt>
                <c:pt idx="95" formatCode="&quot;$&quot;#,##0.00">
                  <c:v>700.29483510388707</c:v>
                </c:pt>
                <c:pt idx="96" formatCode="&quot;$&quot;#,##0.00">
                  <c:v>714.16584282026383</c:v>
                </c:pt>
                <c:pt idx="97" formatCode="&quot;$&quot;#,##0.00">
                  <c:v>726.98128510493655</c:v>
                </c:pt>
                <c:pt idx="98" formatCode="&quot;$&quot;#,##0.00">
                  <c:v>737.12373182510294</c:v>
                </c:pt>
                <c:pt idx="99" formatCode="&quot;$&quot;#,##0.00">
                  <c:v>741.76978824795128</c:v>
                </c:pt>
                <c:pt idx="100" formatCode="&quot;$&quot;#,##0.00">
                  <c:v>747.32601709406481</c:v>
                </c:pt>
                <c:pt idx="101" formatCode="&quot;$&quot;#,##0.00">
                  <c:v>751.28409616083104</c:v>
                </c:pt>
                <c:pt idx="102" formatCode="&quot;$&quot;#,##0.00">
                  <c:v>756.81253049340637</c:v>
                </c:pt>
                <c:pt idx="103" formatCode="&quot;$&quot;#,##0.00">
                  <c:v>743.8907747312021</c:v>
                </c:pt>
                <c:pt idx="104" formatCode="&quot;$&quot;#,##0.00">
                  <c:v>740.64519608299861</c:v>
                </c:pt>
                <c:pt idx="105" formatCode="&quot;$&quot;#,##0.00">
                  <c:v>699.9784636524231</c:v>
                </c:pt>
                <c:pt idx="106" formatCode="&quot;$&quot;#,##0.00">
                  <c:v>683.11345966602016</c:v>
                </c:pt>
                <c:pt idx="107" formatCode="&quot;$&quot;#,##0.00">
                  <c:v>668.90919955481149</c:v>
                </c:pt>
                <c:pt idx="108" formatCode="&quot;$&quot;#,##0.00">
                  <c:v>659.13784241743735</c:v>
                </c:pt>
                <c:pt idx="109" formatCode="&quot;$&quot;#,##0.00">
                  <c:v>655.29103308170841</c:v>
                </c:pt>
                <c:pt idx="110" formatCode="&quot;$&quot;#,##0.00">
                  <c:v>649.821462290564</c:v>
                </c:pt>
                <c:pt idx="111" formatCode="&quot;$&quot;#,##0.00">
                  <c:v>659.94131208885995</c:v>
                </c:pt>
                <c:pt idx="112" formatCode="&quot;$&quot;#,##0.00">
                  <c:v>660.88739400992699</c:v>
                </c:pt>
                <c:pt idx="113" formatCode="&quot;$&quot;#,##0.00">
                  <c:v>670.80634197716176</c:v>
                </c:pt>
                <c:pt idx="114" formatCode="&quot;$&quot;#,##0.00">
                  <c:v>682.33808594830134</c:v>
                </c:pt>
                <c:pt idx="115" formatCode="&quot;$&quot;#,##0.00">
                  <c:v>692.76325943220263</c:v>
                </c:pt>
                <c:pt idx="116" formatCode="&quot;$&quot;#,##0.00">
                  <c:v>704.39986053158009</c:v>
                </c:pt>
                <c:pt idx="117" formatCode="&quot;$&quot;#,##0.00">
                  <c:v>716.50890990500113</c:v>
                </c:pt>
                <c:pt idx="118" formatCode="&quot;$&quot;#,##0.00">
                  <c:v>729.4967299332485</c:v>
                </c:pt>
                <c:pt idx="119" formatCode="&quot;$&quot;#,##0.00">
                  <c:v>788.31935310121457</c:v>
                </c:pt>
                <c:pt idx="120" formatCode="&quot;$&quot;#,##0.00">
                  <c:v>845.48212382637917</c:v>
                </c:pt>
                <c:pt idx="121" formatCode="&quot;$&quot;#,##0.00">
                  <c:v>903.46193387968117</c:v>
                </c:pt>
                <c:pt idx="122" formatCode="&quot;$&quot;#,##0.00">
                  <c:v>924.12220952591508</c:v>
                </c:pt>
                <c:pt idx="123" formatCode="&quot;$&quot;#,##0.00">
                  <c:v>946.99755315782397</c:v>
                </c:pt>
                <c:pt idx="124" formatCode="&quot;$&quot;#,##0.00">
                  <c:v>961.20674925415244</c:v>
                </c:pt>
                <c:pt idx="125" formatCode="&quot;$&quot;#,##0.00">
                  <c:v>991.49789899226926</c:v>
                </c:pt>
                <c:pt idx="126" formatCode="&quot;$&quot;#,##0.00">
                  <c:v>1018.6249584300177</c:v>
                </c:pt>
                <c:pt idx="127" formatCode="&quot;$&quot;#,##0.00">
                  <c:v>1043.423990662031</c:v>
                </c:pt>
                <c:pt idx="128" formatCode="&quot;$&quot;#,##0.00">
                  <c:v>1087.5427298445563</c:v>
                </c:pt>
                <c:pt idx="129" formatCode="&quot;$&quot;#,##0.00">
                  <c:v>1137.4550544905408</c:v>
                </c:pt>
                <c:pt idx="130" formatCode="&quot;$&quot;#,##0.00">
                  <c:v>1190.3079166266366</c:v>
                </c:pt>
                <c:pt idx="131" formatCode="&quot;$&quot;#,##0.00">
                  <c:v>1235.8748724895304</c:v>
                </c:pt>
                <c:pt idx="132" formatCode="&quot;$&quot;#,##0.00">
                  <c:v>1244.8100734414284</c:v>
                </c:pt>
                <c:pt idx="133" formatCode="&quot;$&quot;#,##0.00">
                  <c:v>1259.671650475801</c:v>
                </c:pt>
                <c:pt idx="134" formatCode="&quot;$&quot;#,##0.00">
                  <c:v>1273.5517739191762</c:v>
                </c:pt>
                <c:pt idx="135" formatCode="&quot;$&quot;#,##0.00">
                  <c:v>1285.6392160715736</c:v>
                </c:pt>
                <c:pt idx="136" formatCode="&quot;$&quot;#,##0.00">
                  <c:v>1302.3835067999701</c:v>
                </c:pt>
                <c:pt idx="137" formatCode="&quot;$&quot;#,##0.00">
                  <c:v>1354.2197047075208</c:v>
                </c:pt>
                <c:pt idx="138" formatCode="&quot;$&quot;#,##0.00">
                  <c:v>1483.5050283737655</c:v>
                </c:pt>
                <c:pt idx="139" formatCode="&quot;$&quot;#,##0.00">
                  <c:v>1579.9843930967663</c:v>
                </c:pt>
                <c:pt idx="140" formatCode="&quot;$&quot;#,##0.00">
                  <c:v>1756.6267175897021</c:v>
                </c:pt>
                <c:pt idx="141" formatCode="&quot;$&quot;#,##0.00">
                  <c:v>1982.7163858150386</c:v>
                </c:pt>
                <c:pt idx="142" formatCode="&quot;$&quot;#,##0.00">
                  <c:v>2204.4637253843684</c:v>
                </c:pt>
                <c:pt idx="143" formatCode="&quot;$&quot;#,##0.00">
                  <c:v>2383.312490916293</c:v>
                </c:pt>
                <c:pt idx="144" formatCode="&quot;$&quot;#,##0.00">
                  <c:v>2511.3655376449447</c:v>
                </c:pt>
                <c:pt idx="145" formatCode="&quot;$&quot;#,##0.00">
                  <c:v>2537.2036531216168</c:v>
                </c:pt>
                <c:pt idx="146" formatCode="&quot;$&quot;#,##0.00">
                  <c:v>2602.5730674948791</c:v>
                </c:pt>
                <c:pt idx="147" formatCode="&quot;$&quot;#,##0.00">
                  <c:v>2687.9544698466875</c:v>
                </c:pt>
                <c:pt idx="148" formatCode="&quot;$&quot;#,##0.00">
                  <c:v>2734.5760979838878</c:v>
                </c:pt>
                <c:pt idx="149" formatCode="&quot;$&quot;#,##0.00">
                  <c:v>2858.0979435493678</c:v>
                </c:pt>
                <c:pt idx="150" formatCode="&quot;$&quot;#,##0.00">
                  <c:v>2919.4341933754386</c:v>
                </c:pt>
                <c:pt idx="151" formatCode="&quot;$&quot;#,##0.00">
                  <c:v>3042.1429334073996</c:v>
                </c:pt>
                <c:pt idx="152" formatCode="&quot;$&quot;#,##0.00">
                  <c:v>3372.6837451042652</c:v>
                </c:pt>
                <c:pt idx="153" formatCode="&quot;$&quot;#,##0.00">
                  <c:v>3669.7965496038455</c:v>
                </c:pt>
                <c:pt idx="154" formatCode="&quot;$&quot;#,##0.00">
                  <c:v>3879.4789873447994</c:v>
                </c:pt>
                <c:pt idx="155" formatCode="&quot;$&quot;#,##0.00">
                  <c:v>4124.8973105612931</c:v>
                </c:pt>
                <c:pt idx="156" formatCode="&quot;$&quot;#,##0.00">
                  <c:v>4261.1149228265595</c:v>
                </c:pt>
                <c:pt idx="157" formatCode="&quot;$&quot;#,##0.00">
                  <c:v>4410.6714544936049</c:v>
                </c:pt>
                <c:pt idx="158" formatCode="&quot;$&quot;#,##0.00">
                  <c:v>4530.3600140836843</c:v>
                </c:pt>
                <c:pt idx="159" formatCode="&quot;$&quot;#,##0.00">
                  <c:v>4659.3959692182598</c:v>
                </c:pt>
                <c:pt idx="160" formatCode="&quot;$&quot;#,##0.00">
                  <c:v>4800.4999684536742</c:v>
                </c:pt>
                <c:pt idx="161" formatCode="&quot;$&quot;#,##0.00">
                  <c:v>5062.0656851110334</c:v>
                </c:pt>
                <c:pt idx="162" formatCode="&quot;$&quot;#,##0.00">
                  <c:v>5309.8040955560782</c:v>
                </c:pt>
                <c:pt idx="163" formatCode="&quot;$&quot;#,##0.00">
                  <c:v>5503.2017521843381</c:v>
                </c:pt>
                <c:pt idx="164" formatCode="&quot;$&quot;#,##0.00">
                  <c:v>5892.6272896511846</c:v>
                </c:pt>
                <c:pt idx="165" formatCode="&quot;$&quot;#,##0.00">
                  <c:v>6258.721745357605</c:v>
                </c:pt>
                <c:pt idx="166" formatCode="&quot;$&quot;#,##0.00">
                  <c:v>6801.9335738519094</c:v>
                </c:pt>
                <c:pt idx="167" formatCode="&quot;$&quot;#,##0.00">
                  <c:v>7543.6324004772987</c:v>
                </c:pt>
                <c:pt idx="168" formatCode="&quot;$&quot;#,##0.00">
                  <c:v>8884.9628410260266</c:v>
                </c:pt>
                <c:pt idx="169" formatCode="&quot;$&quot;#,##0.00">
                  <c:v>12784.890232027032</c:v>
                </c:pt>
                <c:pt idx="170" formatCode="&quot;$&quot;#,##0.00">
                  <c:v>15418.744690889391</c:v>
                </c:pt>
                <c:pt idx="171" formatCode="&quot;$&quot;#,##0.00">
                  <c:v>17021.874749898099</c:v>
                </c:pt>
                <c:pt idx="172" formatCode="&quot;$&quot;#,##0.00">
                  <c:v>17342.51267701132</c:v>
                </c:pt>
                <c:pt idx="173" formatCode="&quot;$&quot;#,##0.00">
                  <c:v>17938.962659771867</c:v>
                </c:pt>
                <c:pt idx="174" formatCode="&quot;$&quot;#,##0.00">
                  <c:v>18297.132494879632</c:v>
                </c:pt>
                <c:pt idx="175" formatCode="&quot;$&quot;#,##0.00">
                  <c:v>18430.384313302176</c:v>
                </c:pt>
                <c:pt idx="176" formatCode="&quot;$&quot;#,##0.00">
                  <c:v>18376.396767461614</c:v>
                </c:pt>
                <c:pt idx="177" formatCode="&quot;$&quot;#,##0.00">
                  <c:v>18887.302312960575</c:v>
                </c:pt>
                <c:pt idx="178" formatCode="&quot;$&quot;#,##0.00">
                  <c:v>18948.825414540373</c:v>
                </c:pt>
                <c:pt idx="179" formatCode="&quot;$&quot;#,##0.00">
                  <c:v>19201.430906893234</c:v>
                </c:pt>
                <c:pt idx="180" formatCode="&quot;$&quot;#,##0.00">
                  <c:v>19068.563746315907</c:v>
                </c:pt>
                <c:pt idx="181" formatCode="&quot;$&quot;#,##0.00">
                  <c:v>19052.344044970843</c:v>
                </c:pt>
                <c:pt idx="182" formatCode="&quot;$&quot;#,##0.00">
                  <c:v>19007.85832090953</c:v>
                </c:pt>
                <c:pt idx="183" formatCode="&quot;$&quot;#,##0.00">
                  <c:v>17296.829695119883</c:v>
                </c:pt>
                <c:pt idx="184" formatCode="&quot;$&quot;#,##0.00">
                  <c:v>16091.42327551953</c:v>
                </c:pt>
                <c:pt idx="185" formatCode="&quot;$&quot;#,##0.00">
                  <c:v>15228.447704187942</c:v>
                </c:pt>
                <c:pt idx="186" formatCode="&quot;$&quot;#,##0.00">
                  <c:v>14686.129354524397</c:v>
                </c:pt>
                <c:pt idx="187" formatCode="&quot;$&quot;#,##0.00">
                  <c:v>13721.819304857387</c:v>
                </c:pt>
                <c:pt idx="188" formatCode="&quot;$&quot;#,##0.00">
                  <c:v>12943.652820356354</c:v>
                </c:pt>
                <c:pt idx="189" formatCode="&quot;$&quot;#,##0.00">
                  <c:v>12503.307486355559</c:v>
                </c:pt>
                <c:pt idx="190" formatCode="&quot;$&quot;#,##0.00">
                  <c:v>12267.329089965613</c:v>
                </c:pt>
                <c:pt idx="191" formatCode="&quot;$&quot;#,##0.00">
                  <c:v>11853.165271173169</c:v>
                </c:pt>
                <c:pt idx="192" formatCode="&quot;$&quot;#,##0.00">
                  <c:v>11417.351285756637</c:v>
                </c:pt>
                <c:pt idx="193" formatCode="&quot;$&quot;#,##0.00">
                  <c:v>10790.369899754876</c:v>
                </c:pt>
                <c:pt idx="194" formatCode="&quot;$&quot;#,##0.00">
                  <c:v>10551.495011650806</c:v>
                </c:pt>
                <c:pt idx="195" formatCode="&quot;$&quot;#,##0.00">
                  <c:v>10048.477503009581</c:v>
                </c:pt>
                <c:pt idx="196" formatCode="&quot;$&quot;#,##0.00">
                  <c:v>9654.1608857911906</c:v>
                </c:pt>
                <c:pt idx="197" formatCode="&quot;$&quot;#,##0.00">
                  <c:v>9508.537279398417</c:v>
                </c:pt>
                <c:pt idx="198" formatCode="&quot;$&quot;#,##0.00">
                  <c:v>9438.2109199436145</c:v>
                </c:pt>
                <c:pt idx="199" formatCode="&quot;$&quot;#,##0.00">
                  <c:v>9312.8190801119854</c:v>
                </c:pt>
                <c:pt idx="200" formatCode="&quot;$&quot;#,##0.00">
                  <c:v>9315.1401349358512</c:v>
                </c:pt>
                <c:pt idx="201" formatCode="&quot;$&quot;#,##0.00">
                  <c:v>9178.4821241198242</c:v>
                </c:pt>
                <c:pt idx="202" formatCode="&quot;$&quot;#,##0.00">
                  <c:v>9022.7717670890943</c:v>
                </c:pt>
                <c:pt idx="203" formatCode="&quot;$&quot;#,##0.00">
                  <c:v>8887.9371973756079</c:v>
                </c:pt>
                <c:pt idx="204" formatCode="&quot;$&quot;#,##0.00">
                  <c:v>8566.4632389469771</c:v>
                </c:pt>
                <c:pt idx="205" formatCode="&quot;$&quot;#,##0.00">
                  <c:v>8295.2229713388388</c:v>
                </c:pt>
                <c:pt idx="206" formatCode="&quot;$&quot;#,##0.00">
                  <c:v>8194.5286381168189</c:v>
                </c:pt>
                <c:pt idx="207" formatCode="&quot;$&quot;#,##0.00">
                  <c:v>8089.9762010849527</c:v>
                </c:pt>
                <c:pt idx="208" formatCode="&quot;$&quot;#,##0.00">
                  <c:v>8068.7882367923066</c:v>
                </c:pt>
                <c:pt idx="209" formatCode="&quot;$&quot;#,##0.00">
                  <c:v>7987.5844450333161</c:v>
                </c:pt>
                <c:pt idx="210" formatCode="&quot;$&quot;#,##0.00">
                  <c:v>7988.7909538299882</c:v>
                </c:pt>
                <c:pt idx="211" formatCode="&quot;$&quot;#,##0.00">
                  <c:v>7979.4222118031803</c:v>
                </c:pt>
                <c:pt idx="212" formatCode="&quot;$&quot;#,##0.00">
                  <c:v>7963.129226047663</c:v>
                </c:pt>
                <c:pt idx="213" formatCode="&quot;$&quot;#,##0.00">
                  <c:v>7952.6416006035543</c:v>
                </c:pt>
                <c:pt idx="214" formatCode="&quot;$&quot;#,##0.00">
                  <c:v>7926.7022284209461</c:v>
                </c:pt>
                <c:pt idx="215" formatCode="&quot;$&quot;#,##0.00">
                  <c:v>7642.684916203606</c:v>
                </c:pt>
                <c:pt idx="216" formatCode="&quot;$&quot;#,##0.00">
                  <c:v>7439.838315636569</c:v>
                </c:pt>
                <c:pt idx="217" formatCode="&quot;$&quot;#,##0.00">
                  <c:v>7227.0469832509953</c:v>
                </c:pt>
                <c:pt idx="218" formatCode="&quot;$&quot;#,##0.00">
                  <c:v>7398.9386850789151</c:v>
                </c:pt>
                <c:pt idx="219" formatCode="&quot;$&quot;#,##0.00">
                  <c:v>7304.7405257132514</c:v>
                </c:pt>
                <c:pt idx="220" formatCode="&quot;$&quot;#,##0.00">
                  <c:v>6942.164128848819</c:v>
                </c:pt>
                <c:pt idx="221" formatCode="&quot;$&quot;#,##0.00">
                  <c:v>6554.8291389239012</c:v>
                </c:pt>
                <c:pt idx="222" formatCode="&quot;$&quot;#,##0.00">
                  <c:v>6312.8174805160816</c:v>
                </c:pt>
                <c:pt idx="223" formatCode="&quot;$&quot;#,##0.00">
                  <c:v>6234.3617956268117</c:v>
                </c:pt>
                <c:pt idx="224" formatCode="&quot;$&quot;#,##0.00">
                  <c:v>5958.0042910085194</c:v>
                </c:pt>
                <c:pt idx="225" formatCode="&quot;$&quot;#,##0.00">
                  <c:v>5790.8237612622015</c:v>
                </c:pt>
                <c:pt idx="226" formatCode="&quot;$&quot;#,##0.00">
                  <c:v>5572.4822349563956</c:v>
                </c:pt>
                <c:pt idx="227" formatCode="&quot;$&quot;#,##0.00">
                  <c:v>5353.5282916586648</c:v>
                </c:pt>
                <c:pt idx="228" formatCode="&quot;$&quot;#,##0.00">
                  <c:v>5121.7263688481844</c:v>
                </c:pt>
                <c:pt idx="229" formatCode="&quot;$&quot;#,##0.00">
                  <c:v>4933.3464173269631</c:v>
                </c:pt>
                <c:pt idx="230" formatCode="&quot;$&quot;#,##0.00">
                  <c:v>4750.940505608879</c:v>
                </c:pt>
                <c:pt idx="231" formatCode="&quot;$&quot;#,##0.00">
                  <c:v>4612.8255781107082</c:v>
                </c:pt>
                <c:pt idx="232" formatCode="&quot;$&quot;#,##0.00">
                  <c:v>4407.6957134385611</c:v>
                </c:pt>
                <c:pt idx="233" formatCode="&quot;$&quot;#,##0.00">
                  <c:v>4244.6081612375392</c:v>
                </c:pt>
                <c:pt idx="234" formatCode="&quot;$&quot;#,##0.00">
                  <c:v>4253.6773838259833</c:v>
                </c:pt>
                <c:pt idx="235" formatCode="&quot;$&quot;#,##0.00">
                  <c:v>4249.3940093925148</c:v>
                </c:pt>
                <c:pt idx="236" formatCode="&quot;$&quot;#,##0.00">
                  <c:v>4282.2433924304996</c:v>
                </c:pt>
                <c:pt idx="237" formatCode="&quot;$&quot;#,##0.00">
                  <c:v>4213.196294207658</c:v>
                </c:pt>
                <c:pt idx="238" formatCode="&quot;$&quot;#,##0.00">
                  <c:v>4725.9168173526323</c:v>
                </c:pt>
                <c:pt idx="239" formatCode="&quot;$&quot;#,##0.00">
                  <c:v>4868.9390949659</c:v>
                </c:pt>
                <c:pt idx="240" formatCode="&quot;$&quot;#,##0.00">
                  <c:v>4997.3150036843799</c:v>
                </c:pt>
                <c:pt idx="241" formatCode="&quot;$&quot;#,##0.00">
                  <c:v>5144.7640995735574</c:v>
                </c:pt>
                <c:pt idx="242" formatCode="&quot;$&quot;#,##0.00">
                  <c:v>5341.7078066430986</c:v>
                </c:pt>
                <c:pt idx="243" formatCode="&quot;$&quot;#,##0.00">
                  <c:v>6221.6545683316044</c:v>
                </c:pt>
                <c:pt idx="244" formatCode="&quot;$&quot;#,##0.00">
                  <c:v>6844.5913889982758</c:v>
                </c:pt>
                <c:pt idx="245" formatCode="&quot;$&quot;#,##0.00">
                  <c:v>7407.5802566550828</c:v>
                </c:pt>
                <c:pt idx="246" formatCode="&quot;$&quot;#,##0.00">
                  <c:v>7876.7022731889456</c:v>
                </c:pt>
                <c:pt idx="247" formatCode="&quot;$&quot;#,##0.00">
                  <c:v>8164.2520311559947</c:v>
                </c:pt>
                <c:pt idx="248" formatCode="&quot;$&quot;#,##0.00">
                  <c:v>8620.532767627983</c:v>
                </c:pt>
                <c:pt idx="249" formatCode="&quot;$&quot;#,##0.00">
                  <c:v>9196.186793728617</c:v>
                </c:pt>
                <c:pt idx="250" formatCode="&quot;$&quot;#,##0.00">
                  <c:v>9847.9452747640098</c:v>
                </c:pt>
                <c:pt idx="251" formatCode="&quot;$&quot;#,##0.00">
                  <c:v>10549.622473387699</c:v>
                </c:pt>
                <c:pt idx="252" formatCode="&quot;$&quot;#,##0.00">
                  <c:v>11033.416101663632</c:v>
                </c:pt>
                <c:pt idx="253" formatCode="&quot;$&quot;#,##0.00">
                  <c:v>11407.014821286328</c:v>
                </c:pt>
                <c:pt idx="254" formatCode="&quot;$&quot;#,##0.00">
                  <c:v>11723.150982801397</c:v>
                </c:pt>
                <c:pt idx="255" formatCode="&quot;$&quot;#,##0.00">
                  <c:v>12258.585773315142</c:v>
                </c:pt>
                <c:pt idx="256" formatCode="&quot;$&quot;#,##0.00">
                  <c:v>12693.96547278756</c:v>
                </c:pt>
                <c:pt idx="257" formatCode="&quot;$&quot;#,##0.00">
                  <c:v>12362.606524227813</c:v>
                </c:pt>
                <c:pt idx="258" formatCode="&quot;$&quot;#,##0.00">
                  <c:v>12662.883602026366</c:v>
                </c:pt>
                <c:pt idx="259" formatCode="&quot;$&quot;#,##0.00">
                  <c:v>12777.045889187226</c:v>
                </c:pt>
                <c:pt idx="260" formatCode="&quot;$&quot;#,##0.00">
                  <c:v>12954.922478623264</c:v>
                </c:pt>
                <c:pt idx="261" formatCode="&quot;$&quot;#,##0.00">
                  <c:v>13155.209974653826</c:v>
                </c:pt>
                <c:pt idx="262" formatCode="&quot;$&quot;#,##0.00">
                  <c:v>13065.149433502602</c:v>
                </c:pt>
                <c:pt idx="263" formatCode="&quot;$&quot;#,##0.00">
                  <c:v>12743.415453137155</c:v>
                </c:pt>
                <c:pt idx="264" formatCode="&quot;$&quot;#,##0.00">
                  <c:v>12584.514286239306</c:v>
                </c:pt>
                <c:pt idx="265" formatCode="&quot;$&quot;#,##0.00">
                  <c:v>11901.850666992259</c:v>
                </c:pt>
                <c:pt idx="266" formatCode="&quot;$&quot;#,##0.00">
                  <c:v>11575.813501290282</c:v>
                </c:pt>
                <c:pt idx="267" formatCode="&quot;$&quot;#,##0.00">
                  <c:v>11617.961200625938</c:v>
                </c:pt>
                <c:pt idx="268" formatCode="&quot;$&quot;#,##0.00">
                  <c:v>11543.85490821541</c:v>
                </c:pt>
                <c:pt idx="269" formatCode="&quot;$&quot;#,##0.00">
                  <c:v>10723.665686579081</c:v>
                </c:pt>
                <c:pt idx="270" formatCode="&quot;$&quot;#,##0.00">
                  <c:v>10458.374537185906</c:v>
                </c:pt>
                <c:pt idx="271" formatCode="&quot;$&quot;#,##0.00">
                  <c:v>10219.460784465284</c:v>
                </c:pt>
                <c:pt idx="272" formatCode="&quot;$&quot;#,##0.00">
                  <c:v>9978.6683605234339</c:v>
                </c:pt>
                <c:pt idx="273" formatCode="&quot;$&quot;#,##0.00">
                  <c:v>9772.9705024869545</c:v>
                </c:pt>
                <c:pt idx="274" formatCode="&quot;$&quot;#,##0.00">
                  <c:v>9534.1416647208098</c:v>
                </c:pt>
                <c:pt idx="275" formatCode="&quot;$&quot;#,##0.00">
                  <c:v>9384.2069729145114</c:v>
                </c:pt>
                <c:pt idx="276" formatCode="&quot;$&quot;#,##0.00">
                  <c:v>9192.6440971989141</c:v>
                </c:pt>
                <c:pt idx="277" formatCode="&quot;$&quot;#,##0.00">
                  <c:v>9055.3482005161004</c:v>
                </c:pt>
                <c:pt idx="278" formatCode="&quot;$&quot;#,##0.00">
                  <c:v>9075.6063081076591</c:v>
                </c:pt>
                <c:pt idx="279" formatCode="&quot;$&quot;#,##0.00">
                  <c:v>9165.0478573933942</c:v>
                </c:pt>
                <c:pt idx="280" formatCode="&quot;$&quot;#,##0.00">
                  <c:v>9227.5449613612127</c:v>
                </c:pt>
                <c:pt idx="281" formatCode="&quot;$&quot;#,##0.00">
                  <c:v>9097.9806171922155</c:v>
                </c:pt>
                <c:pt idx="282" formatCode="&quot;$&quot;#,##0.00">
                  <c:v>9221.5192782450595</c:v>
                </c:pt>
                <c:pt idx="283" formatCode="&quot;$&quot;#,##0.00">
                  <c:v>9321.2778357547304</c:v>
                </c:pt>
                <c:pt idx="284" formatCode="&quot;$&quot;#,##0.00">
                  <c:v>9439.2930365996508</c:v>
                </c:pt>
                <c:pt idx="285" formatCode="&quot;$&quot;#,##0.00">
                  <c:v>9428.1469071798183</c:v>
                </c:pt>
                <c:pt idx="286" formatCode="&quot;$&quot;#,##0.00">
                  <c:v>9626.4675772347618</c:v>
                </c:pt>
                <c:pt idx="287" formatCode="&quot;$&quot;#,##0.00">
                  <c:v>10206.217019017056</c:v>
                </c:pt>
                <c:pt idx="288" formatCode="&quot;$&quot;#,##0.00">
                  <c:v>10489.329777325271</c:v>
                </c:pt>
                <c:pt idx="289" formatCode="&quot;$&quot;#,##0.00">
                  <c:v>10350.118411905374</c:v>
                </c:pt>
                <c:pt idx="290" formatCode="&quot;$&quot;#,##0.00">
                  <c:v>10395.473860261673</c:v>
                </c:pt>
                <c:pt idx="291" formatCode="&quot;$&quot;#,##0.00">
                  <c:v>10295.03413616615</c:v>
                </c:pt>
                <c:pt idx="292" formatCode="&quot;$&quot;#,##0.00">
                  <c:v>10180.537667232107</c:v>
                </c:pt>
                <c:pt idx="293" formatCode="&quot;$&quot;#,##0.00">
                  <c:v>10166.402443710516</c:v>
                </c:pt>
                <c:pt idx="294" formatCode="&quot;$&quot;#,##0.00">
                  <c:v>10292.123289234998</c:v>
                </c:pt>
                <c:pt idx="295" formatCode="&quot;$&quot;#,##0.00">
                  <c:v>10281.344834879668</c:v>
                </c:pt>
                <c:pt idx="296" formatCode="&quot;$&quot;#,##0.00">
                  <c:v>10368.950869939059</c:v>
                </c:pt>
                <c:pt idx="297" formatCode="&quot;$&quot;#,##0.00">
                  <c:v>10307.158525895073</c:v>
                </c:pt>
                <c:pt idx="298" formatCode="&quot;$&quot;#,##0.00">
                  <c:v>10364.188234023255</c:v>
                </c:pt>
                <c:pt idx="299" formatCode="&quot;$&quot;#,##0.00">
                  <c:v>10362.474533117569</c:v>
                </c:pt>
                <c:pt idx="300" formatCode="&quot;$&quot;#,##0.00">
                  <c:v>10388.276870821514</c:v>
                </c:pt>
                <c:pt idx="301" formatCode="&quot;$&quot;#,##0.00">
                  <c:v>10047.136808440424</c:v>
                </c:pt>
                <c:pt idx="302" formatCode="&quot;$&quot;#,##0.00">
                  <c:v>9921.1748153281933</c:v>
                </c:pt>
                <c:pt idx="303" formatCode="&quot;$&quot;#,##0.00">
                  <c:v>10143.71938235099</c:v>
                </c:pt>
                <c:pt idx="304" formatCode="&quot;$&quot;#,##0.00">
                  <c:v>10218.733869916166</c:v>
                </c:pt>
                <c:pt idx="305" formatCode="&quot;$&quot;#,##0.00">
                  <c:v>10395.165684242553</c:v>
                </c:pt>
                <c:pt idx="306" formatCode="&quot;$&quot;#,##0.00">
                  <c:v>10955.399347286671</c:v>
                </c:pt>
                <c:pt idx="307" formatCode="&quot;$&quot;#,##0.00">
                  <c:v>11196.822225700402</c:v>
                </c:pt>
                <c:pt idx="308" formatCode="&quot;$&quot;#,##0.00">
                  <c:v>11344.988464527449</c:v>
                </c:pt>
                <c:pt idx="309" formatCode="&quot;$&quot;#,##0.00">
                  <c:v>11737.085491142279</c:v>
                </c:pt>
                <c:pt idx="310" formatCode="&quot;$&quot;#,##0.00">
                  <c:v>11868.701831459186</c:v>
                </c:pt>
                <c:pt idx="311" formatCode="&quot;$&quot;#,##0.00">
                  <c:v>12063.141532674728</c:v>
                </c:pt>
                <c:pt idx="312" formatCode="&quot;$&quot;#,##0.00">
                  <c:v>12062.669389203054</c:v>
                </c:pt>
                <c:pt idx="313" formatCode="&quot;$&quot;#,##0.00">
                  <c:v>12138.013119644584</c:v>
                </c:pt>
                <c:pt idx="314" formatCode="&quot;$&quot;#,##0.00">
                  <c:v>12205.616576449824</c:v>
                </c:pt>
                <c:pt idx="315" formatCode="&quot;$&quot;#,##0.00">
                  <c:v>12277.998298493651</c:v>
                </c:pt>
                <c:pt idx="316" formatCode="&quot;$&quot;#,##0.00">
                  <c:v>12321.612326190687</c:v>
                </c:pt>
                <c:pt idx="317" formatCode="&quot;$&quot;#,##0.00">
                  <c:v>12501.255864378227</c:v>
                </c:pt>
                <c:pt idx="318" formatCode="&quot;$&quot;#,##0.00">
                  <c:v>12624.2171054422</c:v>
                </c:pt>
                <c:pt idx="319" formatCode="&quot;$&quot;#,##0.00">
                  <c:v>12958.145451652686</c:v>
                </c:pt>
                <c:pt idx="320" formatCode="&quot;$&quot;#,##0.00">
                  <c:v>12723.181268172277</c:v>
                </c:pt>
                <c:pt idx="321" formatCode="&quot;$&quot;#,##0.00">
                  <c:v>13251.472019998655</c:v>
                </c:pt>
                <c:pt idx="322" formatCode="&quot;$&quot;#,##0.00">
                  <c:v>13670.409654071431</c:v>
                </c:pt>
                <c:pt idx="323" formatCode="&quot;$&quot;#,##0.00">
                  <c:v>14331.260373275456</c:v>
                </c:pt>
                <c:pt idx="324" formatCode="&quot;$&quot;#,##0.00">
                  <c:v>15016.542880097548</c:v>
                </c:pt>
                <c:pt idx="325" formatCode="&quot;$&quot;#,##0.00">
                  <c:v>15611.759522461216</c:v>
                </c:pt>
                <c:pt idx="326" formatCode="&quot;$&quot;#,##0.00">
                  <c:v>15776.202537898522</c:v>
                </c:pt>
                <c:pt idx="327" formatCode="&quot;$&quot;#,##0.00">
                  <c:v>17248.514747227335</c:v>
                </c:pt>
                <c:pt idx="328" formatCode="&quot;$&quot;#,##0.00">
                  <c:v>18940.942838353021</c:v>
                </c:pt>
                <c:pt idx="329" formatCode="&quot;$&quot;#,##0.00">
                  <c:v>21334.720995209067</c:v>
                </c:pt>
                <c:pt idx="330" formatCode="&quot;$&quot;#,##0.00">
                  <c:v>24598.649064177283</c:v>
                </c:pt>
                <c:pt idx="331" formatCode="&quot;$&quot;#,##0.00">
                  <c:v>27454.001640125993</c:v>
                </c:pt>
                <c:pt idx="332" formatCode="&quot;$&quot;#,##0.00">
                  <c:v>29764.539438422715</c:v>
                </c:pt>
                <c:pt idx="333" formatCode="&quot;$&quot;#,##0.00">
                  <c:v>31426.169023330913</c:v>
                </c:pt>
                <c:pt idx="334" formatCode="&quot;$&quot;#,##0.00">
                  <c:v>36095.93700989271</c:v>
                </c:pt>
                <c:pt idx="335" formatCode="&quot;$&quot;#,##0.00">
                  <c:v>39301.303576469953</c:v>
                </c:pt>
                <c:pt idx="336" formatCode="&quot;$&quot;#,##0.00">
                  <c:v>42381.996092322792</c:v>
                </c:pt>
                <c:pt idx="337" formatCode="&quot;$&quot;#,##0.00">
                  <c:v>45568.72994875013</c:v>
                </c:pt>
                <c:pt idx="338" formatCode="&quot;$&quot;#,##0.00">
                  <c:v>47853.522834573458</c:v>
                </c:pt>
                <c:pt idx="339" formatCode="&quot;$&quot;#,##0.00">
                  <c:v>50054.589585811926</c:v>
                </c:pt>
                <c:pt idx="340" formatCode="&quot;$&quot;#,##0.00">
                  <c:v>52236.354823643254</c:v>
                </c:pt>
                <c:pt idx="341" formatCode="&quot;$&quot;#,##0.00">
                  <c:v>54295.031339545822</c:v>
                </c:pt>
                <c:pt idx="342" formatCode="&quot;$&quot;#,##0.00">
                  <c:v>56369.082169832654</c:v>
                </c:pt>
                <c:pt idx="343" formatCode="&quot;$&quot;#,##0.00">
                  <c:v>58162.333721760631</c:v>
                </c:pt>
                <c:pt idx="344" formatCode="&quot;$&quot;#,##0.00">
                  <c:v>60597.38876613717</c:v>
                </c:pt>
                <c:pt idx="345" formatCode="&quot;$&quot;#,##0.00">
                  <c:v>62474.579578539859</c:v>
                </c:pt>
                <c:pt idx="346" formatCode="&quot;$&quot;#,##0.00">
                  <c:v>63685.612456388742</c:v>
                </c:pt>
                <c:pt idx="347" formatCode="&quot;$&quot;#,##0.00">
                  <c:v>66076.749976210485</c:v>
                </c:pt>
                <c:pt idx="348" formatCode="&quot;$&quot;#,##0.00">
                  <c:v>63007.428372460454</c:v>
                </c:pt>
                <c:pt idx="349" formatCode="&quot;$&quot;#,##0.00">
                  <c:v>62346.389651879537</c:v>
                </c:pt>
                <c:pt idx="350" formatCode="&quot;$&quot;#,##0.00">
                  <c:v>60280.407211569931</c:v>
                </c:pt>
                <c:pt idx="351" formatCode="&quot;$&quot;#,##0.00">
                  <c:v>59678.621006346963</c:v>
                </c:pt>
                <c:pt idx="352" formatCode="&quot;$&quot;#,##0.00">
                  <c:v>60794.231381260935</c:v>
                </c:pt>
                <c:pt idx="353" formatCode="&quot;$&quot;#,##0.00">
                  <c:v>60221.47640822969</c:v>
                </c:pt>
                <c:pt idx="354" formatCode="&quot;$&quot;#,##0.00">
                  <c:v>59185.234551422946</c:v>
                </c:pt>
                <c:pt idx="355" formatCode="&quot;$&quot;#,##0.00">
                  <c:v>57317.468515150955</c:v>
                </c:pt>
                <c:pt idx="356" formatCode="&quot;$&quot;#,##0.00">
                  <c:v>55470.551910908973</c:v>
                </c:pt>
                <c:pt idx="357" formatCode="&quot;$&quot;#,##0.00">
                  <c:v>53363.305561564797</c:v>
                </c:pt>
                <c:pt idx="358" formatCode="&quot;$&quot;#,##0.00">
                  <c:v>52977.187406210782</c:v>
                </c:pt>
                <c:pt idx="359" formatCode="&quot;$&quot;#,##0.00">
                  <c:v>51332.479861610322</c:v>
                </c:pt>
                <c:pt idx="360" formatCode="&quot;$&quot;#,##0.00">
                  <c:v>50717.189464101139</c:v>
                </c:pt>
                <c:pt idx="361" formatCode="&quot;$&quot;#,##0.00">
                  <c:v>48774.7905418304</c:v>
                </c:pt>
                <c:pt idx="362" formatCode="&quot;$&quot;#,##0.00">
                  <c:v>47777.749072720784</c:v>
                </c:pt>
                <c:pt idx="363" formatCode="&quot;$&quot;#,##0.00">
                  <c:v>48137.279893364568</c:v>
                </c:pt>
                <c:pt idx="364" formatCode="&quot;$&quot;#,##0.00">
                  <c:v>49803.661771014704</c:v>
                </c:pt>
                <c:pt idx="365" formatCode="&quot;$&quot;#,##0.00">
                  <c:v>51320.31600336347</c:v>
                </c:pt>
                <c:pt idx="366" formatCode="&quot;$&quot;#,##0.00">
                  <c:v>50824.90109338722</c:v>
                </c:pt>
                <c:pt idx="367" formatCode="&quot;$&quot;#,##0.00">
                  <c:v>50334.086143584929</c:v>
                </c:pt>
                <c:pt idx="368" formatCode="&quot;$&quot;#,##0.00">
                  <c:v>52306.826678482794</c:v>
                </c:pt>
                <c:pt idx="369" formatCode="&quot;$&quot;#,##0.00">
                  <c:v>54957.542329901735</c:v>
                </c:pt>
                <c:pt idx="370" formatCode="&quot;$&quot;#,##0.00">
                  <c:v>57370.99842796677</c:v>
                </c:pt>
                <c:pt idx="371" formatCode="&quot;$&quot;#,##0.00">
                  <c:v>59221.905636252835</c:v>
                </c:pt>
                <c:pt idx="372" formatCode="&quot;$&quot;#,##0.00">
                  <c:v>60107.296170832124</c:v>
                </c:pt>
                <c:pt idx="373" formatCode="&quot;$&quot;#,##0.00">
                  <c:v>62515.389476998891</c:v>
                </c:pt>
                <c:pt idx="374" formatCode="&quot;$&quot;#,##0.00">
                  <c:v>63480.455327317344</c:v>
                </c:pt>
                <c:pt idx="375" formatCode="&quot;$&quot;#,##0.00">
                  <c:v>65121.141815452611</c:v>
                </c:pt>
                <c:pt idx="376" formatCode="&quot;$&quot;#,##0.00">
                  <c:v>65643.168602616279</c:v>
                </c:pt>
                <c:pt idx="377" formatCode="&quot;$&quot;#,##0.00">
                  <c:v>66483.443278339197</c:v>
                </c:pt>
                <c:pt idx="378" formatCode="&quot;$&quot;#,##0.00">
                  <c:v>65819.864309279175</c:v>
                </c:pt>
                <c:pt idx="379" formatCode="&quot;$&quot;#,##0.00">
                  <c:v>65289.402801772194</c:v>
                </c:pt>
                <c:pt idx="380" formatCode="&quot;$&quot;#,##0.00">
                  <c:v>66053.139194172996</c:v>
                </c:pt>
                <c:pt idx="381" formatCode="&quot;$&quot;#,##0.00">
                  <c:v>67068.765274202073</c:v>
                </c:pt>
                <c:pt idx="382" formatCode="&quot;$&quot;#,##0.00">
                  <c:v>65539.302698227068</c:v>
                </c:pt>
                <c:pt idx="383" formatCode="&quot;$&quot;#,##0.00">
                  <c:v>62915.711529180648</c:v>
                </c:pt>
                <c:pt idx="384" formatCode="&quot;$&quot;#,##0.00">
                  <c:v>60900.987880497167</c:v>
                </c:pt>
                <c:pt idx="385" formatCode="&quot;$&quot;#,##0.00">
                  <c:v>59223.703782348748</c:v>
                </c:pt>
                <c:pt idx="386" formatCode="&quot;$&quot;#,##0.00">
                  <c:v>59111.157376633797</c:v>
                </c:pt>
                <c:pt idx="387" formatCode="&quot;$&quot;#,##0.00">
                  <c:v>56312.425028315112</c:v>
                </c:pt>
                <c:pt idx="388" formatCode="&quot;$&quot;#,##0.00">
                  <c:v>54393.728685038201</c:v>
                </c:pt>
                <c:pt idx="389" formatCode="&quot;$&quot;#,##0.00">
                  <c:v>54102.608465686106</c:v>
                </c:pt>
                <c:pt idx="390" formatCode="&quot;$&quot;#,##0.00">
                  <c:v>52439.957345906776</c:v>
                </c:pt>
                <c:pt idx="391" formatCode="&quot;$&quot;#,##0.00">
                  <c:v>51000.455654089143</c:v>
                </c:pt>
                <c:pt idx="392" formatCode="&quot;$&quot;#,##0.00">
                  <c:v>50404.198167699695</c:v>
                </c:pt>
                <c:pt idx="393" formatCode="&quot;$&quot;#,##0.00">
                  <c:v>51074.112252325693</c:v>
                </c:pt>
                <c:pt idx="394" formatCode="&quot;$&quot;#,##0.00">
                  <c:v>50662.23937279114</c:v>
                </c:pt>
                <c:pt idx="395" formatCode="&quot;$&quot;#,##0.00">
                  <c:v>50500.631228591061</c:v>
                </c:pt>
                <c:pt idx="396" formatCode="&quot;$&quot;#,##0.00">
                  <c:v>50144.168512577395</c:v>
                </c:pt>
                <c:pt idx="397" formatCode="&quot;$&quot;#,##0.00">
                  <c:v>49987.225496923464</c:v>
                </c:pt>
                <c:pt idx="398" formatCode="&quot;$&quot;#,##0.00">
                  <c:v>49650.694057834422</c:v>
                </c:pt>
                <c:pt idx="399" formatCode="&quot;$&quot;#,##0.00">
                  <c:v>49948.635497563293</c:v>
                </c:pt>
                <c:pt idx="400" formatCode="&quot;$&quot;#,##0.00">
                  <c:v>47435.683791525647</c:v>
                </c:pt>
                <c:pt idx="401" formatCode="&quot;$&quot;#,##0.00">
                  <c:v>46336.725566266497</c:v>
                </c:pt>
                <c:pt idx="402" formatCode="&quot;$&quot;#,##0.00">
                  <c:v>45812.123291935284</c:v>
                </c:pt>
                <c:pt idx="403" formatCode="&quot;$&quot;#,##0.00">
                  <c:v>43971.825827607849</c:v>
                </c:pt>
                <c:pt idx="404" formatCode="&quot;$&quot;#,##0.00">
                  <c:v>44166.986929781073</c:v>
                </c:pt>
                <c:pt idx="405" formatCode="&quot;$&quot;#,##0.00">
                  <c:v>41912.739609988523</c:v>
                </c:pt>
                <c:pt idx="406" formatCode="&quot;$&quot;#,##0.00">
                  <c:v>40379.864314232917</c:v>
                </c:pt>
                <c:pt idx="407" formatCode="&quot;$&quot;#,##0.00">
                  <c:v>37630.626369725564</c:v>
                </c:pt>
                <c:pt idx="408" formatCode="&quot;$&quot;#,##0.00">
                  <c:v>35329.855807219305</c:v>
                </c:pt>
                <c:pt idx="409" formatCode="&quot;$&quot;#,##0.00">
                  <c:v>34329.370339394671</c:v>
                </c:pt>
                <c:pt idx="410" formatCode="&quot;$&quot;#,##0.00">
                  <c:v>32727.410117613388</c:v>
                </c:pt>
                <c:pt idx="411" formatCode="&quot;$&quot;#,##0.00">
                  <c:v>31704.516835642604</c:v>
                </c:pt>
                <c:pt idx="412" formatCode="&quot;$&quot;#,##0.00">
                  <c:v>30519.580485731749</c:v>
                </c:pt>
                <c:pt idx="413" formatCode="&quot;$&quot;#,##0.00">
                  <c:v>29239.588374481336</c:v>
                </c:pt>
                <c:pt idx="414" formatCode="&quot;$&quot;#,##0.00">
                  <c:v>28356.297076499217</c:v>
                </c:pt>
                <c:pt idx="415" formatCode="&quot;$&quot;#,##0.00">
                  <c:v>27619.74418244839</c:v>
                </c:pt>
                <c:pt idx="416" formatCode="&quot;$&quot;#,##0.00">
                  <c:v>26409.968962431547</c:v>
                </c:pt>
                <c:pt idx="417" formatCode="&quot;$&quot;#,##0.00">
                  <c:v>26075.285948777513</c:v>
                </c:pt>
                <c:pt idx="418" formatCode="&quot;$&quot;#,##0.00">
                  <c:v>24659.233029515199</c:v>
                </c:pt>
                <c:pt idx="419" formatCode="&quot;$&quot;#,##0.00">
                  <c:v>24429.159581823293</c:v>
                </c:pt>
                <c:pt idx="420" formatCode="&quot;$&quot;#,##0.00">
                  <c:v>24303.008168365486</c:v>
                </c:pt>
                <c:pt idx="421" formatCode="&quot;$&quot;#,##0.00">
                  <c:v>24211.057093265274</c:v>
                </c:pt>
                <c:pt idx="422" formatCode="&quot;$&quot;#,##0.00">
                  <c:v>24190.538146446856</c:v>
                </c:pt>
                <c:pt idx="423" formatCode="&quot;$&quot;#,##0.00">
                  <c:v>23666.516695148213</c:v>
                </c:pt>
                <c:pt idx="424" formatCode="&quot;$&quot;#,##0.00">
                  <c:v>23642.770003318117</c:v>
                </c:pt>
                <c:pt idx="425" formatCode="&quot;$&quot;#,##0.00">
                  <c:v>23234.119382636316</c:v>
                </c:pt>
                <c:pt idx="426" formatCode="&quot;$&quot;#,##0.00">
                  <c:v>23107.933072551634</c:v>
                </c:pt>
                <c:pt idx="427" formatCode="&quot;$&quot;#,##0.00">
                  <c:v>22547.03980264629</c:v>
                </c:pt>
                <c:pt idx="428" formatCode="&quot;$&quot;#,##0.00">
                  <c:v>22104.769525454318</c:v>
                </c:pt>
                <c:pt idx="429" formatCode="&quot;$&quot;#,##0.00">
                  <c:v>21950.816476082382</c:v>
                </c:pt>
                <c:pt idx="430" formatCode="&quot;$&quot;#,##0.00">
                  <c:v>21819.292230237825</c:v>
                </c:pt>
                <c:pt idx="431" formatCode="&quot;$&quot;#,##0.00">
                  <c:v>21000.42156402671</c:v>
                </c:pt>
                <c:pt idx="432" formatCode="&quot;$&quot;#,##0.00">
                  <c:v>20603.271693378898</c:v>
                </c:pt>
                <c:pt idx="433" formatCode="&quot;$&quot;#,##0.00">
                  <c:v>20459.108531278314</c:v>
                </c:pt>
                <c:pt idx="434" formatCode="&quot;$&quot;#,##0.00">
                  <c:v>20271.3938760208</c:v>
                </c:pt>
                <c:pt idx="435" formatCode="&quot;$&quot;#,##0.00">
                  <c:v>21380.733498020269</c:v>
                </c:pt>
                <c:pt idx="436" formatCode="&quot;$&quot;#,##0.00">
                  <c:v>21722.860301255874</c:v>
                </c:pt>
                <c:pt idx="437" formatCode="&quot;$&quot;#,##0.00">
                  <c:v>21982.906118359413</c:v>
                </c:pt>
                <c:pt idx="438" formatCode="&quot;$&quot;#,##0.00">
                  <c:v>22015.382158546108</c:v>
                </c:pt>
                <c:pt idx="439" formatCode="&quot;$&quot;#,##0.00">
                  <c:v>22018.315262283693</c:v>
                </c:pt>
                <c:pt idx="440" formatCode="&quot;$&quot;#,##0.00">
                  <c:v>22700.387947084484</c:v>
                </c:pt>
                <c:pt idx="441" formatCode="&quot;$&quot;#,##0.00">
                  <c:v>23494.796418361173</c:v>
                </c:pt>
                <c:pt idx="442" formatCode="&quot;$&quot;#,##0.00">
                  <c:v>24175.212830777673</c:v>
                </c:pt>
                <c:pt idx="443" formatCode="&quot;$&quot;#,##0.00">
                  <c:v>24881.366218851155</c:v>
                </c:pt>
                <c:pt idx="444" formatCode="&quot;$&quot;#,##0.00">
                  <c:v>26402.834668352152</c:v>
                </c:pt>
                <c:pt idx="445" formatCode="&quot;$&quot;#,##0.00">
                  <c:v>27199.04708217287</c:v>
                </c:pt>
                <c:pt idx="446" formatCode="&quot;$&quot;#,##0.00">
                  <c:v>27804.248867502964</c:v>
                </c:pt>
                <c:pt idx="447" formatCode="&quot;$&quot;#,##0.00">
                  <c:v>28362.254511122035</c:v>
                </c:pt>
                <c:pt idx="448" formatCode="&quot;$&quot;#,##0.00">
                  <c:v>29025.493929943139</c:v>
                </c:pt>
                <c:pt idx="449" formatCode="&quot;$&quot;#,##0.00">
                  <c:v>28746.143948474553</c:v>
                </c:pt>
                <c:pt idx="450" formatCode="&quot;$&quot;#,##0.00">
                  <c:v>29033.69111305449</c:v>
                </c:pt>
                <c:pt idx="451" formatCode="&quot;$&quot;#,##0.00">
                  <c:v>29411.339592882607</c:v>
                </c:pt>
                <c:pt idx="452" formatCode="&quot;$&quot;#,##0.00">
                  <c:v>29782.554666026586</c:v>
                </c:pt>
                <c:pt idx="453" formatCode="&quot;$&quot;#,##0.00">
                  <c:v>30134.718266689702</c:v>
                </c:pt>
                <c:pt idx="454" formatCode="&quot;$&quot;#,##0.00">
                  <c:v>29929.032340415004</c:v>
                </c:pt>
                <c:pt idx="455" formatCode="&quot;$&quot;#,##0.00">
                  <c:v>30303.855503359493</c:v>
                </c:pt>
                <c:pt idx="456" formatCode="&quot;$&quot;#,##0.00">
                  <c:v>30492.399959341124</c:v>
                </c:pt>
                <c:pt idx="457" formatCode="&quot;$&quot;#,##0.00">
                  <c:v>30687.861741087348</c:v>
                </c:pt>
                <c:pt idx="458" formatCode="&quot;$&quot;#,##0.00">
                  <c:v>30650.1684338429</c:v>
                </c:pt>
                <c:pt idx="459" formatCode="&quot;$&quot;#,##0.00">
                  <c:v>30958.843679069345</c:v>
                </c:pt>
                <c:pt idx="460" formatCode="&quot;$&quot;#,##0.00">
                  <c:v>31165.328599348031</c:v>
                </c:pt>
                <c:pt idx="461" formatCode="&quot;$&quot;#,##0.00">
                  <c:v>31050.331289718848</c:v>
                </c:pt>
                <c:pt idx="462" formatCode="&quot;$&quot;#,##0.00">
                  <c:v>31041.663677857192</c:v>
                </c:pt>
                <c:pt idx="463" formatCode="&quot;$&quot;#,##0.00">
                  <c:v>30953.974440835031</c:v>
                </c:pt>
                <c:pt idx="464" formatCode="&quot;$&quot;#,##0.00">
                  <c:v>31023.483864687147</c:v>
                </c:pt>
                <c:pt idx="465" formatCode="&quot;$&quot;#,##0.00">
                  <c:v>31140.525471458357</c:v>
                </c:pt>
                <c:pt idx="466" formatCode="&quot;$&quot;#,##0.00">
                  <c:v>31572.561617941905</c:v>
                </c:pt>
                <c:pt idx="467" formatCode="&quot;$&quot;#,##0.00">
                  <c:v>31516.759868617435</c:v>
                </c:pt>
                <c:pt idx="468" formatCode="&quot;$&quot;#,##0.00">
                  <c:v>31253.237914567286</c:v>
                </c:pt>
                <c:pt idx="469" formatCode="&quot;$&quot;#,##0.00">
                  <c:v>31084.644376732631</c:v>
                </c:pt>
                <c:pt idx="470" formatCode="&quot;$&quot;#,##0.00">
                  <c:v>31368.931423890659</c:v>
                </c:pt>
                <c:pt idx="471" formatCode="&quot;$&quot;#,##0.00">
                  <c:v>31323.678963808979</c:v>
                </c:pt>
                <c:pt idx="472" formatCode="&quot;$&quot;#,##0.00">
                  <c:v>30359.484599857689</c:v>
                </c:pt>
                <c:pt idx="473" formatCode="&quot;$&quot;#,##0.00">
                  <c:v>29975.42176731279</c:v>
                </c:pt>
                <c:pt idx="474" formatCode="&quot;$&quot;#,##0.00">
                  <c:v>29874.987645303605</c:v>
                </c:pt>
                <c:pt idx="475" formatCode="&quot;$&quot;#,##0.00">
                  <c:v>31182.188817569942</c:v>
                </c:pt>
                <c:pt idx="476" formatCode="&quot;$&quot;#,##0.00">
                  <c:v>32002.143393684546</c:v>
                </c:pt>
                <c:pt idx="477" formatCode="&quot;$&quot;#,##0.00">
                  <c:v>32566.217085775086</c:v>
                </c:pt>
                <c:pt idx="478" formatCode="&quot;$&quot;#,##0.00">
                  <c:v>33374.228339581605</c:v>
                </c:pt>
                <c:pt idx="479" formatCode="&quot;$&quot;#,##0.00">
                  <c:v>34242.085661773257</c:v>
                </c:pt>
                <c:pt idx="480" formatCode="&quot;$&quot;#,##0.00">
                  <c:v>34503.737624092559</c:v>
                </c:pt>
                <c:pt idx="481" formatCode="&quot;$&quot;#,##0.00">
                  <c:v>36223.692722991451</c:v>
                </c:pt>
                <c:pt idx="482" formatCode="&quot;$&quot;#,##0.00">
                  <c:v>37964.836386246854</c:v>
                </c:pt>
                <c:pt idx="483" formatCode="&quot;$&quot;#,##0.00">
                  <c:v>39130.577503431967</c:v>
                </c:pt>
                <c:pt idx="484" formatCode="&quot;$&quot;#,##0.00">
                  <c:v>40496.951659534505</c:v>
                </c:pt>
                <c:pt idx="485" formatCode="&quot;$&quot;#,##0.00">
                  <c:v>41535.062917821386</c:v>
                </c:pt>
                <c:pt idx="486" formatCode="&quot;$&quot;#,##0.00">
                  <c:v>42991.395983919567</c:v>
                </c:pt>
                <c:pt idx="487" formatCode="&quot;$&quot;#,##0.00">
                  <c:v>44811.537723323898</c:v>
                </c:pt>
                <c:pt idx="488" formatCode="&quot;$&quot;#,##0.00">
                  <c:v>45677.815671483957</c:v>
                </c:pt>
                <c:pt idx="489" formatCode="&quot;$&quot;#,##0.00">
                  <c:v>45655.15408169615</c:v>
                </c:pt>
                <c:pt idx="490" formatCode="&quot;$&quot;#,##0.00">
                  <c:v>46309.767135364316</c:v>
                </c:pt>
                <c:pt idx="491" formatCode="&quot;$&quot;#,##0.00">
                  <c:v>48459.854766482822</c:v>
                </c:pt>
                <c:pt idx="492" formatCode="&quot;$&quot;#,##0.00">
                  <c:v>49792.403890679823</c:v>
                </c:pt>
                <c:pt idx="493" formatCode="&quot;$&quot;#,##0.00">
                  <c:v>51074.524663918331</c:v>
                </c:pt>
                <c:pt idx="494" formatCode="&quot;$&quot;#,##0.00">
                  <c:v>56773.439395622023</c:v>
                </c:pt>
                <c:pt idx="495" formatCode="&quot;$&quot;#,##0.00">
                  <c:v>60880.115945177626</c:v>
                </c:pt>
                <c:pt idx="496" formatCode="&quot;$&quot;#,##0.00">
                  <c:v>64454.237061543114</c:v>
                </c:pt>
                <c:pt idx="497" formatCode="&quot;$&quot;#,##0.00">
                  <c:v>67087.917034864644</c:v>
                </c:pt>
                <c:pt idx="498" formatCode="&quot;$&quot;#,##0.00">
                  <c:v>69089.23093669556</c:v>
                </c:pt>
                <c:pt idx="499" formatCode="&quot;$&quot;#,##0.00">
                  <c:v>70944.759562226958</c:v>
                </c:pt>
                <c:pt idx="500" formatCode="&quot;$&quot;#,##0.00">
                  <c:v>73215.752931217678</c:v>
                </c:pt>
                <c:pt idx="501" formatCode="&quot;$&quot;#,##0.00">
                  <c:v>74679.908793923067</c:v>
                </c:pt>
                <c:pt idx="502" formatCode="&quot;$&quot;#,##0.00">
                  <c:v>75617.664840331185</c:v>
                </c:pt>
                <c:pt idx="503" formatCode="&quot;$&quot;#,##0.00">
                  <c:v>76587.68470887786</c:v>
                </c:pt>
                <c:pt idx="504" formatCode="&quot;$&quot;#,##0.00">
                  <c:v>77448.445229764096</c:v>
                </c:pt>
                <c:pt idx="505" formatCode="&quot;$&quot;#,##0.00">
                  <c:v>78052.107769577095</c:v>
                </c:pt>
                <c:pt idx="506" formatCode="&quot;$&quot;#,##0.00">
                  <c:v>79447.418503739536</c:v>
                </c:pt>
                <c:pt idx="507" formatCode="&quot;$&quot;#,##0.00">
                  <c:v>80198.640161248884</c:v>
                </c:pt>
                <c:pt idx="508" formatCode="&quot;$&quot;#,##0.00">
                  <c:v>76359.88700420699</c:v>
                </c:pt>
                <c:pt idx="509" formatCode="&quot;$&quot;#,##0.00">
                  <c:v>75541.735411999791</c:v>
                </c:pt>
                <c:pt idx="510" formatCode="&quot;$&quot;#,##0.00">
                  <c:v>75485.263680870863</c:v>
                </c:pt>
                <c:pt idx="511" formatCode="&quot;$&quot;#,##0.00">
                  <c:v>74907.920416684254</c:v>
                </c:pt>
                <c:pt idx="512" formatCode="&quot;$&quot;#,##0.00">
                  <c:v>74438.185321920755</c:v>
                </c:pt>
                <c:pt idx="513" formatCode="&quot;$&quot;#,##0.00">
                  <c:v>75301.025503331155</c:v>
                </c:pt>
                <c:pt idx="514" formatCode="&quot;$&quot;#,##0.00">
                  <c:v>74923.286629753493</c:v>
                </c:pt>
                <c:pt idx="515" formatCode="&quot;$&quot;#,##0.00">
                  <c:v>74724.729500840491</c:v>
                </c:pt>
                <c:pt idx="516" formatCode="&quot;$&quot;#,##0.00">
                  <c:v>75756.016617520319</c:v>
                </c:pt>
                <c:pt idx="517" formatCode="&quot;$&quot;#,##0.00">
                  <c:v>75742.819170181916</c:v>
                </c:pt>
                <c:pt idx="518" formatCode="&quot;$&quot;#,##0.00">
                  <c:v>75458.23125649264</c:v>
                </c:pt>
                <c:pt idx="519" formatCode="&quot;$&quot;#,##0.00">
                  <c:v>74034.853111472024</c:v>
                </c:pt>
                <c:pt idx="520" formatCode="&quot;$&quot;#,##0.00">
                  <c:v>73303.345889444099</c:v>
                </c:pt>
                <c:pt idx="521" formatCode="&quot;$&quot;#,##0.00">
                  <c:v>72482.924914951014</c:v>
                </c:pt>
                <c:pt idx="522" formatCode="&quot;$&quot;#,##0.00">
                  <c:v>71414.273551743434</c:v>
                </c:pt>
                <c:pt idx="523" formatCode="&quot;$&quot;#,##0.00">
                  <c:v>71616.056041405231</c:v>
                </c:pt>
                <c:pt idx="524" formatCode="&quot;$&quot;#,##0.00">
                  <c:v>71318.319881773976</c:v>
                </c:pt>
                <c:pt idx="525" formatCode="&quot;$&quot;#,##0.00">
                  <c:v>71257.471098233582</c:v>
                </c:pt>
                <c:pt idx="526" formatCode="&quot;$&quot;#,##0.00">
                  <c:v>71469.053681163714</c:v>
                </c:pt>
                <c:pt idx="527" formatCode="&quot;$&quot;#,##0.00">
                  <c:v>70670.629833106519</c:v>
                </c:pt>
                <c:pt idx="528" formatCode="&quot;$&quot;#,##0.00">
                  <c:v>70795.257337180854</c:v>
                </c:pt>
                <c:pt idx="529" formatCode="&quot;$&quot;#,##0.00">
                  <c:v>71050.379233945365</c:v>
                </c:pt>
                <c:pt idx="530" formatCode="&quot;$&quot;#,##0.00">
                  <c:v>78295.680755819485</c:v>
                </c:pt>
                <c:pt idx="531" formatCode="&quot;$&quot;#,##0.00">
                  <c:v>83839.370234748436</c:v>
                </c:pt>
                <c:pt idx="532" formatCode="&quot;$&quot;#,##0.00">
                  <c:v>87791.604183556119</c:v>
                </c:pt>
                <c:pt idx="533" formatCode="&quot;$&quot;#,##0.00">
                  <c:v>90932.998849668089</c:v>
                </c:pt>
                <c:pt idx="534" formatCode="&quot;$&quot;#,##0.00">
                  <c:v>94174.967756230733</c:v>
                </c:pt>
                <c:pt idx="535" formatCode="&quot;$&quot;#,##0.00">
                  <c:v>98246.507543254076</c:v>
                </c:pt>
                <c:pt idx="536" formatCode="&quot;$&quot;#,##0.00">
                  <c:v>102359.49695719592</c:v>
                </c:pt>
                <c:pt idx="537" formatCode="&quot;$&quot;#,##0.00">
                  <c:v>103991.59872252595</c:v>
                </c:pt>
                <c:pt idx="538" formatCode="&quot;$&quot;#,##0.00">
                  <c:v>106073.95427056056</c:v>
                </c:pt>
                <c:pt idx="539" formatCode="&quot;$&quot;#,##0.00">
                  <c:v>108504.84071253323</c:v>
                </c:pt>
                <c:pt idx="540" formatCode="&quot;$&quot;#,##0.00">
                  <c:v>110708.40946159257</c:v>
                </c:pt>
                <c:pt idx="541" formatCode="&quot;$&quot;#,##0.00">
                  <c:v>112914.88380145616</c:v>
                </c:pt>
                <c:pt idx="542" formatCode="&quot;$&quot;#,##0.00">
                  <c:v>114472.59468261205</c:v>
                </c:pt>
                <c:pt idx="543" formatCode="&quot;$&quot;#,##0.00">
                  <c:v>116272.40393979596</c:v>
                </c:pt>
                <c:pt idx="544" formatCode="&quot;$&quot;#,##0.00">
                  <c:v>109075.09651323514</c:v>
                </c:pt>
                <c:pt idx="545" formatCode="&quot;$&quot;#,##0.00">
                  <c:v>109952.04877107107</c:v>
                </c:pt>
                <c:pt idx="546" formatCode="&quot;$&quot;#,##0.00">
                  <c:v>109722.40531549585</c:v>
                </c:pt>
                <c:pt idx="547" formatCode="&quot;$&quot;#,##0.00">
                  <c:v>109057.37341662639</c:v>
                </c:pt>
                <c:pt idx="548" formatCode="&quot;$&quot;#,##0.00">
                  <c:v>108754.66044209657</c:v>
                </c:pt>
                <c:pt idx="549" formatCode="&quot;$&quot;#,##0.00">
                  <c:v>106376.84030019138</c:v>
                </c:pt>
                <c:pt idx="550" formatCode="&quot;$&quot;#,##0.00">
                  <c:v>104939.11856990409</c:v>
                </c:pt>
                <c:pt idx="551" formatCode="&quot;$&quot;#,##0.00">
                  <c:v>104195.75955192726</c:v>
                </c:pt>
                <c:pt idx="552" formatCode="&quot;$&quot;#,##0.00">
                  <c:v>101903.32571245922</c:v>
                </c:pt>
                <c:pt idx="553" formatCode="&quot;$&quot;#,##0.00">
                  <c:v>101092.93290724233</c:v>
                </c:pt>
                <c:pt idx="554" formatCode="&quot;$&quot;#,##0.00">
                  <c:v>100020.23201386345</c:v>
                </c:pt>
                <c:pt idx="555" formatCode="&quot;$&quot;#,##0.00">
                  <c:v>98614.46922311782</c:v>
                </c:pt>
                <c:pt idx="556" formatCode="&quot;$&quot;#,##0.00">
                  <c:v>99777.947355621305</c:v>
                </c:pt>
                <c:pt idx="557" formatCode="&quot;$&quot;#,##0.00">
                  <c:v>100333.82661756812</c:v>
                </c:pt>
                <c:pt idx="558" formatCode="&quot;$&quot;#,##0.00">
                  <c:v>102249.22929324249</c:v>
                </c:pt>
                <c:pt idx="559" formatCode="&quot;$&quot;#,##0.00">
                  <c:v>103498.52135066639</c:v>
                </c:pt>
                <c:pt idx="560" formatCode="&quot;$&quot;#,##0.00">
                  <c:v>105217.93431983721</c:v>
                </c:pt>
                <c:pt idx="561" formatCode="&quot;$&quot;#,##0.00">
                  <c:v>106759.29165895912</c:v>
                </c:pt>
                <c:pt idx="562" formatCode="&quot;$&quot;#,##0.00">
                  <c:v>108339.62564265907</c:v>
                </c:pt>
                <c:pt idx="563" formatCode="&quot;$&quot;#,##0.00">
                  <c:v>109411.29439352085</c:v>
                </c:pt>
                <c:pt idx="564" formatCode="&quot;$&quot;#,##0.00">
                  <c:v>109892.99773037963</c:v>
                </c:pt>
                <c:pt idx="565" formatCode="&quot;$&quot;#,##0.00">
                  <c:v>113600.20374112327</c:v>
                </c:pt>
                <c:pt idx="566" formatCode="&quot;$&quot;#,##0.00">
                  <c:v>117268.76077000469</c:v>
                </c:pt>
                <c:pt idx="567" formatCode="&quot;$&quot;#,##0.00">
                  <c:v>119110.75449739688</c:v>
                </c:pt>
                <c:pt idx="568" formatCode="&quot;$&quot;#,##0.00">
                  <c:v>119806.55831902105</c:v>
                </c:pt>
                <c:pt idx="569" formatCode="&quot;$&quot;#,##0.00">
                  <c:v>120988.92269575836</c:v>
                </c:pt>
                <c:pt idx="570" formatCode="&quot;$&quot;#,##0.00">
                  <c:v>121127.57557123057</c:v>
                </c:pt>
                <c:pt idx="571" formatCode="&quot;$&quot;#,##0.00">
                  <c:v>122059.5294395465</c:v>
                </c:pt>
                <c:pt idx="572" formatCode="&quot;$&quot;#,##0.00">
                  <c:v>121789.6777362647</c:v>
                </c:pt>
                <c:pt idx="573" formatCode="&quot;$&quot;#,##0.00">
                  <c:v>122068.13648515582</c:v>
                </c:pt>
                <c:pt idx="574" formatCode="&quot;$&quot;#,##0.00">
                  <c:v>122219.91964641448</c:v>
                </c:pt>
                <c:pt idx="575" formatCode="&quot;$&quot;#,##0.00">
                  <c:v>122562.15134583456</c:v>
                </c:pt>
                <c:pt idx="576">
                  <c:v>176770.26445636031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F2-184D-B1B7-4CECF28CF288}"/>
            </c:ext>
          </c:extLst>
        </c:ser>
        <c:ser>
          <c:idx val="3"/>
          <c:order val="3"/>
          <c:tx>
            <c:strRef>
              <c:f>'weekly price'!$Q$1</c:f>
              <c:strCache>
                <c:ptCount val="1"/>
                <c:pt idx="0">
                  <c:v>Price lower 4 SD</c:v>
                </c:pt>
              </c:strCache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price'!$Q$2:$Q$578</c:f>
              <c:numCache>
                <c:formatCode>"$"#,##0.00</c:formatCode>
                <c:ptCount val="577"/>
                <c:pt idx="1">
                  <c:v>0</c:v>
                </c:pt>
                <c:pt idx="2">
                  <c:v>299.83381384890646</c:v>
                </c:pt>
                <c:pt idx="3">
                  <c:v>259.56972026560538</c:v>
                </c:pt>
                <c:pt idx="4">
                  <c:v>158.64547630344612</c:v>
                </c:pt>
                <c:pt idx="5">
                  <c:v>186.63622469718359</c:v>
                </c:pt>
                <c:pt idx="6">
                  <c:v>198.19423514705679</c:v>
                </c:pt>
                <c:pt idx="7">
                  <c:v>207.89172271027189</c:v>
                </c:pt>
                <c:pt idx="8">
                  <c:v>200.59124954447506</c:v>
                </c:pt>
                <c:pt idx="9">
                  <c:v>209.65514986430588</c:v>
                </c:pt>
                <c:pt idx="10">
                  <c:v>218.71105172004667</c:v>
                </c:pt>
                <c:pt idx="11">
                  <c:v>226.82335101150079</c:v>
                </c:pt>
                <c:pt idx="12">
                  <c:v>232.15030487246187</c:v>
                </c:pt>
                <c:pt idx="13">
                  <c:v>235.98100779529099</c:v>
                </c:pt>
                <c:pt idx="14">
                  <c:v>238.40486026124029</c:v>
                </c:pt>
                <c:pt idx="15">
                  <c:v>235.71197342439976</c:v>
                </c:pt>
                <c:pt idx="16">
                  <c:v>226.44581042712261</c:v>
                </c:pt>
                <c:pt idx="17">
                  <c:v>231.93413450204926</c:v>
                </c:pt>
                <c:pt idx="18">
                  <c:v>226.8698967991667</c:v>
                </c:pt>
                <c:pt idx="19">
                  <c:v>176.46686978289961</c:v>
                </c:pt>
                <c:pt idx="20">
                  <c:v>167.30045790264171</c:v>
                </c:pt>
                <c:pt idx="21">
                  <c:v>162.9901851108805</c:v>
                </c:pt>
                <c:pt idx="22">
                  <c:v>163.8598775248322</c:v>
                </c:pt>
                <c:pt idx="23">
                  <c:v>159.8603425615851</c:v>
                </c:pt>
                <c:pt idx="24">
                  <c:v>143.92120413411934</c:v>
                </c:pt>
                <c:pt idx="25">
                  <c:v>140.70188462640729</c:v>
                </c:pt>
                <c:pt idx="26">
                  <c:v>140.693720797645</c:v>
                </c:pt>
                <c:pt idx="27">
                  <c:v>137.14556510648904</c:v>
                </c:pt>
                <c:pt idx="28">
                  <c:v>133.62544722494223</c:v>
                </c:pt>
                <c:pt idx="29">
                  <c:v>132.60922705972791</c:v>
                </c:pt>
                <c:pt idx="30">
                  <c:v>131.41000758678845</c:v>
                </c:pt>
                <c:pt idx="31">
                  <c:v>130.23257204208733</c:v>
                </c:pt>
                <c:pt idx="32">
                  <c:v>144.75430688337349</c:v>
                </c:pt>
                <c:pt idx="33">
                  <c:v>170.78647073005135</c:v>
                </c:pt>
                <c:pt idx="34">
                  <c:v>178.70813742178933</c:v>
                </c:pt>
                <c:pt idx="35">
                  <c:v>182.57188154129597</c:v>
                </c:pt>
                <c:pt idx="36">
                  <c:v>185.25021334823066</c:v>
                </c:pt>
                <c:pt idx="37">
                  <c:v>183.18775145373709</c:v>
                </c:pt>
                <c:pt idx="38">
                  <c:v>197.38601111355732</c:v>
                </c:pt>
                <c:pt idx="39">
                  <c:v>194.49049453005333</c:v>
                </c:pt>
                <c:pt idx="40">
                  <c:v>188.19409172218445</c:v>
                </c:pt>
                <c:pt idx="41">
                  <c:v>189.69125655166775</c:v>
                </c:pt>
                <c:pt idx="42">
                  <c:v>193.74217231851918</c:v>
                </c:pt>
                <c:pt idx="43">
                  <c:v>195.28733529404803</c:v>
                </c:pt>
                <c:pt idx="44">
                  <c:v>210.78104832181498</c:v>
                </c:pt>
                <c:pt idx="45">
                  <c:v>213.84883770969273</c:v>
                </c:pt>
                <c:pt idx="46">
                  <c:v>213.60163657381082</c:v>
                </c:pt>
                <c:pt idx="47">
                  <c:v>211.72019974005093</c:v>
                </c:pt>
                <c:pt idx="48">
                  <c:v>211.70357594477233</c:v>
                </c:pt>
                <c:pt idx="49">
                  <c:v>188.57249300124593</c:v>
                </c:pt>
                <c:pt idx="50">
                  <c:v>182.98537864924279</c:v>
                </c:pt>
                <c:pt idx="51">
                  <c:v>184.59860601875317</c:v>
                </c:pt>
                <c:pt idx="52">
                  <c:v>183.51018649275571</c:v>
                </c:pt>
                <c:pt idx="53">
                  <c:v>183.55987060005293</c:v>
                </c:pt>
                <c:pt idx="54">
                  <c:v>182.62297304950232</c:v>
                </c:pt>
                <c:pt idx="55">
                  <c:v>182.88769623854981</c:v>
                </c:pt>
                <c:pt idx="56">
                  <c:v>182.91952361079012</c:v>
                </c:pt>
                <c:pt idx="57">
                  <c:v>180.8330034678068</c:v>
                </c:pt>
                <c:pt idx="58">
                  <c:v>178.46964710739385</c:v>
                </c:pt>
                <c:pt idx="59">
                  <c:v>156.97237723952162</c:v>
                </c:pt>
                <c:pt idx="60">
                  <c:v>177.3836654571252</c:v>
                </c:pt>
                <c:pt idx="61">
                  <c:v>173.82016219316574</c:v>
                </c:pt>
                <c:pt idx="62">
                  <c:v>175.97935837759024</c:v>
                </c:pt>
                <c:pt idx="63">
                  <c:v>195.5309356548633</c:v>
                </c:pt>
                <c:pt idx="64">
                  <c:v>204.56890783140756</c:v>
                </c:pt>
                <c:pt idx="65">
                  <c:v>211.92673590023074</c:v>
                </c:pt>
                <c:pt idx="66">
                  <c:v>222.70538554657099</c:v>
                </c:pt>
                <c:pt idx="67">
                  <c:v>226.00499851708702</c:v>
                </c:pt>
                <c:pt idx="68">
                  <c:v>230.04634775734408</c:v>
                </c:pt>
                <c:pt idx="69">
                  <c:v>235.7324459844601</c:v>
                </c:pt>
                <c:pt idx="70">
                  <c:v>217.91879654046375</c:v>
                </c:pt>
                <c:pt idx="71">
                  <c:v>220.93086226467184</c:v>
                </c:pt>
                <c:pt idx="72">
                  <c:v>220.26414523267641</c:v>
                </c:pt>
                <c:pt idx="73">
                  <c:v>261.80374903082463</c:v>
                </c:pt>
                <c:pt idx="74">
                  <c:v>260.87767031652078</c:v>
                </c:pt>
                <c:pt idx="75">
                  <c:v>277.58348661072478</c:v>
                </c:pt>
                <c:pt idx="76">
                  <c:v>283.2872986511673</c:v>
                </c:pt>
                <c:pt idx="77">
                  <c:v>299.94848001206981</c:v>
                </c:pt>
                <c:pt idx="78">
                  <c:v>302.37504650016882</c:v>
                </c:pt>
                <c:pt idx="79">
                  <c:v>314.64706787838816</c:v>
                </c:pt>
                <c:pt idx="80">
                  <c:v>312.71064135986023</c:v>
                </c:pt>
                <c:pt idx="81">
                  <c:v>314.08166847814761</c:v>
                </c:pt>
                <c:pt idx="82">
                  <c:v>314.72005999011162</c:v>
                </c:pt>
                <c:pt idx="83">
                  <c:v>315.34509807547227</c:v>
                </c:pt>
                <c:pt idx="84">
                  <c:v>340.76714712520646</c:v>
                </c:pt>
                <c:pt idx="85">
                  <c:v>339.75437690849259</c:v>
                </c:pt>
                <c:pt idx="86">
                  <c:v>349.39896811129461</c:v>
                </c:pt>
                <c:pt idx="87">
                  <c:v>351.80232303303256</c:v>
                </c:pt>
                <c:pt idx="88">
                  <c:v>358.77371427449788</c:v>
                </c:pt>
                <c:pt idx="89">
                  <c:v>330.99594707980117</c:v>
                </c:pt>
                <c:pt idx="90">
                  <c:v>335.15726502793007</c:v>
                </c:pt>
                <c:pt idx="91">
                  <c:v>335.76195347180641</c:v>
                </c:pt>
                <c:pt idx="92">
                  <c:v>371.62729598769073</c:v>
                </c:pt>
                <c:pt idx="93">
                  <c:v>371.94454872671957</c:v>
                </c:pt>
                <c:pt idx="94">
                  <c:v>383.59197660531299</c:v>
                </c:pt>
                <c:pt idx="95">
                  <c:v>387.82536820392875</c:v>
                </c:pt>
                <c:pt idx="96">
                  <c:v>396.52047109588432</c:v>
                </c:pt>
                <c:pt idx="97">
                  <c:v>398.33971646232294</c:v>
                </c:pt>
                <c:pt idx="98">
                  <c:v>393.70142259587652</c:v>
                </c:pt>
                <c:pt idx="99">
                  <c:v>399.15719487113853</c:v>
                </c:pt>
                <c:pt idx="100">
                  <c:v>397.2927463860255</c:v>
                </c:pt>
                <c:pt idx="101">
                  <c:v>401.0939952964257</c:v>
                </c:pt>
                <c:pt idx="102">
                  <c:v>404.5760143997208</c:v>
                </c:pt>
                <c:pt idx="103">
                  <c:v>445.29407041377635</c:v>
                </c:pt>
                <c:pt idx="104">
                  <c:v>457.05631228334556</c:v>
                </c:pt>
                <c:pt idx="105">
                  <c:v>522.16949312741531</c:v>
                </c:pt>
                <c:pt idx="106">
                  <c:v>513.23988881582272</c:v>
                </c:pt>
                <c:pt idx="107">
                  <c:v>527.03456445351742</c:v>
                </c:pt>
                <c:pt idx="108">
                  <c:v>526.61997723304546</c:v>
                </c:pt>
                <c:pt idx="109">
                  <c:v>524.29608709653132</c:v>
                </c:pt>
                <c:pt idx="110">
                  <c:v>524.51617040241251</c:v>
                </c:pt>
                <c:pt idx="111">
                  <c:v>516.67929339861189</c:v>
                </c:pt>
                <c:pt idx="112">
                  <c:v>543.10578502440819</c:v>
                </c:pt>
                <c:pt idx="113">
                  <c:v>556.52376371875619</c:v>
                </c:pt>
                <c:pt idx="114">
                  <c:v>579.37385181278091</c:v>
                </c:pt>
                <c:pt idx="115">
                  <c:v>585.62523098501424</c:v>
                </c:pt>
                <c:pt idx="116">
                  <c:v>602.53737172722936</c:v>
                </c:pt>
                <c:pt idx="117">
                  <c:v>621.60804133920692</c:v>
                </c:pt>
                <c:pt idx="118">
                  <c:v>635.06212851254725</c:v>
                </c:pt>
                <c:pt idx="119">
                  <c:v>615.50480389588586</c:v>
                </c:pt>
                <c:pt idx="120">
                  <c:v>632.48940138006219</c:v>
                </c:pt>
                <c:pt idx="121">
                  <c:v>609.84295971029678</c:v>
                </c:pt>
                <c:pt idx="122">
                  <c:v>594.63486149329981</c:v>
                </c:pt>
                <c:pt idx="123">
                  <c:v>593.82753987627439</c:v>
                </c:pt>
                <c:pt idx="124">
                  <c:v>601.31760587439601</c:v>
                </c:pt>
                <c:pt idx="125">
                  <c:v>608.82076737705438</c:v>
                </c:pt>
                <c:pt idx="126">
                  <c:v>619.88801492363086</c:v>
                </c:pt>
                <c:pt idx="127">
                  <c:v>629.35993341449625</c:v>
                </c:pt>
                <c:pt idx="128">
                  <c:v>647.07311429029016</c:v>
                </c:pt>
                <c:pt idx="129">
                  <c:v>680.25202949021354</c:v>
                </c:pt>
                <c:pt idx="130">
                  <c:v>697.52433878836507</c:v>
                </c:pt>
                <c:pt idx="131">
                  <c:v>635.64398968953822</c:v>
                </c:pt>
                <c:pt idx="132">
                  <c:v>639.61565002213501</c:v>
                </c:pt>
                <c:pt idx="133">
                  <c:v>666.36297182245551</c:v>
                </c:pt>
                <c:pt idx="134">
                  <c:v>696.67033158046172</c:v>
                </c:pt>
                <c:pt idx="135">
                  <c:v>743.8075279607084</c:v>
                </c:pt>
                <c:pt idx="136">
                  <c:v>784.78503016452714</c:v>
                </c:pt>
                <c:pt idx="137">
                  <c:v>796.12048173169001</c:v>
                </c:pt>
                <c:pt idx="138">
                  <c:v>825.03719866142205</c:v>
                </c:pt>
                <c:pt idx="139">
                  <c:v>892.02900319900539</c:v>
                </c:pt>
                <c:pt idx="140">
                  <c:v>937.48499080363558</c:v>
                </c:pt>
                <c:pt idx="141">
                  <c:v>1055.5429395688029</c:v>
                </c:pt>
                <c:pt idx="142">
                  <c:v>1128.9174294554848</c:v>
                </c:pt>
                <c:pt idx="143">
                  <c:v>1202.7741794655371</c:v>
                </c:pt>
                <c:pt idx="144">
                  <c:v>1271.0394923375457</c:v>
                </c:pt>
                <c:pt idx="145">
                  <c:v>1444.2390584164561</c:v>
                </c:pt>
                <c:pt idx="146">
                  <c:v>1500.8225311400856</c:v>
                </c:pt>
                <c:pt idx="147">
                  <c:v>1435.0148738443854</c:v>
                </c:pt>
                <c:pt idx="148">
                  <c:v>1415.79784927116</c:v>
                </c:pt>
                <c:pt idx="149">
                  <c:v>1348.3057779256194</c:v>
                </c:pt>
                <c:pt idx="150">
                  <c:v>1374.649535516487</c:v>
                </c:pt>
                <c:pt idx="151">
                  <c:v>1396.672592331026</c:v>
                </c:pt>
                <c:pt idx="152">
                  <c:v>1420.0670151399281</c:v>
                </c:pt>
                <c:pt idx="153">
                  <c:v>1460.0001493926059</c:v>
                </c:pt>
                <c:pt idx="154">
                  <c:v>1620.7793240537096</c:v>
                </c:pt>
                <c:pt idx="155">
                  <c:v>1714.7193252880495</c:v>
                </c:pt>
                <c:pt idx="156">
                  <c:v>1823.7881766576211</c:v>
                </c:pt>
                <c:pt idx="157">
                  <c:v>1872.3996328432813</c:v>
                </c:pt>
                <c:pt idx="158">
                  <c:v>1914.1609388854945</c:v>
                </c:pt>
                <c:pt idx="159">
                  <c:v>1999.8055250274233</c:v>
                </c:pt>
                <c:pt idx="160">
                  <c:v>2051.1740717375815</c:v>
                </c:pt>
                <c:pt idx="161">
                  <c:v>2184.0129779587569</c:v>
                </c:pt>
                <c:pt idx="162">
                  <c:v>2373.0046496388195</c:v>
                </c:pt>
                <c:pt idx="163">
                  <c:v>2690.2163698029171</c:v>
                </c:pt>
                <c:pt idx="164">
                  <c:v>2837.2284562713426</c:v>
                </c:pt>
                <c:pt idx="165">
                  <c:v>3002.8828208094233</c:v>
                </c:pt>
                <c:pt idx="166">
                  <c:v>3265.0300793632196</c:v>
                </c:pt>
                <c:pt idx="167">
                  <c:v>3673.923722669148</c:v>
                </c:pt>
                <c:pt idx="168">
                  <c:v>4159.9331098856501</c:v>
                </c:pt>
                <c:pt idx="169">
                  <c:v>4129.1669006004249</c:v>
                </c:pt>
                <c:pt idx="170">
                  <c:v>5329.8255803361453</c:v>
                </c:pt>
                <c:pt idx="171">
                  <c:v>4140.0759335108369</c:v>
                </c:pt>
                <c:pt idx="172">
                  <c:v>4201.9755402968658</c:v>
                </c:pt>
                <c:pt idx="173">
                  <c:v>4349.2685738732971</c:v>
                </c:pt>
                <c:pt idx="174">
                  <c:v>3961.7505289549204</c:v>
                </c:pt>
                <c:pt idx="175">
                  <c:v>3178.4830105672404</c:v>
                </c:pt>
                <c:pt idx="176">
                  <c:v>3179.5961298235288</c:v>
                </c:pt>
                <c:pt idx="177">
                  <c:v>1309.4511780580679</c:v>
                </c:pt>
                <c:pt idx="178">
                  <c:v>793.72576979364942</c:v>
                </c:pt>
                <c:pt idx="179">
                  <c:v>601.83491754683871</c:v>
                </c:pt>
                <c:pt idx="180">
                  <c:v>851.71161562888688</c:v>
                </c:pt>
                <c:pt idx="181">
                  <c:v>960.55310508913237</c:v>
                </c:pt>
                <c:pt idx="182">
                  <c:v>729.82301896038257</c:v>
                </c:pt>
                <c:pt idx="183">
                  <c:v>2606.0309279021326</c:v>
                </c:pt>
                <c:pt idx="184">
                  <c:v>2673.181098846876</c:v>
                </c:pt>
                <c:pt idx="185">
                  <c:v>2910.6309415589276</c:v>
                </c:pt>
                <c:pt idx="186">
                  <c:v>2807.3404395309594</c:v>
                </c:pt>
                <c:pt idx="187">
                  <c:v>2349.2766781189671</c:v>
                </c:pt>
                <c:pt idx="188">
                  <c:v>2124.5869728336274</c:v>
                </c:pt>
                <c:pt idx="189">
                  <c:v>2388.7100468868002</c:v>
                </c:pt>
                <c:pt idx="190">
                  <c:v>2351.3667358910443</c:v>
                </c:pt>
                <c:pt idx="191">
                  <c:v>3680.8523403559579</c:v>
                </c:pt>
                <c:pt idx="192">
                  <c:v>4474.9035901953403</c:v>
                </c:pt>
                <c:pt idx="193">
                  <c:v>4887.519882637007</c:v>
                </c:pt>
                <c:pt idx="194">
                  <c:v>4740.5997898591377</c:v>
                </c:pt>
                <c:pt idx="195">
                  <c:v>4752.9486468216746</c:v>
                </c:pt>
                <c:pt idx="196">
                  <c:v>5082.0436882147796</c:v>
                </c:pt>
                <c:pt idx="197">
                  <c:v>5002.28327908346</c:v>
                </c:pt>
                <c:pt idx="198">
                  <c:v>4892.0249005255882</c:v>
                </c:pt>
                <c:pt idx="199">
                  <c:v>5121.8774961040281</c:v>
                </c:pt>
                <c:pt idx="200">
                  <c:v>5156.2666996934067</c:v>
                </c:pt>
                <c:pt idx="201">
                  <c:v>5362.4061392059093</c:v>
                </c:pt>
                <c:pt idx="202">
                  <c:v>5445.5304392252456</c:v>
                </c:pt>
                <c:pt idx="203">
                  <c:v>5020.1675147500009</c:v>
                </c:pt>
                <c:pt idx="204">
                  <c:v>4761.811534196604</c:v>
                </c:pt>
                <c:pt idx="205">
                  <c:v>4642.1059534843671</c:v>
                </c:pt>
                <c:pt idx="206">
                  <c:v>4418.7058899705535</c:v>
                </c:pt>
                <c:pt idx="207">
                  <c:v>4651.7567532452204</c:v>
                </c:pt>
                <c:pt idx="208">
                  <c:v>4416.9566040100926</c:v>
                </c:pt>
                <c:pt idx="209">
                  <c:v>4468.6869981637155</c:v>
                </c:pt>
                <c:pt idx="210">
                  <c:v>4435.6436655501111</c:v>
                </c:pt>
                <c:pt idx="211">
                  <c:v>4513.5782385565399</c:v>
                </c:pt>
                <c:pt idx="212">
                  <c:v>4549.9091086730705</c:v>
                </c:pt>
                <c:pt idx="213">
                  <c:v>4533.1316560359737</c:v>
                </c:pt>
                <c:pt idx="214">
                  <c:v>4518.483840167969</c:v>
                </c:pt>
                <c:pt idx="215">
                  <c:v>4765.4891836839643</c:v>
                </c:pt>
                <c:pt idx="216">
                  <c:v>4713.3770845922327</c:v>
                </c:pt>
                <c:pt idx="217">
                  <c:v>4995.8025533270129</c:v>
                </c:pt>
                <c:pt idx="218">
                  <c:v>4245.9488160593037</c:v>
                </c:pt>
                <c:pt idx="219">
                  <c:v>3649.9770282041413</c:v>
                </c:pt>
                <c:pt idx="220">
                  <c:v>3584.0207031179198</c:v>
                </c:pt>
                <c:pt idx="221">
                  <c:v>3447.1917198271835</c:v>
                </c:pt>
                <c:pt idx="222">
                  <c:v>3360.5229094780739</c:v>
                </c:pt>
                <c:pt idx="223">
                  <c:v>2976.5746878177774</c:v>
                </c:pt>
                <c:pt idx="224">
                  <c:v>2873.7021227497276</c:v>
                </c:pt>
                <c:pt idx="225">
                  <c:v>2684.0270595695833</c:v>
                </c:pt>
                <c:pt idx="226">
                  <c:v>2573.4469618929315</c:v>
                </c:pt>
                <c:pt idx="227">
                  <c:v>2473.2546483355322</c:v>
                </c:pt>
                <c:pt idx="228">
                  <c:v>2372.8496049043906</c:v>
                </c:pt>
                <c:pt idx="229">
                  <c:v>2280.6430696744014</c:v>
                </c:pt>
                <c:pt idx="230">
                  <c:v>2166.8470257286631</c:v>
                </c:pt>
                <c:pt idx="231">
                  <c:v>2032.7589598388702</c:v>
                </c:pt>
                <c:pt idx="232">
                  <c:v>2265.9320301716607</c:v>
                </c:pt>
                <c:pt idx="233">
                  <c:v>2591.9566845462832</c:v>
                </c:pt>
                <c:pt idx="234">
                  <c:v>2595.5117672798056</c:v>
                </c:pt>
                <c:pt idx="235">
                  <c:v>2739.4571172640908</c:v>
                </c:pt>
                <c:pt idx="236">
                  <c:v>2754.5339306983201</c:v>
                </c:pt>
                <c:pt idx="237">
                  <c:v>2950.4853017949067</c:v>
                </c:pt>
                <c:pt idx="238">
                  <c:v>2635.5764314358385</c:v>
                </c:pt>
                <c:pt idx="239">
                  <c:v>2703.7984091277985</c:v>
                </c:pt>
                <c:pt idx="240">
                  <c:v>2874.8268125992922</c:v>
                </c:pt>
                <c:pt idx="241">
                  <c:v>2948.0478474167908</c:v>
                </c:pt>
                <c:pt idx="242">
                  <c:v>3050.2278239179609</c:v>
                </c:pt>
                <c:pt idx="243">
                  <c:v>2607.069045098237</c:v>
                </c:pt>
                <c:pt idx="244">
                  <c:v>2854.3868187398939</c:v>
                </c:pt>
                <c:pt idx="245">
                  <c:v>3076.2073705422135</c:v>
                </c:pt>
                <c:pt idx="246">
                  <c:v>3146.3780444815129</c:v>
                </c:pt>
                <c:pt idx="247">
                  <c:v>3279.2122301926311</c:v>
                </c:pt>
                <c:pt idx="248">
                  <c:v>3366.1003665842036</c:v>
                </c:pt>
                <c:pt idx="249">
                  <c:v>3507.1863835965055</c:v>
                </c:pt>
                <c:pt idx="250">
                  <c:v>3698.3429097626722</c:v>
                </c:pt>
                <c:pt idx="251">
                  <c:v>3893.7946379981399</c:v>
                </c:pt>
                <c:pt idx="252">
                  <c:v>4141.6388475403346</c:v>
                </c:pt>
                <c:pt idx="253">
                  <c:v>4253.8935259663876</c:v>
                </c:pt>
                <c:pt idx="254">
                  <c:v>4151.8083640435316</c:v>
                </c:pt>
                <c:pt idx="255">
                  <c:v>4068.7693057156716</c:v>
                </c:pt>
                <c:pt idx="256">
                  <c:v>4113.9237811771363</c:v>
                </c:pt>
                <c:pt idx="257">
                  <c:v>5347.0938865807775</c:v>
                </c:pt>
                <c:pt idx="258">
                  <c:v>5384.5373495306385</c:v>
                </c:pt>
                <c:pt idx="259">
                  <c:v>5541.3172488038999</c:v>
                </c:pt>
                <c:pt idx="260">
                  <c:v>5756.8388886001221</c:v>
                </c:pt>
                <c:pt idx="261">
                  <c:v>5865.6457906876167</c:v>
                </c:pt>
                <c:pt idx="262">
                  <c:v>6164.6420537514596</c:v>
                </c:pt>
                <c:pt idx="263">
                  <c:v>6266.296403205175</c:v>
                </c:pt>
                <c:pt idx="264">
                  <c:v>6199.4087282514811</c:v>
                </c:pt>
                <c:pt idx="265">
                  <c:v>6532.0654322114997</c:v>
                </c:pt>
                <c:pt idx="266">
                  <c:v>6544.558859937777</c:v>
                </c:pt>
                <c:pt idx="267">
                  <c:v>6154.4936802354041</c:v>
                </c:pt>
                <c:pt idx="268">
                  <c:v>6241.0781865481622</c:v>
                </c:pt>
                <c:pt idx="269">
                  <c:v>7213.9856533770753</c:v>
                </c:pt>
                <c:pt idx="270">
                  <c:v>6991.2512247726208</c:v>
                </c:pt>
                <c:pt idx="271">
                  <c:v>6540.8029158684085</c:v>
                </c:pt>
                <c:pt idx="272">
                  <c:v>6335.7772249604241</c:v>
                </c:pt>
                <c:pt idx="273">
                  <c:v>6203.2402145913957</c:v>
                </c:pt>
                <c:pt idx="274">
                  <c:v>6025.8514877046091</c:v>
                </c:pt>
                <c:pt idx="275">
                  <c:v>5760.6738483469171</c:v>
                </c:pt>
                <c:pt idx="276">
                  <c:v>5669.418571808279</c:v>
                </c:pt>
                <c:pt idx="277">
                  <c:v>5839.4090337516664</c:v>
                </c:pt>
                <c:pt idx="278">
                  <c:v>5801.5998467802801</c:v>
                </c:pt>
                <c:pt idx="279">
                  <c:v>5776.3198758023645</c:v>
                </c:pt>
                <c:pt idx="280">
                  <c:v>5813.7594601925402</c:v>
                </c:pt>
                <c:pt idx="281">
                  <c:v>6118.4395835436417</c:v>
                </c:pt>
                <c:pt idx="282">
                  <c:v>6104.3671961117898</c:v>
                </c:pt>
                <c:pt idx="283">
                  <c:v>6337.8298408894643</c:v>
                </c:pt>
                <c:pt idx="284">
                  <c:v>6567.9116634909642</c:v>
                </c:pt>
                <c:pt idx="285">
                  <c:v>6969.1961172541623</c:v>
                </c:pt>
                <c:pt idx="286">
                  <c:v>6585.3359935803146</c:v>
                </c:pt>
                <c:pt idx="287">
                  <c:v>4454.2301059992878</c:v>
                </c:pt>
                <c:pt idx="288">
                  <c:v>3540.6121556781873</c:v>
                </c:pt>
                <c:pt idx="289">
                  <c:v>3529.5070609752329</c:v>
                </c:pt>
                <c:pt idx="290">
                  <c:v>3383.707501419356</c:v>
                </c:pt>
                <c:pt idx="291">
                  <c:v>3352.3485976762204</c:v>
                </c:pt>
                <c:pt idx="292">
                  <c:v>3335.254670534488</c:v>
                </c:pt>
                <c:pt idx="293">
                  <c:v>3196.1960059160642</c:v>
                </c:pt>
                <c:pt idx="294">
                  <c:v>3072.3517940574256</c:v>
                </c:pt>
                <c:pt idx="295">
                  <c:v>3063.4471951120936</c:v>
                </c:pt>
                <c:pt idx="296">
                  <c:v>2979.2097418672538</c:v>
                </c:pt>
                <c:pt idx="297">
                  <c:v>2892.3726316379402</c:v>
                </c:pt>
                <c:pt idx="298">
                  <c:v>2758.6520799231344</c:v>
                </c:pt>
                <c:pt idx="299">
                  <c:v>2804.1168828435243</c:v>
                </c:pt>
                <c:pt idx="300">
                  <c:v>2944.4016482316902</c:v>
                </c:pt>
                <c:pt idx="301">
                  <c:v>4621.4930214514197</c:v>
                </c:pt>
                <c:pt idx="302">
                  <c:v>5456.9550465951361</c:v>
                </c:pt>
                <c:pt idx="303">
                  <c:v>5602.7974976552914</c:v>
                </c:pt>
                <c:pt idx="304">
                  <c:v>5855.7692754406144</c:v>
                </c:pt>
                <c:pt idx="305">
                  <c:v>6082.1361162741823</c:v>
                </c:pt>
                <c:pt idx="306">
                  <c:v>5792.1335400044982</c:v>
                </c:pt>
                <c:pt idx="307">
                  <c:v>6119.0686180584544</c:v>
                </c:pt>
                <c:pt idx="308">
                  <c:v>6472.6909675297302</c:v>
                </c:pt>
                <c:pt idx="309">
                  <c:v>6777.7840571793486</c:v>
                </c:pt>
                <c:pt idx="310">
                  <c:v>7044.2226574972346</c:v>
                </c:pt>
                <c:pt idx="311">
                  <c:v>7433.9408597090223</c:v>
                </c:pt>
                <c:pt idx="312">
                  <c:v>7488.1078663177286</c:v>
                </c:pt>
                <c:pt idx="313">
                  <c:v>7588.8894744754916</c:v>
                </c:pt>
                <c:pt idx="314">
                  <c:v>7661.6239744691211</c:v>
                </c:pt>
                <c:pt idx="315">
                  <c:v>7706.8057691300055</c:v>
                </c:pt>
                <c:pt idx="316">
                  <c:v>7857.8916498906365</c:v>
                </c:pt>
                <c:pt idx="317">
                  <c:v>7870.4265922571813</c:v>
                </c:pt>
                <c:pt idx="318">
                  <c:v>7975.4149602162324</c:v>
                </c:pt>
                <c:pt idx="319">
                  <c:v>7960.7893679953713</c:v>
                </c:pt>
                <c:pt idx="320">
                  <c:v>9016.2393382858318</c:v>
                </c:pt>
                <c:pt idx="321">
                  <c:v>8905.5306808866244</c:v>
                </c:pt>
                <c:pt idx="322">
                  <c:v>9043.8226046907293</c:v>
                </c:pt>
                <c:pt idx="323">
                  <c:v>9296.8625918772614</c:v>
                </c:pt>
                <c:pt idx="324">
                  <c:v>9953.0245580860956</c:v>
                </c:pt>
                <c:pt idx="325">
                  <c:v>10266.742345228547</c:v>
                </c:pt>
                <c:pt idx="326">
                  <c:v>11537.759879389576</c:v>
                </c:pt>
                <c:pt idx="327">
                  <c:v>11554.363019721301</c:v>
                </c:pt>
                <c:pt idx="328">
                  <c:v>12372.267720596077</c:v>
                </c:pt>
                <c:pt idx="329">
                  <c:v>13532.725289632737</c:v>
                </c:pt>
                <c:pt idx="330">
                  <c:v>16011.21659508101</c:v>
                </c:pt>
                <c:pt idx="331">
                  <c:v>17694.728780363457</c:v>
                </c:pt>
                <c:pt idx="332">
                  <c:v>16830.152303384715</c:v>
                </c:pt>
                <c:pt idx="333">
                  <c:v>17759.188578385994</c:v>
                </c:pt>
                <c:pt idx="334">
                  <c:v>15704.012877355313</c:v>
                </c:pt>
                <c:pt idx="335">
                  <c:v>17022.967542010258</c:v>
                </c:pt>
                <c:pt idx="336">
                  <c:v>18308.962402447174</c:v>
                </c:pt>
                <c:pt idx="337">
                  <c:v>18133.242846793568</c:v>
                </c:pt>
                <c:pt idx="338">
                  <c:v>18996.765394327918</c:v>
                </c:pt>
                <c:pt idx="339">
                  <c:v>20551.269916114743</c:v>
                </c:pt>
                <c:pt idx="340">
                  <c:v>21018.729679161479</c:v>
                </c:pt>
                <c:pt idx="341">
                  <c:v>22623.430293398516</c:v>
                </c:pt>
                <c:pt idx="342">
                  <c:v>24195.148957628298</c:v>
                </c:pt>
                <c:pt idx="343">
                  <c:v>25945.638116604739</c:v>
                </c:pt>
                <c:pt idx="344">
                  <c:v>26317.805978094904</c:v>
                </c:pt>
                <c:pt idx="345">
                  <c:v>26742.01243077061</c:v>
                </c:pt>
                <c:pt idx="346">
                  <c:v>29255.783456370962</c:v>
                </c:pt>
                <c:pt idx="347">
                  <c:v>29939.444416331189</c:v>
                </c:pt>
                <c:pt idx="348">
                  <c:v>35310.762963702546</c:v>
                </c:pt>
                <c:pt idx="349">
                  <c:v>33899.874478553109</c:v>
                </c:pt>
                <c:pt idx="350">
                  <c:v>35022.373640913538</c:v>
                </c:pt>
                <c:pt idx="351">
                  <c:v>34412.019090401256</c:v>
                </c:pt>
                <c:pt idx="352">
                  <c:v>30331.144659959649</c:v>
                </c:pt>
                <c:pt idx="353">
                  <c:v>27623.917453606493</c:v>
                </c:pt>
                <c:pt idx="354">
                  <c:v>26096.257892120262</c:v>
                </c:pt>
                <c:pt idx="355">
                  <c:v>25825.644131907247</c:v>
                </c:pt>
                <c:pt idx="356">
                  <c:v>25202.66249755782</c:v>
                </c:pt>
                <c:pt idx="357">
                  <c:v>24415.375663100753</c:v>
                </c:pt>
                <c:pt idx="358">
                  <c:v>20412.215022421566</c:v>
                </c:pt>
                <c:pt idx="359">
                  <c:v>19534.134740577254</c:v>
                </c:pt>
                <c:pt idx="360">
                  <c:v>17677.130815916225</c:v>
                </c:pt>
                <c:pt idx="361">
                  <c:v>17016.128412527603</c:v>
                </c:pt>
                <c:pt idx="362">
                  <c:v>19113.879730032884</c:v>
                </c:pt>
                <c:pt idx="363">
                  <c:v>19976.531802870668</c:v>
                </c:pt>
                <c:pt idx="364">
                  <c:v>20391.281977670682</c:v>
                </c:pt>
                <c:pt idx="365">
                  <c:v>20111.672128555812</c:v>
                </c:pt>
                <c:pt idx="366">
                  <c:v>21638.542366545684</c:v>
                </c:pt>
                <c:pt idx="367">
                  <c:v>25328.333230931159</c:v>
                </c:pt>
                <c:pt idx="368">
                  <c:v>25159.203262897994</c:v>
                </c:pt>
                <c:pt idx="369">
                  <c:v>25381.797499903936</c:v>
                </c:pt>
                <c:pt idx="370">
                  <c:v>26802.659803383489</c:v>
                </c:pt>
                <c:pt idx="371">
                  <c:v>28860.336559271862</c:v>
                </c:pt>
                <c:pt idx="372">
                  <c:v>31307.824666189557</c:v>
                </c:pt>
                <c:pt idx="373">
                  <c:v>32136.094251277551</c:v>
                </c:pt>
                <c:pt idx="374">
                  <c:v>33924.027420346494</c:v>
                </c:pt>
                <c:pt idx="375">
                  <c:v>32762.483223803636</c:v>
                </c:pt>
                <c:pt idx="376">
                  <c:v>33414.481005949587</c:v>
                </c:pt>
                <c:pt idx="377">
                  <c:v>32180.558341412489</c:v>
                </c:pt>
                <c:pt idx="378">
                  <c:v>32571.569195188447</c:v>
                </c:pt>
                <c:pt idx="379">
                  <c:v>34662.917393030511</c:v>
                </c:pt>
                <c:pt idx="380">
                  <c:v>34907.022744604154</c:v>
                </c:pt>
                <c:pt idx="381">
                  <c:v>34383.455261772848</c:v>
                </c:pt>
                <c:pt idx="382">
                  <c:v>35293.758498569005</c:v>
                </c:pt>
                <c:pt idx="383">
                  <c:v>37727.928767655401</c:v>
                </c:pt>
                <c:pt idx="384">
                  <c:v>36611.490097298098</c:v>
                </c:pt>
                <c:pt idx="385">
                  <c:v>35044.076897597559</c:v>
                </c:pt>
                <c:pt idx="386">
                  <c:v>31743.735416415515</c:v>
                </c:pt>
                <c:pt idx="387">
                  <c:v>32051.390430330495</c:v>
                </c:pt>
                <c:pt idx="388">
                  <c:v>30026.644674781295</c:v>
                </c:pt>
                <c:pt idx="389">
                  <c:v>27267.681461485354</c:v>
                </c:pt>
                <c:pt idx="390">
                  <c:v>25773.333240577304</c:v>
                </c:pt>
                <c:pt idx="391">
                  <c:v>25712.411639144928</c:v>
                </c:pt>
                <c:pt idx="392">
                  <c:v>25600.017869041843</c:v>
                </c:pt>
                <c:pt idx="393">
                  <c:v>24173.894829836885</c:v>
                </c:pt>
                <c:pt idx="394">
                  <c:v>24436.341941607876</c:v>
                </c:pt>
                <c:pt idx="395">
                  <c:v>23208.506742791793</c:v>
                </c:pt>
                <c:pt idx="396">
                  <c:v>23667.296452503269</c:v>
                </c:pt>
                <c:pt idx="397">
                  <c:v>23586.728291759882</c:v>
                </c:pt>
                <c:pt idx="398">
                  <c:v>24635.963153121487</c:v>
                </c:pt>
                <c:pt idx="399">
                  <c:v>21546.995109540399</c:v>
                </c:pt>
                <c:pt idx="400">
                  <c:v>22043.355718317591</c:v>
                </c:pt>
                <c:pt idx="401">
                  <c:v>21536.047841485448</c:v>
                </c:pt>
                <c:pt idx="402">
                  <c:v>21449.52964651247</c:v>
                </c:pt>
                <c:pt idx="403">
                  <c:v>22726.880697782311</c:v>
                </c:pt>
                <c:pt idx="404">
                  <c:v>18918.360741997887</c:v>
                </c:pt>
                <c:pt idx="405">
                  <c:v>18177.496165660788</c:v>
                </c:pt>
                <c:pt idx="406">
                  <c:v>17692.830308161592</c:v>
                </c:pt>
                <c:pt idx="407">
                  <c:v>18552.78422561723</c:v>
                </c:pt>
                <c:pt idx="408">
                  <c:v>17421.782656396055</c:v>
                </c:pt>
                <c:pt idx="409">
                  <c:v>16204.313722396224</c:v>
                </c:pt>
                <c:pt idx="410">
                  <c:v>15677.1905165682</c:v>
                </c:pt>
                <c:pt idx="411">
                  <c:v>14554.893920779918</c:v>
                </c:pt>
                <c:pt idx="412">
                  <c:v>13916.434961915174</c:v>
                </c:pt>
                <c:pt idx="413">
                  <c:v>15100.16811574625</c:v>
                </c:pt>
                <c:pt idx="414">
                  <c:v>14173.556461062253</c:v>
                </c:pt>
                <c:pt idx="415">
                  <c:v>13770.851937768663</c:v>
                </c:pt>
                <c:pt idx="416">
                  <c:v>13747.874578609153</c:v>
                </c:pt>
                <c:pt idx="417">
                  <c:v>12595.653444381263</c:v>
                </c:pt>
                <c:pt idx="418">
                  <c:v>14745.738807616088</c:v>
                </c:pt>
                <c:pt idx="419">
                  <c:v>14900.999246547206</c:v>
                </c:pt>
                <c:pt idx="420">
                  <c:v>14796.754795526283</c:v>
                </c:pt>
                <c:pt idx="421">
                  <c:v>14743.129854606779</c:v>
                </c:pt>
                <c:pt idx="422">
                  <c:v>14714.417284068912</c:v>
                </c:pt>
                <c:pt idx="423">
                  <c:v>15243.438243418941</c:v>
                </c:pt>
                <c:pt idx="424">
                  <c:v>15033.718317278353</c:v>
                </c:pt>
                <c:pt idx="425">
                  <c:v>15262.123393475695</c:v>
                </c:pt>
                <c:pt idx="426">
                  <c:v>13491.660501735691</c:v>
                </c:pt>
                <c:pt idx="427">
                  <c:v>13192.378281206617</c:v>
                </c:pt>
                <c:pt idx="428">
                  <c:v>13245.176271668199</c:v>
                </c:pt>
                <c:pt idx="429">
                  <c:v>13042.618296276694</c:v>
                </c:pt>
                <c:pt idx="430">
                  <c:v>12951.77145410212</c:v>
                </c:pt>
                <c:pt idx="431">
                  <c:v>13442.986705410052</c:v>
                </c:pt>
                <c:pt idx="432">
                  <c:v>13801.416822040555</c:v>
                </c:pt>
                <c:pt idx="433">
                  <c:v>13710.305513388603</c:v>
                </c:pt>
                <c:pt idx="434">
                  <c:v>13555.941310205155</c:v>
                </c:pt>
                <c:pt idx="435">
                  <c:v>11696.712015153689</c:v>
                </c:pt>
                <c:pt idx="436">
                  <c:v>11692.941212213753</c:v>
                </c:pt>
                <c:pt idx="437">
                  <c:v>11843.121000190353</c:v>
                </c:pt>
                <c:pt idx="438">
                  <c:v>11935.822906051308</c:v>
                </c:pt>
                <c:pt idx="439">
                  <c:v>11833.384816017733</c:v>
                </c:pt>
                <c:pt idx="440">
                  <c:v>13602.181468755594</c:v>
                </c:pt>
                <c:pt idx="441">
                  <c:v>14069.722624470063</c:v>
                </c:pt>
                <c:pt idx="442">
                  <c:v>14177.968407461307</c:v>
                </c:pt>
                <c:pt idx="443">
                  <c:v>14476.775747396921</c:v>
                </c:pt>
                <c:pt idx="444">
                  <c:v>14630.455903166645</c:v>
                </c:pt>
                <c:pt idx="445">
                  <c:v>15230.234680142425</c:v>
                </c:pt>
                <c:pt idx="446">
                  <c:v>15566.129410211242</c:v>
                </c:pt>
                <c:pt idx="447">
                  <c:v>16008.304209239528</c:v>
                </c:pt>
                <c:pt idx="448">
                  <c:v>16244.786339119497</c:v>
                </c:pt>
                <c:pt idx="449">
                  <c:v>18032.027762550282</c:v>
                </c:pt>
                <c:pt idx="450">
                  <c:v>18510.929185071698</c:v>
                </c:pt>
                <c:pt idx="451">
                  <c:v>18719.229263906651</c:v>
                </c:pt>
                <c:pt idx="452">
                  <c:v>18894.279536591406</c:v>
                </c:pt>
                <c:pt idx="453">
                  <c:v>19308.703599404354</c:v>
                </c:pt>
                <c:pt idx="454">
                  <c:v>20463.561649564384</c:v>
                </c:pt>
                <c:pt idx="455">
                  <c:v>20467.637404823759</c:v>
                </c:pt>
                <c:pt idx="456">
                  <c:v>20892.436952240587</c:v>
                </c:pt>
                <c:pt idx="457">
                  <c:v>21422.575375717824</c:v>
                </c:pt>
                <c:pt idx="458">
                  <c:v>22037.328135937714</c:v>
                </c:pt>
                <c:pt idx="459">
                  <c:v>22341.93262979684</c:v>
                </c:pt>
                <c:pt idx="460">
                  <c:v>22396.43164653987</c:v>
                </c:pt>
                <c:pt idx="461">
                  <c:v>22732.124092446829</c:v>
                </c:pt>
                <c:pt idx="462">
                  <c:v>22601.493457419278</c:v>
                </c:pt>
                <c:pt idx="463">
                  <c:v>23127.83999789464</c:v>
                </c:pt>
                <c:pt idx="464">
                  <c:v>23213.350519058065</c:v>
                </c:pt>
                <c:pt idx="465">
                  <c:v>23342.242414528508</c:v>
                </c:pt>
                <c:pt idx="466">
                  <c:v>22176.424447363886</c:v>
                </c:pt>
                <c:pt idx="467">
                  <c:v>22154.263745741311</c:v>
                </c:pt>
                <c:pt idx="468">
                  <c:v>22098.974175417763</c:v>
                </c:pt>
                <c:pt idx="469">
                  <c:v>22450.568392676309</c:v>
                </c:pt>
                <c:pt idx="470">
                  <c:v>22204.156145001831</c:v>
                </c:pt>
                <c:pt idx="471">
                  <c:v>22240.890928089389</c:v>
                </c:pt>
                <c:pt idx="472">
                  <c:v>23402.81596537428</c:v>
                </c:pt>
                <c:pt idx="473">
                  <c:v>23284.851461154201</c:v>
                </c:pt>
                <c:pt idx="474">
                  <c:v>23034.108297737122</c:v>
                </c:pt>
                <c:pt idx="475">
                  <c:v>21258.5041146525</c:v>
                </c:pt>
                <c:pt idx="476">
                  <c:v>21871.413438030089</c:v>
                </c:pt>
                <c:pt idx="477">
                  <c:v>22273.209750951508</c:v>
                </c:pt>
                <c:pt idx="478">
                  <c:v>22781.970718645105</c:v>
                </c:pt>
                <c:pt idx="479">
                  <c:v>23378.220868938246</c:v>
                </c:pt>
                <c:pt idx="480">
                  <c:v>25665.292323023605</c:v>
                </c:pt>
                <c:pt idx="481">
                  <c:v>25842.202479777952</c:v>
                </c:pt>
                <c:pt idx="482">
                  <c:v>27016.288650724648</c:v>
                </c:pt>
                <c:pt idx="483">
                  <c:v>28417.065422068103</c:v>
                </c:pt>
                <c:pt idx="484">
                  <c:v>29485.653697899317</c:v>
                </c:pt>
                <c:pt idx="485">
                  <c:v>30613.604022142939</c:v>
                </c:pt>
                <c:pt idx="486">
                  <c:v>31574.123481941504</c:v>
                </c:pt>
                <c:pt idx="487">
                  <c:v>30434.548450412392</c:v>
                </c:pt>
                <c:pt idx="488">
                  <c:v>29734.466866187508</c:v>
                </c:pt>
                <c:pt idx="489">
                  <c:v>31458.351660890767</c:v>
                </c:pt>
                <c:pt idx="490">
                  <c:v>31864.757015845276</c:v>
                </c:pt>
                <c:pt idx="491">
                  <c:v>30282.291040438457</c:v>
                </c:pt>
                <c:pt idx="492">
                  <c:v>31136.733838850152</c:v>
                </c:pt>
                <c:pt idx="493">
                  <c:v>31862.815804820621</c:v>
                </c:pt>
                <c:pt idx="494">
                  <c:v>30449.173587345151</c:v>
                </c:pt>
                <c:pt idx="495">
                  <c:v>33350.384803851026</c:v>
                </c:pt>
                <c:pt idx="496">
                  <c:v>34459.917638293904</c:v>
                </c:pt>
                <c:pt idx="497">
                  <c:v>35866.492669052677</c:v>
                </c:pt>
                <c:pt idx="498">
                  <c:v>36745.059814816443</c:v>
                </c:pt>
                <c:pt idx="499">
                  <c:v>37820.970202391123</c:v>
                </c:pt>
                <c:pt idx="500">
                  <c:v>36451.421295354397</c:v>
                </c:pt>
                <c:pt idx="501">
                  <c:v>39077.838296873757</c:v>
                </c:pt>
                <c:pt idx="502">
                  <c:v>40174.149424692725</c:v>
                </c:pt>
                <c:pt idx="503">
                  <c:v>40851.727143197852</c:v>
                </c:pt>
                <c:pt idx="504">
                  <c:v>41407.488886211948</c:v>
                </c:pt>
                <c:pt idx="505">
                  <c:v>43167.57434389829</c:v>
                </c:pt>
                <c:pt idx="506">
                  <c:v>43534.981388861968</c:v>
                </c:pt>
                <c:pt idx="507">
                  <c:v>43955.724131504219</c:v>
                </c:pt>
                <c:pt idx="508">
                  <c:v>51943.511798428175</c:v>
                </c:pt>
                <c:pt idx="509">
                  <c:v>51840.759974596753</c:v>
                </c:pt>
                <c:pt idx="510">
                  <c:v>50722.503896383001</c:v>
                </c:pt>
                <c:pt idx="511">
                  <c:v>50152.062519689811</c:v>
                </c:pt>
                <c:pt idx="512">
                  <c:v>48201.143773846728</c:v>
                </c:pt>
                <c:pt idx="513">
                  <c:v>44841.764887264981</c:v>
                </c:pt>
                <c:pt idx="514">
                  <c:v>46707.410098874025</c:v>
                </c:pt>
                <c:pt idx="515">
                  <c:v>47038.13183350188</c:v>
                </c:pt>
                <c:pt idx="516">
                  <c:v>42317.764739872408</c:v>
                </c:pt>
                <c:pt idx="517">
                  <c:v>40964.883152216797</c:v>
                </c:pt>
                <c:pt idx="518">
                  <c:v>40814.385379619409</c:v>
                </c:pt>
                <c:pt idx="519">
                  <c:v>42071.117844811248</c:v>
                </c:pt>
                <c:pt idx="520">
                  <c:v>41282.108917543148</c:v>
                </c:pt>
                <c:pt idx="521">
                  <c:v>40727.78399445775</c:v>
                </c:pt>
                <c:pt idx="522">
                  <c:v>40061.885316645676</c:v>
                </c:pt>
                <c:pt idx="523">
                  <c:v>39215.494545504385</c:v>
                </c:pt>
                <c:pt idx="524">
                  <c:v>40353.37131361002</c:v>
                </c:pt>
                <c:pt idx="525">
                  <c:v>40475.600144768498</c:v>
                </c:pt>
                <c:pt idx="526">
                  <c:v>41895.619135922483</c:v>
                </c:pt>
                <c:pt idx="527">
                  <c:v>44250.097626135437</c:v>
                </c:pt>
                <c:pt idx="528">
                  <c:v>44417.275588462609</c:v>
                </c:pt>
                <c:pt idx="529">
                  <c:v>44408.037943893425</c:v>
                </c:pt>
                <c:pt idx="530">
                  <c:v>42255.449936747027</c:v>
                </c:pt>
                <c:pt idx="531">
                  <c:v>45695.121657236741</c:v>
                </c:pt>
                <c:pt idx="532">
                  <c:v>48042.098367144608</c:v>
                </c:pt>
                <c:pt idx="533">
                  <c:v>49856.465140056869</c:v>
                </c:pt>
                <c:pt idx="534">
                  <c:v>53284.48677641934</c:v>
                </c:pt>
                <c:pt idx="535">
                  <c:v>56409.881218062277</c:v>
                </c:pt>
                <c:pt idx="536">
                  <c:v>54609.640448723854</c:v>
                </c:pt>
                <c:pt idx="537">
                  <c:v>55352.946168786184</c:v>
                </c:pt>
                <c:pt idx="538">
                  <c:v>55795.36191154176</c:v>
                </c:pt>
                <c:pt idx="539">
                  <c:v>55194.197158088078</c:v>
                </c:pt>
                <c:pt idx="540">
                  <c:v>55927.054927939273</c:v>
                </c:pt>
                <c:pt idx="541">
                  <c:v>56762.585407794657</c:v>
                </c:pt>
                <c:pt idx="542">
                  <c:v>57310.6293826732</c:v>
                </c:pt>
                <c:pt idx="543">
                  <c:v>57925.04886730649</c:v>
                </c:pt>
                <c:pt idx="544">
                  <c:v>73970.49888321865</c:v>
                </c:pt>
                <c:pt idx="545">
                  <c:v>73937.233736780836</c:v>
                </c:pt>
                <c:pt idx="546">
                  <c:v>72931.885497629657</c:v>
                </c:pt>
                <c:pt idx="547">
                  <c:v>71008.646767480532</c:v>
                </c:pt>
                <c:pt idx="548">
                  <c:v>69464.808368142927</c:v>
                </c:pt>
                <c:pt idx="549">
                  <c:v>69949.408703480556</c:v>
                </c:pt>
                <c:pt idx="550">
                  <c:v>71103.383759007294</c:v>
                </c:pt>
                <c:pt idx="551">
                  <c:v>70422.830156912722</c:v>
                </c:pt>
                <c:pt idx="552">
                  <c:v>71307.708710248582</c:v>
                </c:pt>
                <c:pt idx="553">
                  <c:v>71782.37982125413</c:v>
                </c:pt>
                <c:pt idx="554">
                  <c:v>70944.992576761186</c:v>
                </c:pt>
                <c:pt idx="555">
                  <c:v>69949.404677747065</c:v>
                </c:pt>
                <c:pt idx="556">
                  <c:v>68344.524360370124</c:v>
                </c:pt>
                <c:pt idx="557">
                  <c:v>69267.978755116288</c:v>
                </c:pt>
                <c:pt idx="558">
                  <c:v>70575.211459371189</c:v>
                </c:pt>
                <c:pt idx="559">
                  <c:v>71731.739221411975</c:v>
                </c:pt>
                <c:pt idx="560">
                  <c:v>74743.512339032153</c:v>
                </c:pt>
                <c:pt idx="561">
                  <c:v>79455.010505884755</c:v>
                </c:pt>
                <c:pt idx="562">
                  <c:v>80870.916218075246</c:v>
                </c:pt>
                <c:pt idx="563">
                  <c:v>81911.404654613609</c:v>
                </c:pt>
                <c:pt idx="564">
                  <c:v>84933.623846236616</c:v>
                </c:pt>
                <c:pt idx="565">
                  <c:v>86320.046423289357</c:v>
                </c:pt>
                <c:pt idx="566">
                  <c:v>88637.88833011809</c:v>
                </c:pt>
                <c:pt idx="567">
                  <c:v>89894.013012544194</c:v>
                </c:pt>
                <c:pt idx="568">
                  <c:v>92066.904280398929</c:v>
                </c:pt>
                <c:pt idx="569">
                  <c:v>93032.515333756543</c:v>
                </c:pt>
                <c:pt idx="570">
                  <c:v>95569.990168503355</c:v>
                </c:pt>
                <c:pt idx="571">
                  <c:v>94324.712468076163</c:v>
                </c:pt>
                <c:pt idx="572">
                  <c:v>94694.626366591794</c:v>
                </c:pt>
                <c:pt idx="573">
                  <c:v>95218.305434660288</c:v>
                </c:pt>
                <c:pt idx="574">
                  <c:v>95756.677686310635</c:v>
                </c:pt>
                <c:pt idx="575">
                  <c:v>96641.03408680849</c:v>
                </c:pt>
                <c:pt idx="576">
                  <c:v>-10143.063581399727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F2-184D-B1B7-4CECF28CF288}"/>
            </c:ext>
          </c:extLst>
        </c:ser>
        <c:ser>
          <c:idx val="4"/>
          <c:order val="4"/>
          <c:tx>
            <c:strRef>
              <c:f>'weekly price'!$R$1</c:f>
              <c:strCache>
                <c:ptCount val="1"/>
                <c:pt idx="0">
                  <c:v>price upper 4 SD</c:v>
                </c:pt>
              </c:strCache>
            </c:strRef>
          </c:tx>
          <c:spPr>
            <a:ln cmpd="sng">
              <a:solidFill>
                <a:srgbClr val="FF9900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'weekly price'!$A$2:$A$578</c:f>
              <c:numCache>
                <c:formatCode>m/d/yyyy</c:formatCode>
                <c:ptCount val="577"/>
                <c:pt idx="1">
                  <c:v>41904</c:v>
                </c:pt>
                <c:pt idx="2">
                  <c:v>41911</c:v>
                </c:pt>
                <c:pt idx="3">
                  <c:v>41918</c:v>
                </c:pt>
                <c:pt idx="4">
                  <c:v>41925</c:v>
                </c:pt>
                <c:pt idx="5">
                  <c:v>41932</c:v>
                </c:pt>
                <c:pt idx="6">
                  <c:v>41939</c:v>
                </c:pt>
                <c:pt idx="7">
                  <c:v>41946</c:v>
                </c:pt>
                <c:pt idx="8">
                  <c:v>41953</c:v>
                </c:pt>
                <c:pt idx="9">
                  <c:v>41960</c:v>
                </c:pt>
                <c:pt idx="10">
                  <c:v>41967</c:v>
                </c:pt>
                <c:pt idx="11">
                  <c:v>41974</c:v>
                </c:pt>
                <c:pt idx="12">
                  <c:v>41981</c:v>
                </c:pt>
                <c:pt idx="13">
                  <c:v>41988</c:v>
                </c:pt>
                <c:pt idx="14">
                  <c:v>41995</c:v>
                </c:pt>
                <c:pt idx="15">
                  <c:v>42002</c:v>
                </c:pt>
                <c:pt idx="16">
                  <c:v>42009</c:v>
                </c:pt>
                <c:pt idx="17">
                  <c:v>42016</c:v>
                </c:pt>
                <c:pt idx="18">
                  <c:v>42023</c:v>
                </c:pt>
                <c:pt idx="19">
                  <c:v>42030</c:v>
                </c:pt>
                <c:pt idx="20">
                  <c:v>42037</c:v>
                </c:pt>
                <c:pt idx="21">
                  <c:v>42044</c:v>
                </c:pt>
                <c:pt idx="22">
                  <c:v>42051</c:v>
                </c:pt>
                <c:pt idx="23">
                  <c:v>42058</c:v>
                </c:pt>
                <c:pt idx="24">
                  <c:v>42065</c:v>
                </c:pt>
                <c:pt idx="25">
                  <c:v>42072</c:v>
                </c:pt>
                <c:pt idx="26">
                  <c:v>42079</c:v>
                </c:pt>
                <c:pt idx="27">
                  <c:v>42086</c:v>
                </c:pt>
                <c:pt idx="28">
                  <c:v>42093</c:v>
                </c:pt>
                <c:pt idx="29">
                  <c:v>42100</c:v>
                </c:pt>
                <c:pt idx="30">
                  <c:v>42107</c:v>
                </c:pt>
                <c:pt idx="31">
                  <c:v>42114</c:v>
                </c:pt>
                <c:pt idx="32">
                  <c:v>42121</c:v>
                </c:pt>
                <c:pt idx="33">
                  <c:v>42128</c:v>
                </c:pt>
                <c:pt idx="34">
                  <c:v>42135</c:v>
                </c:pt>
                <c:pt idx="35">
                  <c:v>42142</c:v>
                </c:pt>
                <c:pt idx="36">
                  <c:v>42149</c:v>
                </c:pt>
                <c:pt idx="37">
                  <c:v>42156</c:v>
                </c:pt>
                <c:pt idx="38">
                  <c:v>42163</c:v>
                </c:pt>
                <c:pt idx="39">
                  <c:v>42170</c:v>
                </c:pt>
                <c:pt idx="40">
                  <c:v>42177</c:v>
                </c:pt>
                <c:pt idx="41">
                  <c:v>42184</c:v>
                </c:pt>
                <c:pt idx="42">
                  <c:v>42191</c:v>
                </c:pt>
                <c:pt idx="43">
                  <c:v>42198</c:v>
                </c:pt>
                <c:pt idx="44">
                  <c:v>42205</c:v>
                </c:pt>
                <c:pt idx="45">
                  <c:v>42212</c:v>
                </c:pt>
                <c:pt idx="46">
                  <c:v>42219</c:v>
                </c:pt>
                <c:pt idx="47">
                  <c:v>42226</c:v>
                </c:pt>
                <c:pt idx="48">
                  <c:v>42233</c:v>
                </c:pt>
                <c:pt idx="49">
                  <c:v>42240</c:v>
                </c:pt>
                <c:pt idx="50">
                  <c:v>42247</c:v>
                </c:pt>
                <c:pt idx="51">
                  <c:v>42254</c:v>
                </c:pt>
                <c:pt idx="52">
                  <c:v>42261</c:v>
                </c:pt>
                <c:pt idx="53">
                  <c:v>42268</c:v>
                </c:pt>
                <c:pt idx="54">
                  <c:v>42275</c:v>
                </c:pt>
                <c:pt idx="55">
                  <c:v>42282</c:v>
                </c:pt>
                <c:pt idx="56">
                  <c:v>42289</c:v>
                </c:pt>
                <c:pt idx="57">
                  <c:v>42296</c:v>
                </c:pt>
                <c:pt idx="58">
                  <c:v>42303</c:v>
                </c:pt>
                <c:pt idx="59">
                  <c:v>42310</c:v>
                </c:pt>
                <c:pt idx="60">
                  <c:v>42317</c:v>
                </c:pt>
                <c:pt idx="61">
                  <c:v>42324</c:v>
                </c:pt>
                <c:pt idx="62">
                  <c:v>42331</c:v>
                </c:pt>
                <c:pt idx="63">
                  <c:v>42338</c:v>
                </c:pt>
                <c:pt idx="64">
                  <c:v>42345</c:v>
                </c:pt>
                <c:pt idx="65">
                  <c:v>42352</c:v>
                </c:pt>
                <c:pt idx="66">
                  <c:v>42359</c:v>
                </c:pt>
                <c:pt idx="67">
                  <c:v>42366</c:v>
                </c:pt>
                <c:pt idx="68">
                  <c:v>42373</c:v>
                </c:pt>
                <c:pt idx="69">
                  <c:v>42380</c:v>
                </c:pt>
                <c:pt idx="70">
                  <c:v>42387</c:v>
                </c:pt>
                <c:pt idx="71">
                  <c:v>42394</c:v>
                </c:pt>
                <c:pt idx="72">
                  <c:v>42401</c:v>
                </c:pt>
                <c:pt idx="73">
                  <c:v>42408</c:v>
                </c:pt>
                <c:pt idx="74">
                  <c:v>42415</c:v>
                </c:pt>
                <c:pt idx="75">
                  <c:v>42422</c:v>
                </c:pt>
                <c:pt idx="76">
                  <c:v>42429</c:v>
                </c:pt>
                <c:pt idx="77">
                  <c:v>42436</c:v>
                </c:pt>
                <c:pt idx="78">
                  <c:v>42443</c:v>
                </c:pt>
                <c:pt idx="79">
                  <c:v>42450</c:v>
                </c:pt>
                <c:pt idx="80">
                  <c:v>42457</c:v>
                </c:pt>
                <c:pt idx="81">
                  <c:v>42464</c:v>
                </c:pt>
                <c:pt idx="82">
                  <c:v>42471</c:v>
                </c:pt>
                <c:pt idx="83">
                  <c:v>42478</c:v>
                </c:pt>
                <c:pt idx="84">
                  <c:v>42485</c:v>
                </c:pt>
                <c:pt idx="85">
                  <c:v>42492</c:v>
                </c:pt>
                <c:pt idx="86">
                  <c:v>42499</c:v>
                </c:pt>
                <c:pt idx="87">
                  <c:v>42506</c:v>
                </c:pt>
                <c:pt idx="88">
                  <c:v>42513</c:v>
                </c:pt>
                <c:pt idx="89">
                  <c:v>42520</c:v>
                </c:pt>
                <c:pt idx="90">
                  <c:v>42527</c:v>
                </c:pt>
                <c:pt idx="91">
                  <c:v>42534</c:v>
                </c:pt>
                <c:pt idx="92">
                  <c:v>42541</c:v>
                </c:pt>
                <c:pt idx="93">
                  <c:v>42548</c:v>
                </c:pt>
                <c:pt idx="94">
                  <c:v>42555</c:v>
                </c:pt>
                <c:pt idx="95">
                  <c:v>42562</c:v>
                </c:pt>
                <c:pt idx="96">
                  <c:v>42569</c:v>
                </c:pt>
                <c:pt idx="97">
                  <c:v>42576</c:v>
                </c:pt>
                <c:pt idx="98">
                  <c:v>42583</c:v>
                </c:pt>
                <c:pt idx="99">
                  <c:v>42590</c:v>
                </c:pt>
                <c:pt idx="100">
                  <c:v>42597</c:v>
                </c:pt>
                <c:pt idx="101">
                  <c:v>42604</c:v>
                </c:pt>
                <c:pt idx="102">
                  <c:v>42611</c:v>
                </c:pt>
                <c:pt idx="103">
                  <c:v>42618</c:v>
                </c:pt>
                <c:pt idx="104">
                  <c:v>42625</c:v>
                </c:pt>
                <c:pt idx="105">
                  <c:v>42632</c:v>
                </c:pt>
                <c:pt idx="106">
                  <c:v>42639</c:v>
                </c:pt>
                <c:pt idx="107">
                  <c:v>42646</c:v>
                </c:pt>
                <c:pt idx="108">
                  <c:v>42653</c:v>
                </c:pt>
                <c:pt idx="109">
                  <c:v>42660</c:v>
                </c:pt>
                <c:pt idx="110">
                  <c:v>42667</c:v>
                </c:pt>
                <c:pt idx="111">
                  <c:v>42674</c:v>
                </c:pt>
                <c:pt idx="112">
                  <c:v>42681</c:v>
                </c:pt>
                <c:pt idx="113">
                  <c:v>42688</c:v>
                </c:pt>
                <c:pt idx="114">
                  <c:v>42695</c:v>
                </c:pt>
                <c:pt idx="115">
                  <c:v>42702</c:v>
                </c:pt>
                <c:pt idx="116">
                  <c:v>42709</c:v>
                </c:pt>
                <c:pt idx="117">
                  <c:v>42716</c:v>
                </c:pt>
                <c:pt idx="118">
                  <c:v>42723</c:v>
                </c:pt>
                <c:pt idx="119">
                  <c:v>42730</c:v>
                </c:pt>
                <c:pt idx="120">
                  <c:v>42737</c:v>
                </c:pt>
                <c:pt idx="121">
                  <c:v>42744</c:v>
                </c:pt>
                <c:pt idx="122">
                  <c:v>42751</c:v>
                </c:pt>
                <c:pt idx="123">
                  <c:v>42758</c:v>
                </c:pt>
                <c:pt idx="124">
                  <c:v>42765</c:v>
                </c:pt>
                <c:pt idx="125">
                  <c:v>42772</c:v>
                </c:pt>
                <c:pt idx="126">
                  <c:v>42779</c:v>
                </c:pt>
                <c:pt idx="127">
                  <c:v>42786</c:v>
                </c:pt>
                <c:pt idx="128">
                  <c:v>42793</c:v>
                </c:pt>
                <c:pt idx="129">
                  <c:v>42800</c:v>
                </c:pt>
                <c:pt idx="130">
                  <c:v>42807</c:v>
                </c:pt>
                <c:pt idx="131">
                  <c:v>42814</c:v>
                </c:pt>
                <c:pt idx="132">
                  <c:v>42821</c:v>
                </c:pt>
                <c:pt idx="133">
                  <c:v>42828</c:v>
                </c:pt>
                <c:pt idx="134">
                  <c:v>42835</c:v>
                </c:pt>
                <c:pt idx="135">
                  <c:v>42842</c:v>
                </c:pt>
                <c:pt idx="136">
                  <c:v>42849</c:v>
                </c:pt>
                <c:pt idx="137">
                  <c:v>42856</c:v>
                </c:pt>
                <c:pt idx="138">
                  <c:v>42863</c:v>
                </c:pt>
                <c:pt idx="139">
                  <c:v>42870</c:v>
                </c:pt>
                <c:pt idx="140">
                  <c:v>42877</c:v>
                </c:pt>
                <c:pt idx="141">
                  <c:v>42884</c:v>
                </c:pt>
                <c:pt idx="142">
                  <c:v>42891</c:v>
                </c:pt>
                <c:pt idx="143">
                  <c:v>42898</c:v>
                </c:pt>
                <c:pt idx="144">
                  <c:v>42905</c:v>
                </c:pt>
                <c:pt idx="145">
                  <c:v>42912</c:v>
                </c:pt>
                <c:pt idx="146">
                  <c:v>42919</c:v>
                </c:pt>
                <c:pt idx="147">
                  <c:v>42926</c:v>
                </c:pt>
                <c:pt idx="148">
                  <c:v>42933</c:v>
                </c:pt>
                <c:pt idx="149">
                  <c:v>42940</c:v>
                </c:pt>
                <c:pt idx="150">
                  <c:v>42947</c:v>
                </c:pt>
                <c:pt idx="151">
                  <c:v>42954</c:v>
                </c:pt>
                <c:pt idx="152">
                  <c:v>42961</c:v>
                </c:pt>
                <c:pt idx="153">
                  <c:v>42968</c:v>
                </c:pt>
                <c:pt idx="154">
                  <c:v>42975</c:v>
                </c:pt>
                <c:pt idx="155">
                  <c:v>42982</c:v>
                </c:pt>
                <c:pt idx="156">
                  <c:v>42989</c:v>
                </c:pt>
                <c:pt idx="157">
                  <c:v>42996</c:v>
                </c:pt>
                <c:pt idx="158">
                  <c:v>43003</c:v>
                </c:pt>
                <c:pt idx="159">
                  <c:v>43010</c:v>
                </c:pt>
                <c:pt idx="160">
                  <c:v>43017</c:v>
                </c:pt>
                <c:pt idx="161">
                  <c:v>43024</c:v>
                </c:pt>
                <c:pt idx="162">
                  <c:v>43031</c:v>
                </c:pt>
                <c:pt idx="163">
                  <c:v>43038</c:v>
                </c:pt>
                <c:pt idx="164">
                  <c:v>43045</c:v>
                </c:pt>
                <c:pt idx="165">
                  <c:v>43052</c:v>
                </c:pt>
                <c:pt idx="166">
                  <c:v>43059</c:v>
                </c:pt>
                <c:pt idx="167">
                  <c:v>43066</c:v>
                </c:pt>
                <c:pt idx="168">
                  <c:v>43073</c:v>
                </c:pt>
                <c:pt idx="169">
                  <c:v>43080</c:v>
                </c:pt>
                <c:pt idx="170">
                  <c:v>43087</c:v>
                </c:pt>
                <c:pt idx="171">
                  <c:v>43094</c:v>
                </c:pt>
                <c:pt idx="172">
                  <c:v>43101</c:v>
                </c:pt>
                <c:pt idx="173">
                  <c:v>43108</c:v>
                </c:pt>
                <c:pt idx="174">
                  <c:v>43115</c:v>
                </c:pt>
                <c:pt idx="175">
                  <c:v>43122</c:v>
                </c:pt>
                <c:pt idx="176">
                  <c:v>43129</c:v>
                </c:pt>
                <c:pt idx="177">
                  <c:v>43136</c:v>
                </c:pt>
                <c:pt idx="178">
                  <c:v>43143</c:v>
                </c:pt>
                <c:pt idx="179">
                  <c:v>43150</c:v>
                </c:pt>
                <c:pt idx="180">
                  <c:v>43157</c:v>
                </c:pt>
                <c:pt idx="181">
                  <c:v>43164</c:v>
                </c:pt>
                <c:pt idx="182">
                  <c:v>43171</c:v>
                </c:pt>
                <c:pt idx="183">
                  <c:v>43178</c:v>
                </c:pt>
                <c:pt idx="184">
                  <c:v>43185</c:v>
                </c:pt>
                <c:pt idx="185">
                  <c:v>43192</c:v>
                </c:pt>
                <c:pt idx="186">
                  <c:v>43199</c:v>
                </c:pt>
                <c:pt idx="187">
                  <c:v>43206</c:v>
                </c:pt>
                <c:pt idx="188">
                  <c:v>43213</c:v>
                </c:pt>
                <c:pt idx="189">
                  <c:v>43220</c:v>
                </c:pt>
                <c:pt idx="190">
                  <c:v>43227</c:v>
                </c:pt>
                <c:pt idx="191">
                  <c:v>43234</c:v>
                </c:pt>
                <c:pt idx="192">
                  <c:v>43241</c:v>
                </c:pt>
                <c:pt idx="193">
                  <c:v>43248</c:v>
                </c:pt>
                <c:pt idx="194">
                  <c:v>43255</c:v>
                </c:pt>
                <c:pt idx="195">
                  <c:v>43262</c:v>
                </c:pt>
                <c:pt idx="196">
                  <c:v>43269</c:v>
                </c:pt>
                <c:pt idx="197">
                  <c:v>43276</c:v>
                </c:pt>
                <c:pt idx="198">
                  <c:v>43283</c:v>
                </c:pt>
                <c:pt idx="199">
                  <c:v>43290</c:v>
                </c:pt>
                <c:pt idx="200">
                  <c:v>43297</c:v>
                </c:pt>
                <c:pt idx="201">
                  <c:v>43304</c:v>
                </c:pt>
                <c:pt idx="202">
                  <c:v>43311</c:v>
                </c:pt>
                <c:pt idx="203">
                  <c:v>43318</c:v>
                </c:pt>
                <c:pt idx="204">
                  <c:v>43325</c:v>
                </c:pt>
                <c:pt idx="205">
                  <c:v>43332</c:v>
                </c:pt>
                <c:pt idx="206">
                  <c:v>43339</c:v>
                </c:pt>
                <c:pt idx="207">
                  <c:v>43346</c:v>
                </c:pt>
                <c:pt idx="208">
                  <c:v>43353</c:v>
                </c:pt>
                <c:pt idx="209">
                  <c:v>43360</c:v>
                </c:pt>
                <c:pt idx="210">
                  <c:v>43367</c:v>
                </c:pt>
                <c:pt idx="211">
                  <c:v>43374</c:v>
                </c:pt>
                <c:pt idx="212">
                  <c:v>43381</c:v>
                </c:pt>
                <c:pt idx="213">
                  <c:v>43388</c:v>
                </c:pt>
                <c:pt idx="214">
                  <c:v>43395</c:v>
                </c:pt>
                <c:pt idx="215">
                  <c:v>43402</c:v>
                </c:pt>
                <c:pt idx="216">
                  <c:v>43409</c:v>
                </c:pt>
                <c:pt idx="217">
                  <c:v>43416</c:v>
                </c:pt>
                <c:pt idx="218">
                  <c:v>43423</c:v>
                </c:pt>
                <c:pt idx="219">
                  <c:v>43430</c:v>
                </c:pt>
                <c:pt idx="220">
                  <c:v>43437</c:v>
                </c:pt>
                <c:pt idx="221">
                  <c:v>43444</c:v>
                </c:pt>
                <c:pt idx="222">
                  <c:v>43451</c:v>
                </c:pt>
                <c:pt idx="223">
                  <c:v>43458</c:v>
                </c:pt>
                <c:pt idx="224">
                  <c:v>43465</c:v>
                </c:pt>
                <c:pt idx="225">
                  <c:v>43472</c:v>
                </c:pt>
                <c:pt idx="226">
                  <c:v>43479</c:v>
                </c:pt>
                <c:pt idx="227">
                  <c:v>43486</c:v>
                </c:pt>
                <c:pt idx="228">
                  <c:v>43493</c:v>
                </c:pt>
                <c:pt idx="229">
                  <c:v>43500</c:v>
                </c:pt>
                <c:pt idx="230">
                  <c:v>43507</c:v>
                </c:pt>
                <c:pt idx="231">
                  <c:v>43514</c:v>
                </c:pt>
                <c:pt idx="232">
                  <c:v>43521</c:v>
                </c:pt>
                <c:pt idx="233">
                  <c:v>43528</c:v>
                </c:pt>
                <c:pt idx="234">
                  <c:v>43535</c:v>
                </c:pt>
                <c:pt idx="235">
                  <c:v>43542</c:v>
                </c:pt>
                <c:pt idx="236">
                  <c:v>43549</c:v>
                </c:pt>
                <c:pt idx="237">
                  <c:v>43556</c:v>
                </c:pt>
                <c:pt idx="238">
                  <c:v>43563</c:v>
                </c:pt>
                <c:pt idx="239">
                  <c:v>43570</c:v>
                </c:pt>
                <c:pt idx="240">
                  <c:v>43577</c:v>
                </c:pt>
                <c:pt idx="241">
                  <c:v>43584</c:v>
                </c:pt>
                <c:pt idx="242">
                  <c:v>43591</c:v>
                </c:pt>
                <c:pt idx="243">
                  <c:v>43598</c:v>
                </c:pt>
                <c:pt idx="244">
                  <c:v>43605</c:v>
                </c:pt>
                <c:pt idx="245">
                  <c:v>43612</c:v>
                </c:pt>
                <c:pt idx="246">
                  <c:v>43619</c:v>
                </c:pt>
                <c:pt idx="247">
                  <c:v>43626</c:v>
                </c:pt>
                <c:pt idx="248">
                  <c:v>43633</c:v>
                </c:pt>
                <c:pt idx="249">
                  <c:v>43640</c:v>
                </c:pt>
                <c:pt idx="250">
                  <c:v>43647</c:v>
                </c:pt>
                <c:pt idx="251">
                  <c:v>43654</c:v>
                </c:pt>
                <c:pt idx="252">
                  <c:v>43661</c:v>
                </c:pt>
                <c:pt idx="253">
                  <c:v>43668</c:v>
                </c:pt>
                <c:pt idx="254">
                  <c:v>43675</c:v>
                </c:pt>
                <c:pt idx="255">
                  <c:v>43682</c:v>
                </c:pt>
                <c:pt idx="256">
                  <c:v>43689</c:v>
                </c:pt>
                <c:pt idx="257">
                  <c:v>43696</c:v>
                </c:pt>
                <c:pt idx="258">
                  <c:v>43703</c:v>
                </c:pt>
                <c:pt idx="259">
                  <c:v>43710</c:v>
                </c:pt>
                <c:pt idx="260">
                  <c:v>43717</c:v>
                </c:pt>
                <c:pt idx="261">
                  <c:v>43724</c:v>
                </c:pt>
                <c:pt idx="262">
                  <c:v>43731</c:v>
                </c:pt>
                <c:pt idx="263">
                  <c:v>43738</c:v>
                </c:pt>
                <c:pt idx="264">
                  <c:v>43745</c:v>
                </c:pt>
                <c:pt idx="265">
                  <c:v>43752</c:v>
                </c:pt>
                <c:pt idx="266">
                  <c:v>43759</c:v>
                </c:pt>
                <c:pt idx="267">
                  <c:v>43766</c:v>
                </c:pt>
                <c:pt idx="268">
                  <c:v>43773</c:v>
                </c:pt>
                <c:pt idx="269">
                  <c:v>43780</c:v>
                </c:pt>
                <c:pt idx="270">
                  <c:v>43787</c:v>
                </c:pt>
                <c:pt idx="271">
                  <c:v>43794</c:v>
                </c:pt>
                <c:pt idx="272">
                  <c:v>43801</c:v>
                </c:pt>
                <c:pt idx="273">
                  <c:v>43808</c:v>
                </c:pt>
                <c:pt idx="274">
                  <c:v>43815</c:v>
                </c:pt>
                <c:pt idx="275">
                  <c:v>43822</c:v>
                </c:pt>
                <c:pt idx="276">
                  <c:v>43829</c:v>
                </c:pt>
                <c:pt idx="277">
                  <c:v>43836</c:v>
                </c:pt>
                <c:pt idx="278">
                  <c:v>43843</c:v>
                </c:pt>
                <c:pt idx="279">
                  <c:v>43850</c:v>
                </c:pt>
                <c:pt idx="280">
                  <c:v>43857</c:v>
                </c:pt>
                <c:pt idx="281">
                  <c:v>43864</c:v>
                </c:pt>
                <c:pt idx="282">
                  <c:v>43871</c:v>
                </c:pt>
                <c:pt idx="283">
                  <c:v>43878</c:v>
                </c:pt>
                <c:pt idx="284">
                  <c:v>43885</c:v>
                </c:pt>
                <c:pt idx="285">
                  <c:v>43892</c:v>
                </c:pt>
                <c:pt idx="286">
                  <c:v>43899</c:v>
                </c:pt>
                <c:pt idx="287">
                  <c:v>43906</c:v>
                </c:pt>
                <c:pt idx="288">
                  <c:v>43913</c:v>
                </c:pt>
                <c:pt idx="289">
                  <c:v>43920</c:v>
                </c:pt>
                <c:pt idx="290">
                  <c:v>43927</c:v>
                </c:pt>
                <c:pt idx="291">
                  <c:v>43934</c:v>
                </c:pt>
                <c:pt idx="292">
                  <c:v>43941</c:v>
                </c:pt>
                <c:pt idx="293">
                  <c:v>43948</c:v>
                </c:pt>
                <c:pt idx="294">
                  <c:v>43955</c:v>
                </c:pt>
                <c:pt idx="295">
                  <c:v>43962</c:v>
                </c:pt>
                <c:pt idx="296">
                  <c:v>43969</c:v>
                </c:pt>
                <c:pt idx="297">
                  <c:v>43976</c:v>
                </c:pt>
                <c:pt idx="298">
                  <c:v>43983</c:v>
                </c:pt>
                <c:pt idx="299">
                  <c:v>43990</c:v>
                </c:pt>
                <c:pt idx="300">
                  <c:v>43997</c:v>
                </c:pt>
                <c:pt idx="301">
                  <c:v>44004</c:v>
                </c:pt>
                <c:pt idx="302">
                  <c:v>44011</c:v>
                </c:pt>
                <c:pt idx="303">
                  <c:v>44018</c:v>
                </c:pt>
                <c:pt idx="304">
                  <c:v>44025</c:v>
                </c:pt>
                <c:pt idx="305">
                  <c:v>44032</c:v>
                </c:pt>
                <c:pt idx="306">
                  <c:v>44039</c:v>
                </c:pt>
                <c:pt idx="307">
                  <c:v>44046</c:v>
                </c:pt>
                <c:pt idx="308">
                  <c:v>44053</c:v>
                </c:pt>
                <c:pt idx="309">
                  <c:v>44060</c:v>
                </c:pt>
                <c:pt idx="310">
                  <c:v>44067</c:v>
                </c:pt>
                <c:pt idx="311">
                  <c:v>44074</c:v>
                </c:pt>
                <c:pt idx="312">
                  <c:v>44081</c:v>
                </c:pt>
                <c:pt idx="313">
                  <c:v>44088</c:v>
                </c:pt>
                <c:pt idx="314">
                  <c:v>44095</c:v>
                </c:pt>
                <c:pt idx="315">
                  <c:v>44102</c:v>
                </c:pt>
                <c:pt idx="316">
                  <c:v>44109</c:v>
                </c:pt>
                <c:pt idx="317">
                  <c:v>44116</c:v>
                </c:pt>
                <c:pt idx="318">
                  <c:v>44123</c:v>
                </c:pt>
                <c:pt idx="319">
                  <c:v>44130</c:v>
                </c:pt>
                <c:pt idx="320">
                  <c:v>44137</c:v>
                </c:pt>
                <c:pt idx="321">
                  <c:v>44144</c:v>
                </c:pt>
                <c:pt idx="322">
                  <c:v>44151</c:v>
                </c:pt>
                <c:pt idx="323">
                  <c:v>44158</c:v>
                </c:pt>
                <c:pt idx="324">
                  <c:v>44165</c:v>
                </c:pt>
                <c:pt idx="325">
                  <c:v>44172</c:v>
                </c:pt>
                <c:pt idx="326">
                  <c:v>44179</c:v>
                </c:pt>
                <c:pt idx="327">
                  <c:v>44186</c:v>
                </c:pt>
                <c:pt idx="328">
                  <c:v>44193</c:v>
                </c:pt>
                <c:pt idx="329">
                  <c:v>44200</c:v>
                </c:pt>
                <c:pt idx="330">
                  <c:v>44207</c:v>
                </c:pt>
                <c:pt idx="331">
                  <c:v>44214</c:v>
                </c:pt>
                <c:pt idx="332">
                  <c:v>44221</c:v>
                </c:pt>
                <c:pt idx="333">
                  <c:v>44228</c:v>
                </c:pt>
                <c:pt idx="334">
                  <c:v>44235</c:v>
                </c:pt>
                <c:pt idx="335">
                  <c:v>44242</c:v>
                </c:pt>
                <c:pt idx="336">
                  <c:v>44249</c:v>
                </c:pt>
                <c:pt idx="337">
                  <c:v>44256</c:v>
                </c:pt>
                <c:pt idx="338">
                  <c:v>44263</c:v>
                </c:pt>
                <c:pt idx="339">
                  <c:v>44270</c:v>
                </c:pt>
                <c:pt idx="340">
                  <c:v>44277</c:v>
                </c:pt>
                <c:pt idx="341">
                  <c:v>44284</c:v>
                </c:pt>
                <c:pt idx="342">
                  <c:v>44291</c:v>
                </c:pt>
                <c:pt idx="343">
                  <c:v>44298</c:v>
                </c:pt>
                <c:pt idx="344">
                  <c:v>44305</c:v>
                </c:pt>
                <c:pt idx="345">
                  <c:v>44312</c:v>
                </c:pt>
                <c:pt idx="346">
                  <c:v>44319</c:v>
                </c:pt>
                <c:pt idx="347">
                  <c:v>44326</c:v>
                </c:pt>
                <c:pt idx="348">
                  <c:v>44333</c:v>
                </c:pt>
                <c:pt idx="349">
                  <c:v>44340</c:v>
                </c:pt>
                <c:pt idx="350">
                  <c:v>44347</c:v>
                </c:pt>
                <c:pt idx="351">
                  <c:v>44354</c:v>
                </c:pt>
                <c:pt idx="352">
                  <c:v>44361</c:v>
                </c:pt>
                <c:pt idx="353">
                  <c:v>44368</c:v>
                </c:pt>
                <c:pt idx="354">
                  <c:v>44375</c:v>
                </c:pt>
                <c:pt idx="355">
                  <c:v>44382</c:v>
                </c:pt>
                <c:pt idx="356">
                  <c:v>44389</c:v>
                </c:pt>
                <c:pt idx="357">
                  <c:v>44396</c:v>
                </c:pt>
                <c:pt idx="358">
                  <c:v>44403</c:v>
                </c:pt>
                <c:pt idx="359">
                  <c:v>44410</c:v>
                </c:pt>
                <c:pt idx="360">
                  <c:v>44417</c:v>
                </c:pt>
                <c:pt idx="361">
                  <c:v>44424</c:v>
                </c:pt>
                <c:pt idx="362">
                  <c:v>44431</c:v>
                </c:pt>
                <c:pt idx="363">
                  <c:v>44438</c:v>
                </c:pt>
                <c:pt idx="364">
                  <c:v>44445</c:v>
                </c:pt>
                <c:pt idx="365">
                  <c:v>44452</c:v>
                </c:pt>
                <c:pt idx="366">
                  <c:v>44459</c:v>
                </c:pt>
                <c:pt idx="367">
                  <c:v>44466</c:v>
                </c:pt>
                <c:pt idx="368">
                  <c:v>44473</c:v>
                </c:pt>
                <c:pt idx="369">
                  <c:v>44480</c:v>
                </c:pt>
                <c:pt idx="370">
                  <c:v>44487</c:v>
                </c:pt>
                <c:pt idx="371">
                  <c:v>44494</c:v>
                </c:pt>
                <c:pt idx="372">
                  <c:v>44501</c:v>
                </c:pt>
                <c:pt idx="373">
                  <c:v>44508</c:v>
                </c:pt>
                <c:pt idx="374">
                  <c:v>44515</c:v>
                </c:pt>
                <c:pt idx="375">
                  <c:v>44522</c:v>
                </c:pt>
                <c:pt idx="376">
                  <c:v>44529</c:v>
                </c:pt>
                <c:pt idx="377">
                  <c:v>44536</c:v>
                </c:pt>
                <c:pt idx="378">
                  <c:v>44543</c:v>
                </c:pt>
                <c:pt idx="379">
                  <c:v>44550</c:v>
                </c:pt>
                <c:pt idx="380">
                  <c:v>44557</c:v>
                </c:pt>
                <c:pt idx="381">
                  <c:v>44564</c:v>
                </c:pt>
                <c:pt idx="382">
                  <c:v>44571</c:v>
                </c:pt>
                <c:pt idx="383">
                  <c:v>44578</c:v>
                </c:pt>
                <c:pt idx="384">
                  <c:v>44585</c:v>
                </c:pt>
                <c:pt idx="385">
                  <c:v>44592</c:v>
                </c:pt>
                <c:pt idx="386">
                  <c:v>44599</c:v>
                </c:pt>
                <c:pt idx="387">
                  <c:v>44606</c:v>
                </c:pt>
                <c:pt idx="388">
                  <c:v>44613</c:v>
                </c:pt>
                <c:pt idx="389">
                  <c:v>44620</c:v>
                </c:pt>
                <c:pt idx="390">
                  <c:v>44627</c:v>
                </c:pt>
                <c:pt idx="391">
                  <c:v>44634</c:v>
                </c:pt>
                <c:pt idx="392">
                  <c:v>44641</c:v>
                </c:pt>
                <c:pt idx="393">
                  <c:v>44648</c:v>
                </c:pt>
                <c:pt idx="394">
                  <c:v>44655</c:v>
                </c:pt>
                <c:pt idx="395">
                  <c:v>44662</c:v>
                </c:pt>
                <c:pt idx="396">
                  <c:v>44669</c:v>
                </c:pt>
                <c:pt idx="397">
                  <c:v>44676</c:v>
                </c:pt>
                <c:pt idx="398">
                  <c:v>44683</c:v>
                </c:pt>
                <c:pt idx="399">
                  <c:v>44690</c:v>
                </c:pt>
                <c:pt idx="400">
                  <c:v>44697</c:v>
                </c:pt>
                <c:pt idx="401">
                  <c:v>44704</c:v>
                </c:pt>
                <c:pt idx="402">
                  <c:v>44711</c:v>
                </c:pt>
                <c:pt idx="403">
                  <c:v>44718</c:v>
                </c:pt>
                <c:pt idx="404">
                  <c:v>44725</c:v>
                </c:pt>
                <c:pt idx="405">
                  <c:v>44732</c:v>
                </c:pt>
                <c:pt idx="406">
                  <c:v>44739</c:v>
                </c:pt>
                <c:pt idx="407">
                  <c:v>44746</c:v>
                </c:pt>
                <c:pt idx="408">
                  <c:v>44753</c:v>
                </c:pt>
                <c:pt idx="409">
                  <c:v>44760</c:v>
                </c:pt>
                <c:pt idx="410">
                  <c:v>44767</c:v>
                </c:pt>
                <c:pt idx="411">
                  <c:v>44774</c:v>
                </c:pt>
                <c:pt idx="412">
                  <c:v>44781</c:v>
                </c:pt>
                <c:pt idx="413">
                  <c:v>44788</c:v>
                </c:pt>
                <c:pt idx="414">
                  <c:v>44795</c:v>
                </c:pt>
                <c:pt idx="415">
                  <c:v>44802</c:v>
                </c:pt>
                <c:pt idx="416">
                  <c:v>44809</c:v>
                </c:pt>
                <c:pt idx="417">
                  <c:v>44816</c:v>
                </c:pt>
                <c:pt idx="418">
                  <c:v>44823</c:v>
                </c:pt>
                <c:pt idx="419">
                  <c:v>44830</c:v>
                </c:pt>
                <c:pt idx="420">
                  <c:v>44837</c:v>
                </c:pt>
                <c:pt idx="421">
                  <c:v>44844</c:v>
                </c:pt>
                <c:pt idx="422">
                  <c:v>44851</c:v>
                </c:pt>
                <c:pt idx="423">
                  <c:v>44858</c:v>
                </c:pt>
                <c:pt idx="424">
                  <c:v>44865</c:v>
                </c:pt>
                <c:pt idx="425">
                  <c:v>44872</c:v>
                </c:pt>
                <c:pt idx="426">
                  <c:v>44879</c:v>
                </c:pt>
                <c:pt idx="427">
                  <c:v>44886</c:v>
                </c:pt>
                <c:pt idx="428">
                  <c:v>44893</c:v>
                </c:pt>
                <c:pt idx="429">
                  <c:v>44900</c:v>
                </c:pt>
                <c:pt idx="430">
                  <c:v>44907</c:v>
                </c:pt>
                <c:pt idx="431">
                  <c:v>44914</c:v>
                </c:pt>
                <c:pt idx="432">
                  <c:v>44921</c:v>
                </c:pt>
                <c:pt idx="433">
                  <c:v>44928</c:v>
                </c:pt>
                <c:pt idx="434">
                  <c:v>44935</c:v>
                </c:pt>
                <c:pt idx="435">
                  <c:v>44942</c:v>
                </c:pt>
                <c:pt idx="436">
                  <c:v>44949</c:v>
                </c:pt>
                <c:pt idx="437">
                  <c:v>44956</c:v>
                </c:pt>
                <c:pt idx="438">
                  <c:v>44963</c:v>
                </c:pt>
                <c:pt idx="439">
                  <c:v>44970</c:v>
                </c:pt>
                <c:pt idx="440">
                  <c:v>44977</c:v>
                </c:pt>
                <c:pt idx="441">
                  <c:v>44984</c:v>
                </c:pt>
                <c:pt idx="442">
                  <c:v>44991</c:v>
                </c:pt>
                <c:pt idx="443">
                  <c:v>44998</c:v>
                </c:pt>
                <c:pt idx="444">
                  <c:v>45005</c:v>
                </c:pt>
                <c:pt idx="445">
                  <c:v>45012</c:v>
                </c:pt>
                <c:pt idx="446">
                  <c:v>45019</c:v>
                </c:pt>
                <c:pt idx="447">
                  <c:v>45026</c:v>
                </c:pt>
                <c:pt idx="448">
                  <c:v>45033</c:v>
                </c:pt>
                <c:pt idx="449">
                  <c:v>45040</c:v>
                </c:pt>
                <c:pt idx="450">
                  <c:v>45047</c:v>
                </c:pt>
                <c:pt idx="451">
                  <c:v>45054</c:v>
                </c:pt>
                <c:pt idx="452">
                  <c:v>45061</c:v>
                </c:pt>
                <c:pt idx="453">
                  <c:v>45068</c:v>
                </c:pt>
                <c:pt idx="454">
                  <c:v>45075</c:v>
                </c:pt>
                <c:pt idx="455">
                  <c:v>45082</c:v>
                </c:pt>
                <c:pt idx="456">
                  <c:v>45089</c:v>
                </c:pt>
                <c:pt idx="457">
                  <c:v>45096</c:v>
                </c:pt>
                <c:pt idx="458">
                  <c:v>45103</c:v>
                </c:pt>
                <c:pt idx="459">
                  <c:v>45110</c:v>
                </c:pt>
                <c:pt idx="460">
                  <c:v>45117</c:v>
                </c:pt>
                <c:pt idx="461">
                  <c:v>45124</c:v>
                </c:pt>
                <c:pt idx="462">
                  <c:v>45131</c:v>
                </c:pt>
                <c:pt idx="463">
                  <c:v>45138</c:v>
                </c:pt>
                <c:pt idx="464">
                  <c:v>45145</c:v>
                </c:pt>
                <c:pt idx="465">
                  <c:v>45152</c:v>
                </c:pt>
                <c:pt idx="466">
                  <c:v>45159</c:v>
                </c:pt>
                <c:pt idx="467">
                  <c:v>45166</c:v>
                </c:pt>
                <c:pt idx="468">
                  <c:v>45173</c:v>
                </c:pt>
                <c:pt idx="469">
                  <c:v>45180</c:v>
                </c:pt>
                <c:pt idx="470">
                  <c:v>45187</c:v>
                </c:pt>
                <c:pt idx="471">
                  <c:v>45194</c:v>
                </c:pt>
                <c:pt idx="472">
                  <c:v>45201</c:v>
                </c:pt>
                <c:pt idx="473">
                  <c:v>45208</c:v>
                </c:pt>
                <c:pt idx="474">
                  <c:v>45215</c:v>
                </c:pt>
                <c:pt idx="475">
                  <c:v>45222</c:v>
                </c:pt>
                <c:pt idx="476">
                  <c:v>45229</c:v>
                </c:pt>
                <c:pt idx="477">
                  <c:v>45236</c:v>
                </c:pt>
                <c:pt idx="478">
                  <c:v>45243</c:v>
                </c:pt>
                <c:pt idx="479">
                  <c:v>45250</c:v>
                </c:pt>
                <c:pt idx="480">
                  <c:v>45257</c:v>
                </c:pt>
                <c:pt idx="481">
                  <c:v>45264</c:v>
                </c:pt>
                <c:pt idx="482">
                  <c:v>45271</c:v>
                </c:pt>
                <c:pt idx="483">
                  <c:v>45278</c:v>
                </c:pt>
                <c:pt idx="484">
                  <c:v>45285</c:v>
                </c:pt>
                <c:pt idx="485">
                  <c:v>45292</c:v>
                </c:pt>
                <c:pt idx="486">
                  <c:v>45299</c:v>
                </c:pt>
                <c:pt idx="487">
                  <c:v>45306</c:v>
                </c:pt>
                <c:pt idx="488">
                  <c:v>45313</c:v>
                </c:pt>
                <c:pt idx="489">
                  <c:v>45320</c:v>
                </c:pt>
                <c:pt idx="490">
                  <c:v>45327</c:v>
                </c:pt>
                <c:pt idx="491">
                  <c:v>45334</c:v>
                </c:pt>
                <c:pt idx="492">
                  <c:v>45341</c:v>
                </c:pt>
                <c:pt idx="493">
                  <c:v>45348</c:v>
                </c:pt>
                <c:pt idx="494">
                  <c:v>45355</c:v>
                </c:pt>
                <c:pt idx="495">
                  <c:v>45362</c:v>
                </c:pt>
                <c:pt idx="496">
                  <c:v>45369</c:v>
                </c:pt>
                <c:pt idx="497">
                  <c:v>45376</c:v>
                </c:pt>
                <c:pt idx="498">
                  <c:v>45383</c:v>
                </c:pt>
                <c:pt idx="499">
                  <c:v>45390</c:v>
                </c:pt>
                <c:pt idx="500">
                  <c:v>45397</c:v>
                </c:pt>
                <c:pt idx="501">
                  <c:v>45404</c:v>
                </c:pt>
                <c:pt idx="502">
                  <c:v>45411</c:v>
                </c:pt>
                <c:pt idx="503">
                  <c:v>45418</c:v>
                </c:pt>
                <c:pt idx="504">
                  <c:v>45425</c:v>
                </c:pt>
                <c:pt idx="505">
                  <c:v>45432</c:v>
                </c:pt>
                <c:pt idx="506">
                  <c:v>45439</c:v>
                </c:pt>
                <c:pt idx="507">
                  <c:v>45446</c:v>
                </c:pt>
                <c:pt idx="508">
                  <c:v>45453</c:v>
                </c:pt>
                <c:pt idx="509">
                  <c:v>45460</c:v>
                </c:pt>
                <c:pt idx="510">
                  <c:v>45467</c:v>
                </c:pt>
                <c:pt idx="511">
                  <c:v>45474</c:v>
                </c:pt>
                <c:pt idx="512">
                  <c:v>45481</c:v>
                </c:pt>
                <c:pt idx="513">
                  <c:v>45488</c:v>
                </c:pt>
                <c:pt idx="514">
                  <c:v>45495</c:v>
                </c:pt>
                <c:pt idx="515">
                  <c:v>45502</c:v>
                </c:pt>
                <c:pt idx="516">
                  <c:v>45509</c:v>
                </c:pt>
                <c:pt idx="517">
                  <c:v>45516</c:v>
                </c:pt>
                <c:pt idx="518">
                  <c:v>45523</c:v>
                </c:pt>
                <c:pt idx="519">
                  <c:v>45530</c:v>
                </c:pt>
                <c:pt idx="520">
                  <c:v>45537</c:v>
                </c:pt>
                <c:pt idx="521">
                  <c:v>45544</c:v>
                </c:pt>
                <c:pt idx="522">
                  <c:v>45551</c:v>
                </c:pt>
                <c:pt idx="523">
                  <c:v>45558</c:v>
                </c:pt>
                <c:pt idx="524">
                  <c:v>45565</c:v>
                </c:pt>
                <c:pt idx="525">
                  <c:v>45572</c:v>
                </c:pt>
                <c:pt idx="526">
                  <c:v>45579</c:v>
                </c:pt>
                <c:pt idx="527">
                  <c:v>45586</c:v>
                </c:pt>
                <c:pt idx="528">
                  <c:v>45593</c:v>
                </c:pt>
                <c:pt idx="529">
                  <c:v>45600</c:v>
                </c:pt>
                <c:pt idx="530">
                  <c:v>45607</c:v>
                </c:pt>
                <c:pt idx="531">
                  <c:v>45614</c:v>
                </c:pt>
                <c:pt idx="532">
                  <c:v>45621</c:v>
                </c:pt>
                <c:pt idx="533">
                  <c:v>45628</c:v>
                </c:pt>
                <c:pt idx="534">
                  <c:v>45635</c:v>
                </c:pt>
                <c:pt idx="535">
                  <c:v>45642</c:v>
                </c:pt>
                <c:pt idx="536">
                  <c:v>45649</c:v>
                </c:pt>
                <c:pt idx="537">
                  <c:v>45656</c:v>
                </c:pt>
                <c:pt idx="538">
                  <c:v>45663</c:v>
                </c:pt>
                <c:pt idx="539">
                  <c:v>45670</c:v>
                </c:pt>
                <c:pt idx="540">
                  <c:v>45677</c:v>
                </c:pt>
                <c:pt idx="541">
                  <c:v>45684</c:v>
                </c:pt>
                <c:pt idx="542">
                  <c:v>45691</c:v>
                </c:pt>
                <c:pt idx="543">
                  <c:v>45698</c:v>
                </c:pt>
                <c:pt idx="544">
                  <c:v>45705</c:v>
                </c:pt>
                <c:pt idx="545">
                  <c:v>45712</c:v>
                </c:pt>
                <c:pt idx="546">
                  <c:v>45719</c:v>
                </c:pt>
                <c:pt idx="547">
                  <c:v>45726</c:v>
                </c:pt>
                <c:pt idx="548">
                  <c:v>45733</c:v>
                </c:pt>
                <c:pt idx="549">
                  <c:v>45740</c:v>
                </c:pt>
                <c:pt idx="550">
                  <c:v>45747</c:v>
                </c:pt>
                <c:pt idx="551">
                  <c:v>45754</c:v>
                </c:pt>
                <c:pt idx="552">
                  <c:v>45761</c:v>
                </c:pt>
                <c:pt idx="553">
                  <c:v>45768</c:v>
                </c:pt>
                <c:pt idx="554">
                  <c:v>45775</c:v>
                </c:pt>
                <c:pt idx="555">
                  <c:v>45782</c:v>
                </c:pt>
                <c:pt idx="556">
                  <c:v>45789</c:v>
                </c:pt>
                <c:pt idx="557">
                  <c:v>45796</c:v>
                </c:pt>
                <c:pt idx="558">
                  <c:v>45803</c:v>
                </c:pt>
                <c:pt idx="559">
                  <c:v>45810</c:v>
                </c:pt>
                <c:pt idx="560">
                  <c:v>45817</c:v>
                </c:pt>
                <c:pt idx="561">
                  <c:v>45824</c:v>
                </c:pt>
                <c:pt idx="562">
                  <c:v>45831</c:v>
                </c:pt>
                <c:pt idx="563">
                  <c:v>45838</c:v>
                </c:pt>
                <c:pt idx="564">
                  <c:v>45845</c:v>
                </c:pt>
                <c:pt idx="565">
                  <c:v>45852</c:v>
                </c:pt>
                <c:pt idx="566">
                  <c:v>45859</c:v>
                </c:pt>
                <c:pt idx="567">
                  <c:v>45866</c:v>
                </c:pt>
                <c:pt idx="568">
                  <c:v>45873</c:v>
                </c:pt>
                <c:pt idx="569">
                  <c:v>45880</c:v>
                </c:pt>
                <c:pt idx="570">
                  <c:v>45887</c:v>
                </c:pt>
                <c:pt idx="571">
                  <c:v>45894</c:v>
                </c:pt>
                <c:pt idx="572">
                  <c:v>45901</c:v>
                </c:pt>
                <c:pt idx="573">
                  <c:v>45908</c:v>
                </c:pt>
                <c:pt idx="574">
                  <c:v>45915</c:v>
                </c:pt>
                <c:pt idx="575">
                  <c:v>45922</c:v>
                </c:pt>
                <c:pt idx="576">
                  <c:v>45929</c:v>
                </c:pt>
              </c:numCache>
            </c:numRef>
          </c:cat>
          <c:val>
            <c:numRef>
              <c:f>'weekly price'!$R$2:$R$578</c:f>
              <c:numCache>
                <c:formatCode>"$"#,##0.00</c:formatCode>
                <c:ptCount val="577"/>
                <c:pt idx="1">
                  <c:v>0</c:v>
                </c:pt>
                <c:pt idx="2">
                  <c:v>446.28618615109355</c:v>
                </c:pt>
                <c:pt idx="3">
                  <c:v>431.31785813320585</c:v>
                </c:pt>
                <c:pt idx="4">
                  <c:v>571.71438627078328</c:v>
                </c:pt>
                <c:pt idx="5">
                  <c:v>548.94891326921106</c:v>
                </c:pt>
                <c:pt idx="6">
                  <c:v>533.63227509787328</c:v>
                </c:pt>
                <c:pt idx="7">
                  <c:v>516.58903555603706</c:v>
                </c:pt>
                <c:pt idx="8">
                  <c:v>524.47563474397919</c:v>
                </c:pt>
                <c:pt idx="9">
                  <c:v>522.31025809714617</c:v>
                </c:pt>
                <c:pt idx="10">
                  <c:v>515.58165330292502</c:v>
                </c:pt>
                <c:pt idx="11">
                  <c:v>509.19785878691113</c:v>
                </c:pt>
                <c:pt idx="12">
                  <c:v>503.46349794488731</c:v>
                </c:pt>
                <c:pt idx="13">
                  <c:v>496.75384654643454</c:v>
                </c:pt>
                <c:pt idx="14">
                  <c:v>488.59303848911884</c:v>
                </c:pt>
                <c:pt idx="15">
                  <c:v>486.65035713220021</c:v>
                </c:pt>
                <c:pt idx="16">
                  <c:v>483.17566569202756</c:v>
                </c:pt>
                <c:pt idx="17">
                  <c:v>471.79665943196034</c:v>
                </c:pt>
                <c:pt idx="18">
                  <c:v>419.7873393390351</c:v>
                </c:pt>
                <c:pt idx="19">
                  <c:v>453.66653245598059</c:v>
                </c:pt>
                <c:pt idx="20">
                  <c:v>440.55925877762456</c:v>
                </c:pt>
                <c:pt idx="21">
                  <c:v>430.80865067329</c:v>
                </c:pt>
                <c:pt idx="22">
                  <c:v>412.90737950285535</c:v>
                </c:pt>
                <c:pt idx="23">
                  <c:v>394.81573483988234</c:v>
                </c:pt>
                <c:pt idx="24">
                  <c:v>396.54987335660473</c:v>
                </c:pt>
                <c:pt idx="25">
                  <c:v>392.57394100833</c:v>
                </c:pt>
                <c:pt idx="26">
                  <c:v>391.60770148844261</c:v>
                </c:pt>
                <c:pt idx="27">
                  <c:v>387.26361860026213</c:v>
                </c:pt>
                <c:pt idx="28">
                  <c:v>380.08258927004204</c:v>
                </c:pt>
                <c:pt idx="29">
                  <c:v>376.91325985209858</c:v>
                </c:pt>
                <c:pt idx="30">
                  <c:v>373.15792640481368</c:v>
                </c:pt>
                <c:pt idx="31">
                  <c:v>369.50680685694181</c:v>
                </c:pt>
                <c:pt idx="32">
                  <c:v>361.38207235072542</c:v>
                </c:pt>
                <c:pt idx="33">
                  <c:v>330.67555022277998</c:v>
                </c:pt>
                <c:pt idx="34">
                  <c:v>324.22182058837564</c:v>
                </c:pt>
                <c:pt idx="35">
                  <c:v>322.95572881150298</c:v>
                </c:pt>
                <c:pt idx="36">
                  <c:v>322.19390294221404</c:v>
                </c:pt>
                <c:pt idx="37">
                  <c:v>323.3956307521986</c:v>
                </c:pt>
                <c:pt idx="38">
                  <c:v>303.8149116663256</c:v>
                </c:pt>
                <c:pt idx="39">
                  <c:v>296.3550253213636</c:v>
                </c:pt>
                <c:pt idx="40">
                  <c:v>291.61917760899939</c:v>
                </c:pt>
                <c:pt idx="41">
                  <c:v>286.53451531751557</c:v>
                </c:pt>
                <c:pt idx="42">
                  <c:v>286.96317284434878</c:v>
                </c:pt>
                <c:pt idx="43">
                  <c:v>299.72255492240606</c:v>
                </c:pt>
                <c:pt idx="44">
                  <c:v>293.40189110581571</c:v>
                </c:pt>
                <c:pt idx="45">
                  <c:v>299.74804873881391</c:v>
                </c:pt>
                <c:pt idx="46">
                  <c:v>307.24569519844516</c:v>
                </c:pt>
                <c:pt idx="47">
                  <c:v>312.82394284745385</c:v>
                </c:pt>
                <c:pt idx="48">
                  <c:v>314.98000220002842</c:v>
                </c:pt>
                <c:pt idx="49">
                  <c:v>332.1601073130754</c:v>
                </c:pt>
                <c:pt idx="50">
                  <c:v>334.31538685070552</c:v>
                </c:pt>
                <c:pt idx="51">
                  <c:v>333.59244460209692</c:v>
                </c:pt>
                <c:pt idx="52">
                  <c:v>334.31118354087357</c:v>
                </c:pt>
                <c:pt idx="53">
                  <c:v>333.23421067650179</c:v>
                </c:pt>
                <c:pt idx="54">
                  <c:v>333.91003970017186</c:v>
                </c:pt>
                <c:pt idx="55">
                  <c:v>332.00466202529657</c:v>
                </c:pt>
                <c:pt idx="56">
                  <c:v>328.86132717932156</c:v>
                </c:pt>
                <c:pt idx="57">
                  <c:v>321.69301338264688</c:v>
                </c:pt>
                <c:pt idx="58">
                  <c:v>325.08964820692205</c:v>
                </c:pt>
                <c:pt idx="59">
                  <c:v>372.21784520437427</c:v>
                </c:pt>
                <c:pt idx="60">
                  <c:v>414.90810186738867</c:v>
                </c:pt>
                <c:pt idx="61">
                  <c:v>431.14489059516973</c:v>
                </c:pt>
                <c:pt idx="62">
                  <c:v>436.27116199258893</c:v>
                </c:pt>
                <c:pt idx="63">
                  <c:v>439.59265261713227</c:v>
                </c:pt>
                <c:pt idx="64">
                  <c:v>456.62153888226675</c:v>
                </c:pt>
                <c:pt idx="65">
                  <c:v>482.99925608516554</c:v>
                </c:pt>
                <c:pt idx="66">
                  <c:v>499.51806087868289</c:v>
                </c:pt>
                <c:pt idx="67">
                  <c:v>512.82405043850315</c:v>
                </c:pt>
                <c:pt idx="68">
                  <c:v>522.48037578331696</c:v>
                </c:pt>
                <c:pt idx="69">
                  <c:v>531.76188960489469</c:v>
                </c:pt>
                <c:pt idx="70">
                  <c:v>556.22432420633163</c:v>
                </c:pt>
                <c:pt idx="71">
                  <c:v>561.59694302793457</c:v>
                </c:pt>
                <c:pt idx="72">
                  <c:v>566.97000038036401</c:v>
                </c:pt>
                <c:pt idx="73">
                  <c:v>526.24547225414892</c:v>
                </c:pt>
                <c:pt idx="74">
                  <c:v>532.22707821959057</c:v>
                </c:pt>
                <c:pt idx="75">
                  <c:v>533.14666666122127</c:v>
                </c:pt>
                <c:pt idx="76">
                  <c:v>539.86054518887136</c:v>
                </c:pt>
                <c:pt idx="77">
                  <c:v>527.00420887929931</c:v>
                </c:pt>
                <c:pt idx="78">
                  <c:v>527.07468386772575</c:v>
                </c:pt>
                <c:pt idx="79">
                  <c:v>509.5670928734977</c:v>
                </c:pt>
                <c:pt idx="80">
                  <c:v>508.60736511666198</c:v>
                </c:pt>
                <c:pt idx="81">
                  <c:v>506.93281869297067</c:v>
                </c:pt>
                <c:pt idx="82">
                  <c:v>505.81612254509196</c:v>
                </c:pt>
                <c:pt idx="83">
                  <c:v>503.70337632413009</c:v>
                </c:pt>
                <c:pt idx="84">
                  <c:v>490.98605520769291</c:v>
                </c:pt>
                <c:pt idx="85">
                  <c:v>500.11106458682622</c:v>
                </c:pt>
                <c:pt idx="86">
                  <c:v>501.60314659540035</c:v>
                </c:pt>
                <c:pt idx="87">
                  <c:v>508.12027369930371</c:v>
                </c:pt>
                <c:pt idx="88">
                  <c:v>507.62801439660325</c:v>
                </c:pt>
                <c:pt idx="89">
                  <c:v>556.96535378301121</c:v>
                </c:pt>
                <c:pt idx="90">
                  <c:v>580.84312984096823</c:v>
                </c:pt>
                <c:pt idx="91">
                  <c:v>641.60714194277648</c:v>
                </c:pt>
                <c:pt idx="92">
                  <c:v>706.54074730471018</c:v>
                </c:pt>
                <c:pt idx="93">
                  <c:v>758.06796944296093</c:v>
                </c:pt>
                <c:pt idx="94">
                  <c:v>781.59800980518082</c:v>
                </c:pt>
                <c:pt idx="95">
                  <c:v>804.45132407053973</c:v>
                </c:pt>
                <c:pt idx="96">
                  <c:v>820.04763339505701</c:v>
                </c:pt>
                <c:pt idx="97">
                  <c:v>836.5284746524743</c:v>
                </c:pt>
                <c:pt idx="98">
                  <c:v>851.59783490151176</c:v>
                </c:pt>
                <c:pt idx="99">
                  <c:v>855.97398604022226</c:v>
                </c:pt>
                <c:pt idx="100">
                  <c:v>864.00377399674448</c:v>
                </c:pt>
                <c:pt idx="101">
                  <c:v>868.01412978229951</c:v>
                </c:pt>
                <c:pt idx="102">
                  <c:v>874.22470252463484</c:v>
                </c:pt>
                <c:pt idx="103">
                  <c:v>843.42300950367746</c:v>
                </c:pt>
                <c:pt idx="104">
                  <c:v>835.17482401621635</c:v>
                </c:pt>
                <c:pt idx="105">
                  <c:v>759.24812049409229</c:v>
                </c:pt>
                <c:pt idx="106">
                  <c:v>739.73798328275268</c:v>
                </c:pt>
                <c:pt idx="107">
                  <c:v>716.20074458857607</c:v>
                </c:pt>
                <c:pt idx="108">
                  <c:v>703.31046414556806</c:v>
                </c:pt>
                <c:pt idx="109">
                  <c:v>698.95601507676736</c:v>
                </c:pt>
                <c:pt idx="110">
                  <c:v>691.58989291994783</c:v>
                </c:pt>
                <c:pt idx="111">
                  <c:v>707.69531831894255</c:v>
                </c:pt>
                <c:pt idx="112">
                  <c:v>700.14793033843318</c:v>
                </c:pt>
                <c:pt idx="113">
                  <c:v>708.90053472996362</c:v>
                </c:pt>
                <c:pt idx="114">
                  <c:v>716.65949732680826</c:v>
                </c:pt>
                <c:pt idx="115">
                  <c:v>728.47593558126562</c:v>
                </c:pt>
                <c:pt idx="116">
                  <c:v>738.35402346636351</c:v>
                </c:pt>
                <c:pt idx="117">
                  <c:v>748.14253276026591</c:v>
                </c:pt>
                <c:pt idx="118">
                  <c:v>760.97493040681559</c:v>
                </c:pt>
                <c:pt idx="119">
                  <c:v>845.92420283632396</c:v>
                </c:pt>
                <c:pt idx="120">
                  <c:v>916.47969797515157</c:v>
                </c:pt>
                <c:pt idx="121">
                  <c:v>1001.3349252694759</c:v>
                </c:pt>
                <c:pt idx="122">
                  <c:v>1033.951325536787</c:v>
                </c:pt>
                <c:pt idx="123">
                  <c:v>1064.7208909183405</c:v>
                </c:pt>
                <c:pt idx="124">
                  <c:v>1081.1697970474045</c:v>
                </c:pt>
                <c:pt idx="125">
                  <c:v>1119.0569428640074</c:v>
                </c:pt>
                <c:pt idx="126">
                  <c:v>1151.5372729321466</c:v>
                </c:pt>
                <c:pt idx="127">
                  <c:v>1181.4453430778758</c:v>
                </c:pt>
                <c:pt idx="128">
                  <c:v>1234.3659350293117</c:v>
                </c:pt>
                <c:pt idx="129">
                  <c:v>1289.8560628239834</c:v>
                </c:pt>
                <c:pt idx="130">
                  <c:v>1354.5691092393936</c:v>
                </c:pt>
                <c:pt idx="131">
                  <c:v>1435.9518334228615</c:v>
                </c:pt>
                <c:pt idx="132">
                  <c:v>1446.5415479145258</c:v>
                </c:pt>
                <c:pt idx="133">
                  <c:v>1457.4412100269162</c:v>
                </c:pt>
                <c:pt idx="134">
                  <c:v>1465.845588032081</c:v>
                </c:pt>
                <c:pt idx="135">
                  <c:v>1466.2497787751952</c:v>
                </c:pt>
                <c:pt idx="136">
                  <c:v>1474.9163323451176</c:v>
                </c:pt>
                <c:pt idx="137">
                  <c:v>1540.2527790327979</c:v>
                </c:pt>
                <c:pt idx="138">
                  <c:v>1702.9943049445467</c:v>
                </c:pt>
                <c:pt idx="139">
                  <c:v>1809.3028563960199</c:v>
                </c:pt>
                <c:pt idx="140">
                  <c:v>2029.6739598517245</c:v>
                </c:pt>
                <c:pt idx="141">
                  <c:v>2291.7742012304507</c:v>
                </c:pt>
                <c:pt idx="142">
                  <c:v>2562.9791573606631</c:v>
                </c:pt>
                <c:pt idx="143">
                  <c:v>2776.8252613998784</c:v>
                </c:pt>
                <c:pt idx="144">
                  <c:v>2924.8075527474116</c:v>
                </c:pt>
                <c:pt idx="145">
                  <c:v>2901.5251846900037</c:v>
                </c:pt>
                <c:pt idx="146">
                  <c:v>2969.8232462798096</c:v>
                </c:pt>
                <c:pt idx="147">
                  <c:v>3105.6010018474549</c:v>
                </c:pt>
                <c:pt idx="148">
                  <c:v>3174.1688475547971</c:v>
                </c:pt>
                <c:pt idx="149">
                  <c:v>3361.3619987572838</c:v>
                </c:pt>
                <c:pt idx="150">
                  <c:v>3434.3624126617551</c:v>
                </c:pt>
                <c:pt idx="151">
                  <c:v>3590.6330470995235</c:v>
                </c:pt>
                <c:pt idx="152">
                  <c:v>4023.5559884257104</c:v>
                </c:pt>
                <c:pt idx="153">
                  <c:v>4406.3953496742588</c:v>
                </c:pt>
                <c:pt idx="154">
                  <c:v>4632.3788751084958</c:v>
                </c:pt>
                <c:pt idx="155">
                  <c:v>4928.2899723190412</c:v>
                </c:pt>
                <c:pt idx="156">
                  <c:v>5073.5571715495389</c:v>
                </c:pt>
                <c:pt idx="157">
                  <c:v>5256.7620617103794</c:v>
                </c:pt>
                <c:pt idx="158">
                  <c:v>5402.4263724830807</c:v>
                </c:pt>
                <c:pt idx="159">
                  <c:v>5545.9261172818724</c:v>
                </c:pt>
                <c:pt idx="160">
                  <c:v>5716.9419340257045</c:v>
                </c:pt>
                <c:pt idx="161">
                  <c:v>6021.416587495125</c:v>
                </c:pt>
                <c:pt idx="162">
                  <c:v>6288.7372441951657</c:v>
                </c:pt>
                <c:pt idx="163">
                  <c:v>6440.8635463114797</c:v>
                </c:pt>
                <c:pt idx="164">
                  <c:v>6911.0935674444645</c:v>
                </c:pt>
                <c:pt idx="165">
                  <c:v>7344.001386873666</c:v>
                </c:pt>
                <c:pt idx="166">
                  <c:v>7980.9014053481387</c:v>
                </c:pt>
                <c:pt idx="167">
                  <c:v>8833.5352930800163</c:v>
                </c:pt>
                <c:pt idx="168">
                  <c:v>10459.972751406152</c:v>
                </c:pt>
                <c:pt idx="169">
                  <c:v>15670.131342502566</c:v>
                </c:pt>
                <c:pt idx="170">
                  <c:v>18781.71772774047</c:v>
                </c:pt>
                <c:pt idx="171">
                  <c:v>21315.807688693854</c:v>
                </c:pt>
                <c:pt idx="172">
                  <c:v>21722.691722582804</c:v>
                </c:pt>
                <c:pt idx="173">
                  <c:v>22468.860688404726</c:v>
                </c:pt>
                <c:pt idx="174">
                  <c:v>23075.593150187866</c:v>
                </c:pt>
                <c:pt idx="175">
                  <c:v>23514.351414213819</c:v>
                </c:pt>
                <c:pt idx="176">
                  <c:v>23441.99698000764</c:v>
                </c:pt>
                <c:pt idx="177">
                  <c:v>24746.586024594744</c:v>
                </c:pt>
                <c:pt idx="178">
                  <c:v>25000.525296122614</c:v>
                </c:pt>
                <c:pt idx="179">
                  <c:v>25401.296236675367</c:v>
                </c:pt>
                <c:pt idx="180">
                  <c:v>25140.847789878251</c:v>
                </c:pt>
                <c:pt idx="181">
                  <c:v>25082.941024931413</c:v>
                </c:pt>
                <c:pt idx="182">
                  <c:v>25100.536754892579</c:v>
                </c:pt>
                <c:pt idx="183">
                  <c:v>22193.762617525801</c:v>
                </c:pt>
                <c:pt idx="184">
                  <c:v>20564.170667743751</c:v>
                </c:pt>
                <c:pt idx="185">
                  <c:v>19334.386625064279</c:v>
                </c:pt>
                <c:pt idx="186">
                  <c:v>18645.72565952221</c:v>
                </c:pt>
                <c:pt idx="187">
                  <c:v>17512.666847103526</c:v>
                </c:pt>
                <c:pt idx="188">
                  <c:v>16550.008102863929</c:v>
                </c:pt>
                <c:pt idx="189">
                  <c:v>15874.839966178479</c:v>
                </c:pt>
                <c:pt idx="190">
                  <c:v>15572.649874657136</c:v>
                </c:pt>
                <c:pt idx="191">
                  <c:v>14577.269581445575</c:v>
                </c:pt>
                <c:pt idx="192">
                  <c:v>13731.5005176104</c:v>
                </c:pt>
                <c:pt idx="193">
                  <c:v>12757.986572127498</c:v>
                </c:pt>
                <c:pt idx="194">
                  <c:v>12488.460085581364</c:v>
                </c:pt>
                <c:pt idx="195">
                  <c:v>11813.653788405551</c:v>
                </c:pt>
                <c:pt idx="196">
                  <c:v>11178.199951649995</c:v>
                </c:pt>
                <c:pt idx="197">
                  <c:v>11010.621946170071</c:v>
                </c:pt>
                <c:pt idx="198">
                  <c:v>10953.606259749622</c:v>
                </c:pt>
                <c:pt idx="199">
                  <c:v>10709.799608114638</c:v>
                </c:pt>
                <c:pt idx="200">
                  <c:v>10701.431280016666</c:v>
                </c:pt>
                <c:pt idx="201">
                  <c:v>10450.507452424463</c:v>
                </c:pt>
                <c:pt idx="202">
                  <c:v>10215.18554304371</c:v>
                </c:pt>
                <c:pt idx="203">
                  <c:v>10177.193758250811</c:v>
                </c:pt>
                <c:pt idx="204">
                  <c:v>9834.6804738637675</c:v>
                </c:pt>
                <c:pt idx="205">
                  <c:v>9512.9286439569969</c:v>
                </c:pt>
                <c:pt idx="206">
                  <c:v>9453.1362208322389</c:v>
                </c:pt>
                <c:pt idx="207">
                  <c:v>9236.0493503648631</c:v>
                </c:pt>
                <c:pt idx="208">
                  <c:v>9286.0654477197113</c:v>
                </c:pt>
                <c:pt idx="209">
                  <c:v>9160.5502606565169</c:v>
                </c:pt>
                <c:pt idx="210">
                  <c:v>9173.1733832566133</c:v>
                </c:pt>
                <c:pt idx="211">
                  <c:v>9134.7035362187271</c:v>
                </c:pt>
                <c:pt idx="212">
                  <c:v>9100.8692651725269</c:v>
                </c:pt>
                <c:pt idx="213">
                  <c:v>9092.4782487927478</c:v>
                </c:pt>
                <c:pt idx="214">
                  <c:v>9062.7750245052703</c:v>
                </c:pt>
                <c:pt idx="215">
                  <c:v>8601.7501603768214</c:v>
                </c:pt>
                <c:pt idx="216">
                  <c:v>8348.6587259846801</c:v>
                </c:pt>
                <c:pt idx="217">
                  <c:v>7970.79512655899</c:v>
                </c:pt>
                <c:pt idx="218">
                  <c:v>8449.9353080854526</c:v>
                </c:pt>
                <c:pt idx="219">
                  <c:v>8522.9950248829537</c:v>
                </c:pt>
                <c:pt idx="220">
                  <c:v>8061.5452707591194</c:v>
                </c:pt>
                <c:pt idx="221">
                  <c:v>7590.7082786228066</c:v>
                </c:pt>
                <c:pt idx="222">
                  <c:v>7296.9156708620849</c:v>
                </c:pt>
                <c:pt idx="223">
                  <c:v>7320.2908315631566</c:v>
                </c:pt>
                <c:pt idx="224">
                  <c:v>6986.1050137614502</c:v>
                </c:pt>
                <c:pt idx="225">
                  <c:v>6826.4226618264083</c:v>
                </c:pt>
                <c:pt idx="226">
                  <c:v>6572.1606593108836</c:v>
                </c:pt>
                <c:pt idx="227">
                  <c:v>6313.6195060997088</c:v>
                </c:pt>
                <c:pt idx="228">
                  <c:v>6038.0186234961157</c:v>
                </c:pt>
                <c:pt idx="229">
                  <c:v>5817.5808665444838</c:v>
                </c:pt>
                <c:pt idx="230">
                  <c:v>5612.3049989022848</c:v>
                </c:pt>
                <c:pt idx="231">
                  <c:v>5472.8477842013199</c:v>
                </c:pt>
                <c:pt idx="232">
                  <c:v>5121.6169411941946</c:v>
                </c:pt>
                <c:pt idx="233">
                  <c:v>4795.4919868012903</c:v>
                </c:pt>
                <c:pt idx="234">
                  <c:v>4806.3992560080424</c:v>
                </c:pt>
                <c:pt idx="235">
                  <c:v>4752.7063067686558</c:v>
                </c:pt>
                <c:pt idx="236">
                  <c:v>4791.4798796745599</c:v>
                </c:pt>
                <c:pt idx="237">
                  <c:v>4634.0999583452422</c:v>
                </c:pt>
                <c:pt idx="238">
                  <c:v>5422.6969459915626</c:v>
                </c:pt>
                <c:pt idx="239">
                  <c:v>5590.6526569119342</c:v>
                </c:pt>
                <c:pt idx="240">
                  <c:v>5704.811067379409</c:v>
                </c:pt>
                <c:pt idx="241">
                  <c:v>5877.0028502924797</c:v>
                </c:pt>
                <c:pt idx="242">
                  <c:v>6105.5344675514771</c:v>
                </c:pt>
                <c:pt idx="243">
                  <c:v>7426.5164094093934</c:v>
                </c:pt>
                <c:pt idx="244">
                  <c:v>8174.659579084403</c:v>
                </c:pt>
                <c:pt idx="245">
                  <c:v>8851.371218692706</c:v>
                </c:pt>
                <c:pt idx="246">
                  <c:v>9453.4770160914231</c:v>
                </c:pt>
                <c:pt idx="247">
                  <c:v>9792.5986314771162</c:v>
                </c:pt>
                <c:pt idx="248">
                  <c:v>10372.010234642577</c:v>
                </c:pt>
                <c:pt idx="249">
                  <c:v>11092.520263772654</c:v>
                </c:pt>
                <c:pt idx="250">
                  <c:v>11897.812729764457</c:v>
                </c:pt>
                <c:pt idx="251">
                  <c:v>12768.231751850886</c:v>
                </c:pt>
                <c:pt idx="252">
                  <c:v>13330.675186371398</c:v>
                </c:pt>
                <c:pt idx="253">
                  <c:v>13791.388586392975</c:v>
                </c:pt>
                <c:pt idx="254">
                  <c:v>14246.931855720684</c:v>
                </c:pt>
                <c:pt idx="255">
                  <c:v>14988.524595848301</c:v>
                </c:pt>
                <c:pt idx="256">
                  <c:v>15553.979369991035</c:v>
                </c:pt>
                <c:pt idx="257">
                  <c:v>14701.110736776827</c:v>
                </c:pt>
                <c:pt idx="258">
                  <c:v>15088.999019524939</c:v>
                </c:pt>
                <c:pt idx="259">
                  <c:v>15188.955435981667</c:v>
                </c:pt>
                <c:pt idx="260">
                  <c:v>15354.283675297645</c:v>
                </c:pt>
                <c:pt idx="261">
                  <c:v>15585.064702642561</c:v>
                </c:pt>
                <c:pt idx="262">
                  <c:v>15365.318560086314</c:v>
                </c:pt>
                <c:pt idx="263">
                  <c:v>14902.455136447814</c:v>
                </c:pt>
                <c:pt idx="264">
                  <c:v>14712.882805568581</c:v>
                </c:pt>
                <c:pt idx="265">
                  <c:v>13691.779078585847</c:v>
                </c:pt>
                <c:pt idx="266">
                  <c:v>13252.898381741117</c:v>
                </c:pt>
                <c:pt idx="267">
                  <c:v>13439.117040756117</c:v>
                </c:pt>
                <c:pt idx="268">
                  <c:v>13311.44714877116</c:v>
                </c:pt>
                <c:pt idx="269">
                  <c:v>11893.55903097975</c:v>
                </c:pt>
                <c:pt idx="270">
                  <c:v>11614.082307990337</c:v>
                </c:pt>
                <c:pt idx="271">
                  <c:v>11445.680073997577</c:v>
                </c:pt>
                <c:pt idx="272">
                  <c:v>11192.965405711104</c:v>
                </c:pt>
                <c:pt idx="273">
                  <c:v>10962.88059845214</c:v>
                </c:pt>
                <c:pt idx="274">
                  <c:v>10703.571723726209</c:v>
                </c:pt>
                <c:pt idx="275">
                  <c:v>10592.051347770377</c:v>
                </c:pt>
                <c:pt idx="276">
                  <c:v>10367.05260566246</c:v>
                </c:pt>
                <c:pt idx="277">
                  <c:v>10127.327922770912</c:v>
                </c:pt>
                <c:pt idx="278">
                  <c:v>10166.941795216786</c:v>
                </c:pt>
                <c:pt idx="279">
                  <c:v>10294.623851257071</c:v>
                </c:pt>
                <c:pt idx="280">
                  <c:v>10365.473461750771</c:v>
                </c:pt>
                <c:pt idx="281">
                  <c:v>10091.160961741742</c:v>
                </c:pt>
                <c:pt idx="282">
                  <c:v>10260.569972289482</c:v>
                </c:pt>
                <c:pt idx="283">
                  <c:v>10315.760500709817</c:v>
                </c:pt>
                <c:pt idx="284">
                  <c:v>10396.420160969212</c:v>
                </c:pt>
                <c:pt idx="285">
                  <c:v>10247.797170488371</c:v>
                </c:pt>
                <c:pt idx="286">
                  <c:v>10640.178105119578</c:v>
                </c:pt>
                <c:pt idx="287">
                  <c:v>12123.545990022978</c:v>
                </c:pt>
                <c:pt idx="288">
                  <c:v>12805.568984540963</c:v>
                </c:pt>
                <c:pt idx="289">
                  <c:v>12623.655528882087</c:v>
                </c:pt>
                <c:pt idx="290">
                  <c:v>12732.729313209111</c:v>
                </c:pt>
                <c:pt idx="291">
                  <c:v>12609.262648996126</c:v>
                </c:pt>
                <c:pt idx="292">
                  <c:v>12462.298666131315</c:v>
                </c:pt>
                <c:pt idx="293">
                  <c:v>12489.804589642001</c:v>
                </c:pt>
                <c:pt idx="294">
                  <c:v>12698.713787627523</c:v>
                </c:pt>
                <c:pt idx="295">
                  <c:v>12687.310714802194</c:v>
                </c:pt>
                <c:pt idx="296">
                  <c:v>12832.197912629661</c:v>
                </c:pt>
                <c:pt idx="297">
                  <c:v>12778.753823980784</c:v>
                </c:pt>
                <c:pt idx="298">
                  <c:v>12899.366952056629</c:v>
                </c:pt>
                <c:pt idx="299">
                  <c:v>12881.927083208917</c:v>
                </c:pt>
                <c:pt idx="300">
                  <c:v>12869.568611684788</c:v>
                </c:pt>
                <c:pt idx="301">
                  <c:v>11855.684737436759</c:v>
                </c:pt>
                <c:pt idx="302">
                  <c:v>11409.248071572545</c:v>
                </c:pt>
                <c:pt idx="303">
                  <c:v>11657.360010582892</c:v>
                </c:pt>
                <c:pt idx="304">
                  <c:v>11673.055401408017</c:v>
                </c:pt>
                <c:pt idx="305">
                  <c:v>11832.842206898675</c:v>
                </c:pt>
                <c:pt idx="306">
                  <c:v>12676.487949714061</c:v>
                </c:pt>
                <c:pt idx="307">
                  <c:v>12889.406761581049</c:v>
                </c:pt>
                <c:pt idx="308">
                  <c:v>12969.087630193357</c:v>
                </c:pt>
                <c:pt idx="309">
                  <c:v>13390.185969129921</c:v>
                </c:pt>
                <c:pt idx="310">
                  <c:v>13476.86155611317</c:v>
                </c:pt>
                <c:pt idx="311">
                  <c:v>13606.208423663295</c:v>
                </c:pt>
                <c:pt idx="312">
                  <c:v>13587.523230164828</c:v>
                </c:pt>
                <c:pt idx="313">
                  <c:v>13654.387668034282</c:v>
                </c:pt>
                <c:pt idx="314">
                  <c:v>13720.280777110058</c:v>
                </c:pt>
                <c:pt idx="315">
                  <c:v>13801.729141614867</c:v>
                </c:pt>
                <c:pt idx="316">
                  <c:v>13809.519218290705</c:v>
                </c:pt>
                <c:pt idx="317">
                  <c:v>14044.865621751911</c:v>
                </c:pt>
                <c:pt idx="318">
                  <c:v>14173.817820517525</c:v>
                </c:pt>
                <c:pt idx="319">
                  <c:v>14623.930812871791</c:v>
                </c:pt>
                <c:pt idx="320">
                  <c:v>13958.828578134428</c:v>
                </c:pt>
                <c:pt idx="321">
                  <c:v>14700.119133036</c:v>
                </c:pt>
                <c:pt idx="322">
                  <c:v>15212.605337198329</c:v>
                </c:pt>
                <c:pt idx="323">
                  <c:v>16009.392967074855</c:v>
                </c:pt>
                <c:pt idx="324">
                  <c:v>16704.382320768033</c:v>
                </c:pt>
                <c:pt idx="325">
                  <c:v>17393.431914872104</c:v>
                </c:pt>
                <c:pt idx="326">
                  <c:v>17189.016757401503</c:v>
                </c:pt>
                <c:pt idx="327">
                  <c:v>19146.565323062678</c:v>
                </c:pt>
                <c:pt idx="328">
                  <c:v>21130.501210938666</c:v>
                </c:pt>
                <c:pt idx="329">
                  <c:v>23935.386230401182</c:v>
                </c:pt>
                <c:pt idx="330">
                  <c:v>27461.126553876042</c:v>
                </c:pt>
                <c:pt idx="331">
                  <c:v>30707.09259338017</c:v>
                </c:pt>
                <c:pt idx="332">
                  <c:v>34076.001816768709</c:v>
                </c:pt>
                <c:pt idx="333">
                  <c:v>35981.829171645892</c:v>
                </c:pt>
                <c:pt idx="334">
                  <c:v>42893.245054071835</c:v>
                </c:pt>
                <c:pt idx="335">
                  <c:v>46727.415587956515</c:v>
                </c:pt>
                <c:pt idx="336">
                  <c:v>50406.340655614658</c:v>
                </c:pt>
                <c:pt idx="337">
                  <c:v>54713.892316068988</c:v>
                </c:pt>
                <c:pt idx="338">
                  <c:v>57472.441981321965</c:v>
                </c:pt>
                <c:pt idx="339">
                  <c:v>59889.02947571098</c:v>
                </c:pt>
                <c:pt idx="340">
                  <c:v>62642.229871803836</c:v>
                </c:pt>
                <c:pt idx="341">
                  <c:v>64852.231688261585</c:v>
                </c:pt>
                <c:pt idx="342">
                  <c:v>67093.726573900771</c:v>
                </c:pt>
                <c:pt idx="343">
                  <c:v>68901.232256812596</c:v>
                </c:pt>
                <c:pt idx="344">
                  <c:v>72023.916362151256</c:v>
                </c:pt>
                <c:pt idx="345">
                  <c:v>74385.435294462935</c:v>
                </c:pt>
                <c:pt idx="346">
                  <c:v>75162.222123061336</c:v>
                </c:pt>
                <c:pt idx="347">
                  <c:v>78122.518496170247</c:v>
                </c:pt>
                <c:pt idx="348">
                  <c:v>72239.650175379749</c:v>
                </c:pt>
                <c:pt idx="349">
                  <c:v>71828.561376321668</c:v>
                </c:pt>
                <c:pt idx="350">
                  <c:v>68699.751735122045</c:v>
                </c:pt>
                <c:pt idx="351">
                  <c:v>68100.821644995536</c:v>
                </c:pt>
                <c:pt idx="352">
                  <c:v>70948.593621694701</c:v>
                </c:pt>
                <c:pt idx="353">
                  <c:v>71087.329393104097</c:v>
                </c:pt>
                <c:pt idx="354">
                  <c:v>70214.893437857172</c:v>
                </c:pt>
                <c:pt idx="355">
                  <c:v>67814.743309565529</c:v>
                </c:pt>
                <c:pt idx="356">
                  <c:v>65559.84838202603</c:v>
                </c:pt>
                <c:pt idx="357">
                  <c:v>63012.615527719485</c:v>
                </c:pt>
                <c:pt idx="358">
                  <c:v>63832.178200807182</c:v>
                </c:pt>
                <c:pt idx="359">
                  <c:v>61931.928235288018</c:v>
                </c:pt>
                <c:pt idx="360">
                  <c:v>61730.542346829447</c:v>
                </c:pt>
                <c:pt idx="361">
                  <c:v>59361.011251598</c:v>
                </c:pt>
                <c:pt idx="362">
                  <c:v>57332.372186950088</c:v>
                </c:pt>
                <c:pt idx="363">
                  <c:v>57524.195923529209</c:v>
                </c:pt>
                <c:pt idx="364">
                  <c:v>59607.788368796042</c:v>
                </c:pt>
                <c:pt idx="365">
                  <c:v>61723.197294966019</c:v>
                </c:pt>
                <c:pt idx="366">
                  <c:v>60553.687335667724</c:v>
                </c:pt>
                <c:pt idx="367">
                  <c:v>58669.337114469527</c:v>
                </c:pt>
                <c:pt idx="368">
                  <c:v>61356.034483677722</c:v>
                </c:pt>
                <c:pt idx="369">
                  <c:v>64816.123939901008</c:v>
                </c:pt>
                <c:pt idx="370">
                  <c:v>67560.444636161192</c:v>
                </c:pt>
                <c:pt idx="371">
                  <c:v>69342.42866191316</c:v>
                </c:pt>
                <c:pt idx="372">
                  <c:v>69707.12000571299</c:v>
                </c:pt>
                <c:pt idx="373">
                  <c:v>72641.821218906014</c:v>
                </c:pt>
                <c:pt idx="374">
                  <c:v>73332.59796297428</c:v>
                </c:pt>
                <c:pt idx="375">
                  <c:v>75907.361346002261</c:v>
                </c:pt>
                <c:pt idx="376">
                  <c:v>76386.06446817184</c:v>
                </c:pt>
                <c:pt idx="377">
                  <c:v>77917.738257314762</c:v>
                </c:pt>
                <c:pt idx="378">
                  <c:v>76902.629347309427</c:v>
                </c:pt>
                <c:pt idx="379">
                  <c:v>75498.23127135275</c:v>
                </c:pt>
                <c:pt idx="380">
                  <c:v>76435.178010695934</c:v>
                </c:pt>
                <c:pt idx="381">
                  <c:v>77963.868611678481</c:v>
                </c:pt>
                <c:pt idx="382">
                  <c:v>75621.150764779755</c:v>
                </c:pt>
                <c:pt idx="383">
                  <c:v>71311.639116355742</c:v>
                </c:pt>
                <c:pt idx="384">
                  <c:v>68997.487141563528</c:v>
                </c:pt>
                <c:pt idx="385">
                  <c:v>67283.579410599137</c:v>
                </c:pt>
                <c:pt idx="386">
                  <c:v>68233.631363373221</c:v>
                </c:pt>
                <c:pt idx="387">
                  <c:v>64399.436560976661</c:v>
                </c:pt>
                <c:pt idx="388">
                  <c:v>62516.0900217905</c:v>
                </c:pt>
                <c:pt idx="389">
                  <c:v>63047.584133753029</c:v>
                </c:pt>
                <c:pt idx="390">
                  <c:v>61328.832047683267</c:v>
                </c:pt>
                <c:pt idx="391">
                  <c:v>59429.803659070552</c:v>
                </c:pt>
                <c:pt idx="392">
                  <c:v>58672.258267252306</c:v>
                </c:pt>
                <c:pt idx="393">
                  <c:v>60040.851393155295</c:v>
                </c:pt>
                <c:pt idx="394">
                  <c:v>59404.205183185557</c:v>
                </c:pt>
                <c:pt idx="395">
                  <c:v>59598.006057190811</c:v>
                </c:pt>
                <c:pt idx="396">
                  <c:v>58969.7925326021</c:v>
                </c:pt>
                <c:pt idx="397">
                  <c:v>58787.391231977985</c:v>
                </c:pt>
                <c:pt idx="398">
                  <c:v>57988.937692738735</c:v>
                </c:pt>
                <c:pt idx="399">
                  <c:v>59415.848960237592</c:v>
                </c:pt>
                <c:pt idx="400">
                  <c:v>55899.793149261663</c:v>
                </c:pt>
                <c:pt idx="401">
                  <c:v>54603.618141193503</c:v>
                </c:pt>
                <c:pt idx="402">
                  <c:v>53932.987840409565</c:v>
                </c:pt>
                <c:pt idx="403">
                  <c:v>51053.474204216356</c:v>
                </c:pt>
                <c:pt idx="404">
                  <c:v>52583.195659042132</c:v>
                </c:pt>
                <c:pt idx="405">
                  <c:v>49824.487424764433</c:v>
                </c:pt>
                <c:pt idx="406">
                  <c:v>47942.208982923352</c:v>
                </c:pt>
                <c:pt idx="407">
                  <c:v>43989.907084428349</c:v>
                </c:pt>
                <c:pt idx="408">
                  <c:v>41299.21352416039</c:v>
                </c:pt>
                <c:pt idx="409">
                  <c:v>40371.055878394152</c:v>
                </c:pt>
                <c:pt idx="410">
                  <c:v>38410.816651295114</c:v>
                </c:pt>
                <c:pt idx="411">
                  <c:v>37421.057807263496</c:v>
                </c:pt>
                <c:pt idx="412">
                  <c:v>36053.962327003937</c:v>
                </c:pt>
                <c:pt idx="413">
                  <c:v>33952.728460726365</c:v>
                </c:pt>
                <c:pt idx="414">
                  <c:v>33083.877281644869</c:v>
                </c:pt>
                <c:pt idx="415">
                  <c:v>32236.041597341627</c:v>
                </c:pt>
                <c:pt idx="416">
                  <c:v>30630.667090372342</c:v>
                </c:pt>
                <c:pt idx="417">
                  <c:v>30568.496783576262</c:v>
                </c:pt>
                <c:pt idx="418">
                  <c:v>27963.731103481568</c:v>
                </c:pt>
                <c:pt idx="419">
                  <c:v>27605.21302691532</c:v>
                </c:pt>
                <c:pt idx="420">
                  <c:v>27471.759292645223</c:v>
                </c:pt>
                <c:pt idx="421">
                  <c:v>27367.032839484771</c:v>
                </c:pt>
                <c:pt idx="422">
                  <c:v>27349.245100572836</c:v>
                </c:pt>
                <c:pt idx="423">
                  <c:v>26474.209512391302</c:v>
                </c:pt>
                <c:pt idx="424">
                  <c:v>26512.453898664706</c:v>
                </c:pt>
                <c:pt idx="425">
                  <c:v>25891.45137902319</c:v>
                </c:pt>
                <c:pt idx="426">
                  <c:v>26313.357262823614</c:v>
                </c:pt>
                <c:pt idx="427">
                  <c:v>25665.260309792848</c:v>
                </c:pt>
                <c:pt idx="428">
                  <c:v>25057.967276716361</c:v>
                </c:pt>
                <c:pt idx="429">
                  <c:v>24920.215869350945</c:v>
                </c:pt>
                <c:pt idx="430">
                  <c:v>24775.132488949726</c:v>
                </c:pt>
                <c:pt idx="431">
                  <c:v>23519.566516898933</c:v>
                </c:pt>
                <c:pt idx="432">
                  <c:v>22870.556650491679</c:v>
                </c:pt>
                <c:pt idx="433">
                  <c:v>22708.709537241557</c:v>
                </c:pt>
                <c:pt idx="434">
                  <c:v>22509.87806462602</c:v>
                </c:pt>
                <c:pt idx="435">
                  <c:v>24608.740658975792</c:v>
                </c:pt>
                <c:pt idx="436">
                  <c:v>25066.166664269909</c:v>
                </c:pt>
                <c:pt idx="437">
                  <c:v>25362.834491082431</c:v>
                </c:pt>
                <c:pt idx="438">
                  <c:v>25375.235242711042</c:v>
                </c:pt>
                <c:pt idx="439">
                  <c:v>25413.292077705682</c:v>
                </c:pt>
                <c:pt idx="440">
                  <c:v>25733.123439860781</c:v>
                </c:pt>
                <c:pt idx="441">
                  <c:v>26636.487682991548</c:v>
                </c:pt>
                <c:pt idx="442">
                  <c:v>27507.627638549799</c:v>
                </c:pt>
                <c:pt idx="443">
                  <c:v>28349.563042669233</c:v>
                </c:pt>
                <c:pt idx="444">
                  <c:v>30326.96092341399</c:v>
                </c:pt>
                <c:pt idx="445">
                  <c:v>31188.651216183021</c:v>
                </c:pt>
                <c:pt idx="446">
                  <c:v>31883.622019933537</c:v>
                </c:pt>
                <c:pt idx="447">
                  <c:v>32480.23794508287</c:v>
                </c:pt>
                <c:pt idx="448">
                  <c:v>33285.729793551021</c:v>
                </c:pt>
                <c:pt idx="449">
                  <c:v>32317.516010449315</c:v>
                </c:pt>
                <c:pt idx="450">
                  <c:v>32541.278422382093</c:v>
                </c:pt>
                <c:pt idx="451">
                  <c:v>32975.376369207923</c:v>
                </c:pt>
                <c:pt idx="452">
                  <c:v>33411.979709171654</c:v>
                </c:pt>
                <c:pt idx="453">
                  <c:v>33743.389822451485</c:v>
                </c:pt>
                <c:pt idx="454">
                  <c:v>33084.189237365215</c:v>
                </c:pt>
                <c:pt idx="455">
                  <c:v>33582.594869538072</c:v>
                </c:pt>
                <c:pt idx="456">
                  <c:v>33692.387628374643</c:v>
                </c:pt>
                <c:pt idx="457">
                  <c:v>33776.290529543854</c:v>
                </c:pt>
                <c:pt idx="458">
                  <c:v>33521.115199811298</c:v>
                </c:pt>
                <c:pt idx="459">
                  <c:v>33831.147362160184</c:v>
                </c:pt>
                <c:pt idx="460">
                  <c:v>34088.294250284081</c:v>
                </c:pt>
                <c:pt idx="461">
                  <c:v>33823.067022142852</c:v>
                </c:pt>
                <c:pt idx="462">
                  <c:v>33855.053751336491</c:v>
                </c:pt>
                <c:pt idx="463">
                  <c:v>33562.685921815159</c:v>
                </c:pt>
                <c:pt idx="464">
                  <c:v>33626.861646563506</c:v>
                </c:pt>
                <c:pt idx="465">
                  <c:v>33739.953157101641</c:v>
                </c:pt>
                <c:pt idx="466">
                  <c:v>34704.607341467912</c:v>
                </c:pt>
                <c:pt idx="467">
                  <c:v>34637.591909576142</c:v>
                </c:pt>
                <c:pt idx="468">
                  <c:v>34304.659160950454</c:v>
                </c:pt>
                <c:pt idx="469">
                  <c:v>33962.66970475141</c:v>
                </c:pt>
                <c:pt idx="470">
                  <c:v>34423.856516853601</c:v>
                </c:pt>
                <c:pt idx="471">
                  <c:v>34351.274975715511</c:v>
                </c:pt>
                <c:pt idx="472">
                  <c:v>32678.374144685495</c:v>
                </c:pt>
                <c:pt idx="473">
                  <c:v>32205.611869365657</c:v>
                </c:pt>
                <c:pt idx="474">
                  <c:v>32155.280761159094</c:v>
                </c:pt>
                <c:pt idx="475">
                  <c:v>34490.083718542432</c:v>
                </c:pt>
                <c:pt idx="476">
                  <c:v>35379.053378902696</c:v>
                </c:pt>
                <c:pt idx="477">
                  <c:v>35997.219530716276</c:v>
                </c:pt>
                <c:pt idx="478">
                  <c:v>36904.980879893774</c:v>
                </c:pt>
                <c:pt idx="479">
                  <c:v>37863.373926051594</c:v>
                </c:pt>
                <c:pt idx="480">
                  <c:v>37449.886057782212</c:v>
                </c:pt>
                <c:pt idx="481">
                  <c:v>39684.189470729289</c:v>
                </c:pt>
                <c:pt idx="482">
                  <c:v>41614.352298087593</c:v>
                </c:pt>
                <c:pt idx="483">
                  <c:v>42701.748197219917</c:v>
                </c:pt>
                <c:pt idx="484">
                  <c:v>44167.384313412906</c:v>
                </c:pt>
                <c:pt idx="485">
                  <c:v>45175.549216380867</c:v>
                </c:pt>
                <c:pt idx="486">
                  <c:v>46797.153484578921</c:v>
                </c:pt>
                <c:pt idx="487">
                  <c:v>49603.867480961067</c:v>
                </c:pt>
                <c:pt idx="488">
                  <c:v>50992.265273249439</c:v>
                </c:pt>
                <c:pt idx="489">
                  <c:v>50387.421555297944</c:v>
                </c:pt>
                <c:pt idx="490">
                  <c:v>51124.770508537331</c:v>
                </c:pt>
                <c:pt idx="491">
                  <c:v>54519.042675164281</c:v>
                </c:pt>
                <c:pt idx="492">
                  <c:v>56010.960574623045</c:v>
                </c:pt>
                <c:pt idx="493">
                  <c:v>57478.427616950903</c:v>
                </c:pt>
                <c:pt idx="494">
                  <c:v>65548.194665047646</c:v>
                </c:pt>
                <c:pt idx="495">
                  <c:v>70056.692992286495</c:v>
                </c:pt>
                <c:pt idx="496">
                  <c:v>74452.343535959502</c:v>
                </c:pt>
                <c:pt idx="497">
                  <c:v>77495.0584901353</c:v>
                </c:pt>
                <c:pt idx="498">
                  <c:v>79870.621310655275</c:v>
                </c:pt>
                <c:pt idx="499">
                  <c:v>81986.022682172232</c:v>
                </c:pt>
                <c:pt idx="500">
                  <c:v>85470.530143172102</c:v>
                </c:pt>
                <c:pt idx="501">
                  <c:v>86547.265626272841</c:v>
                </c:pt>
                <c:pt idx="502">
                  <c:v>87432.169978877326</c:v>
                </c:pt>
                <c:pt idx="503">
                  <c:v>88499.670564104541</c:v>
                </c:pt>
                <c:pt idx="504">
                  <c:v>89462.097344281501</c:v>
                </c:pt>
                <c:pt idx="505">
                  <c:v>89680.285578136696</c:v>
                </c:pt>
                <c:pt idx="506">
                  <c:v>91418.230875365392</c:v>
                </c:pt>
                <c:pt idx="507">
                  <c:v>92279.612171163782</c:v>
                </c:pt>
                <c:pt idx="508">
                  <c:v>84498.678739466603</c:v>
                </c:pt>
                <c:pt idx="509">
                  <c:v>83442.060557800811</c:v>
                </c:pt>
                <c:pt idx="510">
                  <c:v>83739.516942366827</c:v>
                </c:pt>
                <c:pt idx="511">
                  <c:v>83159.873049015747</c:v>
                </c:pt>
                <c:pt idx="512">
                  <c:v>83183.865837945443</c:v>
                </c:pt>
                <c:pt idx="513">
                  <c:v>85454.112375353216</c:v>
                </c:pt>
                <c:pt idx="514">
                  <c:v>84328.578806713325</c:v>
                </c:pt>
                <c:pt idx="515">
                  <c:v>83953.595389953363</c:v>
                </c:pt>
                <c:pt idx="516">
                  <c:v>86902.10057673628</c:v>
                </c:pt>
                <c:pt idx="517">
                  <c:v>87335.464509503625</c:v>
                </c:pt>
                <c:pt idx="518">
                  <c:v>87006.179882117038</c:v>
                </c:pt>
                <c:pt idx="519">
                  <c:v>84689.431533692274</c:v>
                </c:pt>
                <c:pt idx="520">
                  <c:v>83977.091546744414</c:v>
                </c:pt>
                <c:pt idx="521">
                  <c:v>83067.971888448767</c:v>
                </c:pt>
                <c:pt idx="522">
                  <c:v>81865.069630109356</c:v>
                </c:pt>
                <c:pt idx="523">
                  <c:v>82416.243206705505</c:v>
                </c:pt>
                <c:pt idx="524">
                  <c:v>81639.969404495292</c:v>
                </c:pt>
                <c:pt idx="525">
                  <c:v>81518.09474938862</c:v>
                </c:pt>
                <c:pt idx="526">
                  <c:v>81326.865196244122</c:v>
                </c:pt>
                <c:pt idx="527">
                  <c:v>79477.473902096885</c:v>
                </c:pt>
                <c:pt idx="528">
                  <c:v>79587.91792008694</c:v>
                </c:pt>
                <c:pt idx="529">
                  <c:v>79931.15966396268</c:v>
                </c:pt>
                <c:pt idx="530">
                  <c:v>90309.091028843643</c:v>
                </c:pt>
                <c:pt idx="531">
                  <c:v>96554.119760585658</c:v>
                </c:pt>
                <c:pt idx="532">
                  <c:v>101041.43945569328</c:v>
                </c:pt>
                <c:pt idx="533">
                  <c:v>104625.17675287182</c:v>
                </c:pt>
                <c:pt idx="534">
                  <c:v>107805.12808283452</c:v>
                </c:pt>
                <c:pt idx="535">
                  <c:v>112192.04965165134</c:v>
                </c:pt>
                <c:pt idx="536">
                  <c:v>118276.11579335327</c:v>
                </c:pt>
                <c:pt idx="537">
                  <c:v>120204.48290710588</c:v>
                </c:pt>
                <c:pt idx="538">
                  <c:v>122833.48505690016</c:v>
                </c:pt>
                <c:pt idx="539">
                  <c:v>126275.05523068162</c:v>
                </c:pt>
                <c:pt idx="540">
                  <c:v>128968.86097281032</c:v>
                </c:pt>
                <c:pt idx="541">
                  <c:v>131632.31659934332</c:v>
                </c:pt>
                <c:pt idx="542">
                  <c:v>133526.58311592499</c:v>
                </c:pt>
                <c:pt idx="543">
                  <c:v>135721.52229729245</c:v>
                </c:pt>
                <c:pt idx="544">
                  <c:v>120776.62905657396</c:v>
                </c:pt>
                <c:pt idx="545">
                  <c:v>121956.9871158345</c:v>
                </c:pt>
                <c:pt idx="546">
                  <c:v>121985.91192145126</c:v>
                </c:pt>
                <c:pt idx="547">
                  <c:v>121740.28229967502</c:v>
                </c:pt>
                <c:pt idx="548">
                  <c:v>121851.27780008112</c:v>
                </c:pt>
                <c:pt idx="549">
                  <c:v>118519.31749909498</c:v>
                </c:pt>
                <c:pt idx="550">
                  <c:v>116217.69684020302</c:v>
                </c:pt>
                <c:pt idx="551">
                  <c:v>115453.40268359876</c:v>
                </c:pt>
                <c:pt idx="552">
                  <c:v>112101.8647131961</c:v>
                </c:pt>
                <c:pt idx="553">
                  <c:v>110863.11726923841</c:v>
                </c:pt>
                <c:pt idx="554">
                  <c:v>109711.97849289754</c:v>
                </c:pt>
                <c:pt idx="555">
                  <c:v>108169.49073824139</c:v>
                </c:pt>
                <c:pt idx="556">
                  <c:v>110255.75502070502</c:v>
                </c:pt>
                <c:pt idx="557">
                  <c:v>110689.1092383854</c:v>
                </c:pt>
                <c:pt idx="558">
                  <c:v>112807.23523786625</c:v>
                </c:pt>
                <c:pt idx="559">
                  <c:v>114087.44872708454</c:v>
                </c:pt>
                <c:pt idx="560">
                  <c:v>115376.07498010556</c:v>
                </c:pt>
                <c:pt idx="561">
                  <c:v>115860.71870998391</c:v>
                </c:pt>
                <c:pt idx="562">
                  <c:v>117495.86211752036</c:v>
                </c:pt>
                <c:pt idx="563">
                  <c:v>118577.92430648993</c:v>
                </c:pt>
                <c:pt idx="564">
                  <c:v>118212.78902509398</c:v>
                </c:pt>
                <c:pt idx="565">
                  <c:v>122693.58951373458</c:v>
                </c:pt>
                <c:pt idx="566">
                  <c:v>126812.38491663357</c:v>
                </c:pt>
                <c:pt idx="567">
                  <c:v>128849.66832568111</c:v>
                </c:pt>
                <c:pt idx="568">
                  <c:v>129053.10966522842</c:v>
                </c:pt>
                <c:pt idx="569">
                  <c:v>130307.72514975895</c:v>
                </c:pt>
                <c:pt idx="570">
                  <c:v>129646.77070547294</c:v>
                </c:pt>
                <c:pt idx="571">
                  <c:v>131304.46843003659</c:v>
                </c:pt>
                <c:pt idx="572">
                  <c:v>130821.36152615567</c:v>
                </c:pt>
                <c:pt idx="573">
                  <c:v>131018.08016865434</c:v>
                </c:pt>
                <c:pt idx="574">
                  <c:v>131041.0002997824</c:v>
                </c:pt>
                <c:pt idx="575">
                  <c:v>131202.52376550989</c:v>
                </c:pt>
                <c:pt idx="576">
                  <c:v>239074.70713561366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F2-184D-B1B7-4CECF28CF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1927671"/>
        <c:axId val="1226731913"/>
      </c:lineChart>
      <c:dateAx>
        <c:axId val="20619276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26731913"/>
        <c:crosses val="autoZero"/>
        <c:auto val="1"/>
        <c:lblOffset val="100"/>
        <c:baseTimeUnit val="days"/>
      </c:dateAx>
      <c:valAx>
        <c:axId val="1226731913"/>
        <c:scaling>
          <c:orientation val="minMax"/>
          <c:max val="20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CA" b="0">
                    <a:solidFill>
                      <a:srgbClr val="000000"/>
                    </a:solidFill>
                    <a:latin typeface="+mn-lt"/>
                  </a:rPr>
                  <a:t>Weekly Close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200"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61927671"/>
        <c:crosses val="autoZero"/>
        <c:crossBetween val="between"/>
      </c:valAx>
    </c:plotArea>
    <c:legend>
      <c:legendPos val="r"/>
      <c:legendEntry>
        <c:idx val="0"/>
        <c:txPr>
          <a:bodyPr/>
          <a:lstStyle/>
          <a:p>
            <a:pPr lvl="0">
              <a:defRPr sz="1600"/>
            </a:pPr>
            <a:endParaRPr lang="en-US"/>
          </a:p>
        </c:txPr>
      </c:legendEntry>
      <c:legendEntry>
        <c:idx val="1"/>
        <c:txPr>
          <a:bodyPr/>
          <a:lstStyle/>
          <a:p>
            <a:pPr lvl="0">
              <a:defRPr sz="1600"/>
            </a:pPr>
            <a:endParaRPr lang="en-US"/>
          </a:p>
        </c:txPr>
      </c:legendEntry>
      <c:legendEntry>
        <c:idx val="2"/>
        <c:txPr>
          <a:bodyPr/>
          <a:lstStyle/>
          <a:p>
            <a:pPr lvl="0">
              <a:defRPr sz="1600"/>
            </a:pPr>
            <a:endParaRPr lang="en-US"/>
          </a:p>
        </c:txPr>
      </c:legendEntry>
      <c:legendEntry>
        <c:idx val="3"/>
        <c:txPr>
          <a:bodyPr/>
          <a:lstStyle/>
          <a:p>
            <a:pPr lvl="0">
              <a:defRPr sz="1600"/>
            </a:pPr>
            <a:endParaRPr lang="en-US"/>
          </a:p>
        </c:txPr>
      </c:legendEntry>
      <c:legendEntry>
        <c:idx val="4"/>
        <c:txPr>
          <a:bodyPr/>
          <a:lstStyle/>
          <a:p>
            <a:pPr lvl="0">
              <a:defRPr sz="1600"/>
            </a:pPr>
            <a:endParaRPr lang="en-US"/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lineChart>
        <c:grouping val="standard"/>
        <c:varyColors val="1"/>
        <c:ser>
          <c:idx val="0"/>
          <c:order val="0"/>
          <c:tx>
            <c:strRef>
              <c:f>'20222023 WDCA'!$C$1:$C$2</c:f>
              <c:strCache>
                <c:ptCount val="2"/>
                <c:pt idx="1">
                  <c:v>BTC price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numRef>
              <c:f>'20222023 WDCA'!$B$3:$B$196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'20222023 WDCA'!$C$3:$C$196</c:f>
              <c:numCache>
                <c:formatCode>"$"#,##0.00</c:formatCode>
                <c:ptCount val="194"/>
                <c:pt idx="0">
                  <c:v>41817</c:v>
                </c:pt>
                <c:pt idx="1">
                  <c:v>42211.27</c:v>
                </c:pt>
                <c:pt idx="2">
                  <c:v>36660</c:v>
                </c:pt>
                <c:pt idx="3">
                  <c:v>38463</c:v>
                </c:pt>
                <c:pt idx="4">
                  <c:v>43869.04</c:v>
                </c:pt>
                <c:pt idx="5">
                  <c:v>42540.3</c:v>
                </c:pt>
                <c:pt idx="6">
                  <c:v>37076.6</c:v>
                </c:pt>
                <c:pt idx="7">
                  <c:v>43179.25</c:v>
                </c:pt>
                <c:pt idx="8">
                  <c:v>38001.050000000003</c:v>
                </c:pt>
                <c:pt idx="9">
                  <c:v>39649.050000000003</c:v>
                </c:pt>
                <c:pt idx="10">
                  <c:v>41078</c:v>
                </c:pt>
                <c:pt idx="11">
                  <c:v>47223.65</c:v>
                </c:pt>
                <c:pt idx="12">
                  <c:v>46663</c:v>
                </c:pt>
                <c:pt idx="13">
                  <c:v>39544.03</c:v>
                </c:pt>
                <c:pt idx="14">
                  <c:v>40818.879999999997</c:v>
                </c:pt>
                <c:pt idx="15">
                  <c:v>40473.75</c:v>
                </c:pt>
                <c:pt idx="16">
                  <c:v>38566.06</c:v>
                </c:pt>
                <c:pt idx="17">
                  <c:v>30076.31</c:v>
                </c:pt>
                <c:pt idx="18">
                  <c:v>29889.61</c:v>
                </c:pt>
                <c:pt idx="19">
                  <c:v>29088.25</c:v>
                </c:pt>
                <c:pt idx="20">
                  <c:v>31735.95</c:v>
                </c:pt>
                <c:pt idx="21">
                  <c:v>31333.68</c:v>
                </c:pt>
                <c:pt idx="22">
                  <c:v>22316.26</c:v>
                </c:pt>
                <c:pt idx="23">
                  <c:v>20571.63</c:v>
                </c:pt>
                <c:pt idx="24">
                  <c:v>20751.05</c:v>
                </c:pt>
                <c:pt idx="25">
                  <c:v>20226.3</c:v>
                </c:pt>
                <c:pt idx="26">
                  <c:v>19971.330000000002</c:v>
                </c:pt>
                <c:pt idx="27">
                  <c:v>22305.71</c:v>
                </c:pt>
                <c:pt idx="28">
                  <c:v>21510.13</c:v>
                </c:pt>
                <c:pt idx="29">
                  <c:v>23331.439999999999</c:v>
                </c:pt>
                <c:pt idx="30">
                  <c:v>23803.65</c:v>
                </c:pt>
                <c:pt idx="31">
                  <c:v>24083.95</c:v>
                </c:pt>
                <c:pt idx="32">
                  <c:v>21301.08</c:v>
                </c:pt>
                <c:pt idx="33">
                  <c:v>20270.96</c:v>
                </c:pt>
                <c:pt idx="34">
                  <c:v>19797.8</c:v>
                </c:pt>
                <c:pt idx="35">
                  <c:v>22364.720000000001</c:v>
                </c:pt>
                <c:pt idx="36">
                  <c:v>19557.98</c:v>
                </c:pt>
                <c:pt idx="37">
                  <c:v>19201.13</c:v>
                </c:pt>
                <c:pt idx="38">
                  <c:v>19633.43</c:v>
                </c:pt>
                <c:pt idx="39">
                  <c:v>19154.400000000001</c:v>
                </c:pt>
                <c:pt idx="40">
                  <c:v>19557.02</c:v>
                </c:pt>
                <c:pt idx="41">
                  <c:v>19341.46</c:v>
                </c:pt>
                <c:pt idx="42">
                  <c:v>20490.86</c:v>
                </c:pt>
                <c:pt idx="43">
                  <c:v>20568.57</c:v>
                </c:pt>
                <c:pt idx="44">
                  <c:v>16629.48</c:v>
                </c:pt>
                <c:pt idx="45">
                  <c:v>15778.02</c:v>
                </c:pt>
                <c:pt idx="46">
                  <c:v>16212.58</c:v>
                </c:pt>
                <c:pt idx="47">
                  <c:v>16961.349999999999</c:v>
                </c:pt>
                <c:pt idx="48">
                  <c:v>17195.53</c:v>
                </c:pt>
                <c:pt idx="49">
                  <c:v>16424.13</c:v>
                </c:pt>
                <c:pt idx="50">
                  <c:v>16879.939999999999</c:v>
                </c:pt>
                <c:pt idx="51">
                  <c:v>16688.72</c:v>
                </c:pt>
                <c:pt idx="52">
                  <c:v>17182.32</c:v>
                </c:pt>
                <c:pt idx="53">
                  <c:v>21180.41</c:v>
                </c:pt>
                <c:pt idx="54">
                  <c:v>22929.02</c:v>
                </c:pt>
                <c:pt idx="55">
                  <c:v>22799.43</c:v>
                </c:pt>
                <c:pt idx="56">
                  <c:v>22745.17</c:v>
                </c:pt>
                <c:pt idx="57">
                  <c:v>21798.720000000001</c:v>
                </c:pt>
                <c:pt idx="58">
                  <c:v>24797.84</c:v>
                </c:pt>
                <c:pt idx="59">
                  <c:v>23504.19</c:v>
                </c:pt>
                <c:pt idx="60">
                  <c:v>22414.7</c:v>
                </c:pt>
                <c:pt idx="61">
                  <c:v>24154.43</c:v>
                </c:pt>
                <c:pt idx="62">
                  <c:v>27834.34</c:v>
                </c:pt>
                <c:pt idx="63">
                  <c:v>27155</c:v>
                </c:pt>
                <c:pt idx="64">
                  <c:v>27850.98</c:v>
                </c:pt>
                <c:pt idx="65">
                  <c:v>29687.57</c:v>
                </c:pt>
                <c:pt idx="66">
                  <c:v>29469.51</c:v>
                </c:pt>
                <c:pt idx="67">
                  <c:v>27520.2</c:v>
                </c:pt>
                <c:pt idx="68">
                  <c:v>28114.95</c:v>
                </c:pt>
                <c:pt idx="69">
                  <c:v>27727.29</c:v>
                </c:pt>
                <c:pt idx="70">
                  <c:v>27231.62</c:v>
                </c:pt>
                <c:pt idx="71">
                  <c:v>26858.74</c:v>
                </c:pt>
                <c:pt idx="72">
                  <c:v>27765.07</c:v>
                </c:pt>
                <c:pt idx="73">
                  <c:v>25785.85</c:v>
                </c:pt>
                <c:pt idx="74">
                  <c:v>25906.75</c:v>
                </c:pt>
                <c:pt idx="75">
                  <c:v>26778.06</c:v>
                </c:pt>
                <c:pt idx="76">
                  <c:v>30255.89</c:v>
                </c:pt>
                <c:pt idx="77">
                  <c:v>31135.360000000001</c:v>
                </c:pt>
                <c:pt idx="78">
                  <c:v>30394.66</c:v>
                </c:pt>
                <c:pt idx="79">
                  <c:v>30143.75</c:v>
                </c:pt>
                <c:pt idx="80">
                  <c:v>29178.36</c:v>
                </c:pt>
                <c:pt idx="81">
                  <c:v>29219.82</c:v>
                </c:pt>
                <c:pt idx="82">
                  <c:v>29164.36</c:v>
                </c:pt>
                <c:pt idx="83">
                  <c:v>29408.97</c:v>
                </c:pt>
                <c:pt idx="84">
                  <c:v>26128.91</c:v>
                </c:pt>
                <c:pt idx="85">
                  <c:v>26103.279999999999</c:v>
                </c:pt>
                <c:pt idx="86">
                  <c:v>25799.53</c:v>
                </c:pt>
                <c:pt idx="87">
                  <c:v>25135.040000000001</c:v>
                </c:pt>
                <c:pt idx="88">
                  <c:v>26764.63</c:v>
                </c:pt>
                <c:pt idx="89">
                  <c:v>26288.81</c:v>
                </c:pt>
                <c:pt idx="90">
                  <c:v>27565.89</c:v>
                </c:pt>
                <c:pt idx="91">
                  <c:v>27591.35</c:v>
                </c:pt>
                <c:pt idx="92">
                  <c:v>28506.79</c:v>
                </c:pt>
                <c:pt idx="93">
                  <c:v>32954.17</c:v>
                </c:pt>
                <c:pt idx="94">
                  <c:v>34495.11</c:v>
                </c:pt>
                <c:pt idx="95">
                  <c:v>35017.72</c:v>
                </c:pt>
                <c:pt idx="96">
                  <c:v>36543.269999999997</c:v>
                </c:pt>
                <c:pt idx="97">
                  <c:v>37516.050000000003</c:v>
                </c:pt>
                <c:pt idx="98">
                  <c:v>37229.25</c:v>
                </c:pt>
                <c:pt idx="99">
                  <c:v>41910.300000000003</c:v>
                </c:pt>
                <c:pt idx="100">
                  <c:v>41209.89</c:v>
                </c:pt>
                <c:pt idx="101">
                  <c:v>42635.73</c:v>
                </c:pt>
                <c:pt idx="102">
                  <c:v>43623.75</c:v>
                </c:pt>
                <c:pt idx="103">
                  <c:v>44049.47</c:v>
                </c:pt>
                <c:pt idx="104">
                  <c:v>46981.32</c:v>
                </c:pt>
                <c:pt idx="105">
                  <c:v>42528.92</c:v>
                </c:pt>
                <c:pt idx="106">
                  <c:v>39577.1</c:v>
                </c:pt>
                <c:pt idx="107">
                  <c:v>43218.35</c:v>
                </c:pt>
                <c:pt idx="108">
                  <c:v>42619.27</c:v>
                </c:pt>
                <c:pt idx="109">
                  <c:v>49989.8</c:v>
                </c:pt>
                <c:pt idx="110">
                  <c:v>51804.81</c:v>
                </c:pt>
                <c:pt idx="111">
                  <c:v>54551.83</c:v>
                </c:pt>
                <c:pt idx="112">
                  <c:v>68091.839999999997</c:v>
                </c:pt>
                <c:pt idx="113">
                  <c:v>72198.09</c:v>
                </c:pt>
                <c:pt idx="114">
                  <c:v>67770.89</c:v>
                </c:pt>
                <c:pt idx="115">
                  <c:v>70042.02</c:v>
                </c:pt>
                <c:pt idx="116">
                  <c:v>69791.63</c:v>
                </c:pt>
                <c:pt idx="117">
                  <c:v>71712.800000000003</c:v>
                </c:pt>
                <c:pt idx="118">
                  <c:v>63393.33</c:v>
                </c:pt>
                <c:pt idx="119">
                  <c:v>66944.600000000006</c:v>
                </c:pt>
                <c:pt idx="120">
                  <c:v>63908.39</c:v>
                </c:pt>
                <c:pt idx="121">
                  <c:v>63228.1</c:v>
                </c:pt>
                <c:pt idx="122">
                  <c:v>62886.94</c:v>
                </c:pt>
                <c:pt idx="123">
                  <c:v>71202.2</c:v>
                </c:pt>
                <c:pt idx="124">
                  <c:v>69347.820000000007</c:v>
                </c:pt>
                <c:pt idx="125">
                  <c:v>68833.3</c:v>
                </c:pt>
                <c:pt idx="126">
                  <c:v>69465.94</c:v>
                </c:pt>
                <c:pt idx="127">
                  <c:v>66483.88</c:v>
                </c:pt>
                <c:pt idx="128">
                  <c:v>60258.96</c:v>
                </c:pt>
                <c:pt idx="129">
                  <c:v>62835.4</c:v>
                </c:pt>
                <c:pt idx="130">
                  <c:v>56691.91</c:v>
                </c:pt>
                <c:pt idx="131">
                  <c:v>64734.76</c:v>
                </c:pt>
                <c:pt idx="132">
                  <c:v>67535.199999999997</c:v>
                </c:pt>
                <c:pt idx="133">
                  <c:v>66867.17</c:v>
                </c:pt>
                <c:pt idx="134">
                  <c:v>54343.63</c:v>
                </c:pt>
                <c:pt idx="135">
                  <c:v>59394.16</c:v>
                </c:pt>
                <c:pt idx="136">
                  <c:v>59411.519999999997</c:v>
                </c:pt>
                <c:pt idx="137">
                  <c:v>62983.44</c:v>
                </c:pt>
                <c:pt idx="138">
                  <c:v>59159.02</c:v>
                </c:pt>
                <c:pt idx="139">
                  <c:v>57135.78</c:v>
                </c:pt>
                <c:pt idx="140">
                  <c:v>58227.46</c:v>
                </c:pt>
                <c:pt idx="141">
                  <c:v>63336.01</c:v>
                </c:pt>
                <c:pt idx="142">
                  <c:v>63260.04</c:v>
                </c:pt>
                <c:pt idx="143">
                  <c:v>62416.51</c:v>
                </c:pt>
                <c:pt idx="144">
                  <c:v>66089.759999999995</c:v>
                </c:pt>
                <c:pt idx="145">
                  <c:v>67440.460000000006</c:v>
                </c:pt>
                <c:pt idx="146">
                  <c:v>69862.52</c:v>
                </c:pt>
                <c:pt idx="147">
                  <c:v>67779.100000000006</c:v>
                </c:pt>
                <c:pt idx="148">
                  <c:v>88860</c:v>
                </c:pt>
                <c:pt idx="149">
                  <c:v>90587.7</c:v>
                </c:pt>
                <c:pt idx="150">
                  <c:v>93343.03</c:v>
                </c:pt>
                <c:pt idx="151">
                  <c:v>95726.44</c:v>
                </c:pt>
                <c:pt idx="152">
                  <c:v>97390.2</c:v>
                </c:pt>
                <c:pt idx="153">
                  <c:v>105855.67</c:v>
                </c:pt>
                <c:pt idx="154">
                  <c:v>94800.76</c:v>
                </c:pt>
                <c:pt idx="155">
                  <c:v>92523.16</c:v>
                </c:pt>
                <c:pt idx="156">
                  <c:v>102179.56</c:v>
                </c:pt>
                <c:pt idx="157">
                  <c:v>94375.73</c:v>
                </c:pt>
                <c:pt idx="158">
                  <c:v>102589</c:v>
                </c:pt>
                <c:pt idx="159">
                  <c:v>101907.45</c:v>
                </c:pt>
                <c:pt idx="160">
                  <c:v>101582.41</c:v>
                </c:pt>
                <c:pt idx="161">
                  <c:v>97375.23</c:v>
                </c:pt>
                <c:pt idx="162">
                  <c:v>95790.51</c:v>
                </c:pt>
                <c:pt idx="163">
                  <c:v>91869.65</c:v>
                </c:pt>
                <c:pt idx="164">
                  <c:v>86315.93</c:v>
                </c:pt>
                <c:pt idx="165">
                  <c:v>79005.960000000006</c:v>
                </c:pt>
                <c:pt idx="166">
                  <c:v>84013.95</c:v>
                </c:pt>
                <c:pt idx="167">
                  <c:v>87322.57</c:v>
                </c:pt>
                <c:pt idx="168">
                  <c:v>82461.45</c:v>
                </c:pt>
                <c:pt idx="169">
                  <c:v>79421.8</c:v>
                </c:pt>
                <c:pt idx="170">
                  <c:v>84589.03</c:v>
                </c:pt>
                <c:pt idx="171">
                  <c:v>87360.72</c:v>
                </c:pt>
                <c:pt idx="172">
                  <c:v>95066.02</c:v>
                </c:pt>
                <c:pt idx="173">
                  <c:v>94853.73</c:v>
                </c:pt>
                <c:pt idx="174">
                  <c:v>102920.07</c:v>
                </c:pt>
                <c:pt idx="175">
                  <c:v>105615.83</c:v>
                </c:pt>
                <c:pt idx="176">
                  <c:v>109371.99</c:v>
                </c:pt>
                <c:pt idx="177">
                  <c:v>105899.7</c:v>
                </c:pt>
                <c:pt idx="178">
                  <c:v>110198.16</c:v>
                </c:pt>
                <c:pt idx="179">
                  <c:v>107243.93</c:v>
                </c:pt>
                <c:pt idx="180">
                  <c:v>105496.95</c:v>
                </c:pt>
                <c:pt idx="181">
                  <c:v>107153.1</c:v>
                </c:pt>
                <c:pt idx="182">
                  <c:v>108249.4</c:v>
                </c:pt>
                <c:pt idx="183">
                  <c:v>119871.1</c:v>
                </c:pt>
                <c:pt idx="184">
                  <c:v>117432.44</c:v>
                </c:pt>
                <c:pt idx="185">
                  <c:v>118022.64</c:v>
                </c:pt>
                <c:pt idx="186">
                  <c:v>115199.93</c:v>
                </c:pt>
                <c:pt idx="187">
                  <c:v>118742.04</c:v>
                </c:pt>
                <c:pt idx="188">
                  <c:v>116312.91</c:v>
                </c:pt>
                <c:pt idx="189">
                  <c:v>110089.53</c:v>
                </c:pt>
                <c:pt idx="190">
                  <c:v>108992.32000000001</c:v>
                </c:pt>
                <c:pt idx="191">
                  <c:v>112112.31</c:v>
                </c:pt>
                <c:pt idx="192">
                  <c:v>115420.93</c:v>
                </c:pt>
                <c:pt idx="193">
                  <c:v>117014.43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550-EF47-8BC7-F651E1F6267A}"/>
            </c:ext>
          </c:extLst>
        </c:ser>
        <c:ser>
          <c:idx val="1"/>
          <c:order val="1"/>
          <c:tx>
            <c:strRef>
              <c:f>'20222023 WDCA'!$L$1:$L$2</c:f>
              <c:strCache>
                <c:ptCount val="2"/>
                <c:pt idx="1">
                  <c:v>AVG buying price Optimum DCA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numRef>
              <c:f>'20222023 WDCA'!$B$3:$B$196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'20222023 WDCA'!$L$3:$L$196</c:f>
              <c:numCache>
                <c:formatCode>"$"#,##0.00</c:formatCode>
                <c:ptCount val="194"/>
                <c:pt idx="0">
                  <c:v>41817</c:v>
                </c:pt>
                <c:pt idx="1">
                  <c:v>42008.525417414967</c:v>
                </c:pt>
                <c:pt idx="2">
                  <c:v>39697.93926752582</c:v>
                </c:pt>
                <c:pt idx="3">
                  <c:v>39350.840417114348</c:v>
                </c:pt>
                <c:pt idx="4">
                  <c:v>39719.486836126132</c:v>
                </c:pt>
                <c:pt idx="5">
                  <c:v>39941.694479944912</c:v>
                </c:pt>
                <c:pt idx="6">
                  <c:v>39448.34613545562</c:v>
                </c:pt>
                <c:pt idx="7">
                  <c:v>39671.937001560895</c:v>
                </c:pt>
                <c:pt idx="8">
                  <c:v>39559.158571530941</c:v>
                </c:pt>
                <c:pt idx="9">
                  <c:v>39564.523596621199</c:v>
                </c:pt>
                <c:pt idx="10">
                  <c:v>39645.662417377076</c:v>
                </c:pt>
                <c:pt idx="11">
                  <c:v>39959.734051276006</c:v>
                </c:pt>
                <c:pt idx="12">
                  <c:v>40231.428208489342</c:v>
                </c:pt>
                <c:pt idx="13">
                  <c:v>40197.35722576503</c:v>
                </c:pt>
                <c:pt idx="14">
                  <c:v>40225.430106570879</c:v>
                </c:pt>
                <c:pt idx="15">
                  <c:v>40236.291193925084</c:v>
                </c:pt>
                <c:pt idx="16">
                  <c:v>40161.417408223831</c:v>
                </c:pt>
                <c:pt idx="17">
                  <c:v>38948.165005828516</c:v>
                </c:pt>
                <c:pt idx="18">
                  <c:v>38046.943193891013</c:v>
                </c:pt>
                <c:pt idx="19">
                  <c:v>37205.972194822527</c:v>
                </c:pt>
                <c:pt idx="20">
                  <c:v>36984.595571798287</c:v>
                </c:pt>
                <c:pt idx="21">
                  <c:v>36761.165486744161</c:v>
                </c:pt>
                <c:pt idx="22">
                  <c:v>34629.44486118303</c:v>
                </c:pt>
                <c:pt idx="23">
                  <c:v>32821.159607199617</c:v>
                </c:pt>
                <c:pt idx="24">
                  <c:v>31497.009634368711</c:v>
                </c:pt>
                <c:pt idx="25">
                  <c:v>30346.781661334971</c:v>
                </c:pt>
                <c:pt idx="26">
                  <c:v>29378.46684608149</c:v>
                </c:pt>
                <c:pt idx="27">
                  <c:v>29113.179322239455</c:v>
                </c:pt>
                <c:pt idx="28">
                  <c:v>28824.972829395843</c:v>
                </c:pt>
                <c:pt idx="29">
                  <c:v>28644.729913565701</c:v>
                </c:pt>
                <c:pt idx="30">
                  <c:v>28495.040246366418</c:v>
                </c:pt>
                <c:pt idx="31">
                  <c:v>28364.825958207766</c:v>
                </c:pt>
                <c:pt idx="32">
                  <c:v>28126.376863138499</c:v>
                </c:pt>
                <c:pt idx="33">
                  <c:v>27852.981309163519</c:v>
                </c:pt>
                <c:pt idx="34">
                  <c:v>27573.812082793302</c:v>
                </c:pt>
                <c:pt idx="35">
                  <c:v>27424.814218360923</c:v>
                </c:pt>
                <c:pt idx="36">
                  <c:v>27164.61684338675</c:v>
                </c:pt>
                <c:pt idx="37">
                  <c:v>26903.673495631054</c:v>
                </c:pt>
                <c:pt idx="38">
                  <c:v>26679.393605967147</c:v>
                </c:pt>
                <c:pt idx="39">
                  <c:v>26447.069627913126</c:v>
                </c:pt>
                <c:pt idx="40">
                  <c:v>26246.068803958104</c:v>
                </c:pt>
                <c:pt idx="41">
                  <c:v>26047.587649071294</c:v>
                </c:pt>
                <c:pt idx="42">
                  <c:v>25903.352157315661</c:v>
                </c:pt>
                <c:pt idx="43">
                  <c:v>25769.03952597173</c:v>
                </c:pt>
                <c:pt idx="44">
                  <c:v>25254.923500474521</c:v>
                </c:pt>
                <c:pt idx="45">
                  <c:v>24745.389187248111</c:v>
                </c:pt>
                <c:pt idx="46">
                  <c:v>24492.889976923496</c:v>
                </c:pt>
                <c:pt idx="47">
                  <c:v>24287.956735554035</c:v>
                </c:pt>
                <c:pt idx="48">
                  <c:v>24103.209661837456</c:v>
                </c:pt>
                <c:pt idx="49">
                  <c:v>23897.042620217908</c:v>
                </c:pt>
                <c:pt idx="50">
                  <c:v>23719.582977256978</c:v>
                </c:pt>
                <c:pt idx="51">
                  <c:v>23543.733833069982</c:v>
                </c:pt>
                <c:pt idx="52">
                  <c:v>23393.950171307148</c:v>
                </c:pt>
                <c:pt idx="53">
                  <c:v>23354.913763940091</c:v>
                </c:pt>
                <c:pt idx="54">
                  <c:v>23358.326925110763</c:v>
                </c:pt>
                <c:pt idx="55">
                  <c:v>23362.36565985125</c:v>
                </c:pt>
                <c:pt idx="56">
                  <c:v>23366.83421592012</c:v>
                </c:pt>
                <c:pt idx="57">
                  <c:v>23340.091911591411</c:v>
                </c:pt>
                <c:pt idx="58">
                  <c:v>23319.248698468844</c:v>
                </c:pt>
                <c:pt idx="59">
                  <c:v>23317.822515306321</c:v>
                </c:pt>
                <c:pt idx="60">
                  <c:v>23302.915473814086</c:v>
                </c:pt>
                <c:pt idx="61">
                  <c:v>23315.401864321262</c:v>
                </c:pt>
                <c:pt idx="62">
                  <c:v>23271.258348948923</c:v>
                </c:pt>
                <c:pt idx="63">
                  <c:v>23313.070365952652</c:v>
                </c:pt>
                <c:pt idx="64">
                  <c:v>23274.066904414827</c:v>
                </c:pt>
                <c:pt idx="65">
                  <c:v>23218.529293665069</c:v>
                </c:pt>
                <c:pt idx="66">
                  <c:v>23166.830611906451</c:v>
                </c:pt>
                <c:pt idx="67">
                  <c:v>23213.583358936408</c:v>
                </c:pt>
                <c:pt idx="68">
                  <c:v>23264.265312359505</c:v>
                </c:pt>
                <c:pt idx="69">
                  <c:v>23310.75683497413</c:v>
                </c:pt>
                <c:pt idx="70">
                  <c:v>23352.1141259094</c:v>
                </c:pt>
                <c:pt idx="71">
                  <c:v>23389.358097124867</c:v>
                </c:pt>
                <c:pt idx="72">
                  <c:v>23433.453428617675</c:v>
                </c:pt>
                <c:pt idx="73">
                  <c:v>23459.210801325949</c:v>
                </c:pt>
                <c:pt idx="74">
                  <c:v>23485.56563364475</c:v>
                </c:pt>
                <c:pt idx="75">
                  <c:v>23519.217540710546</c:v>
                </c:pt>
                <c:pt idx="76">
                  <c:v>23577.500571788616</c:v>
                </c:pt>
                <c:pt idx="77">
                  <c:v>23522.425256492497</c:v>
                </c:pt>
                <c:pt idx="78">
                  <c:v>23581.442825747825</c:v>
                </c:pt>
                <c:pt idx="79">
                  <c:v>23637.927470945895</c:v>
                </c:pt>
                <c:pt idx="80">
                  <c:v>23687.250225103446</c:v>
                </c:pt>
                <c:pt idx="81">
                  <c:v>23735.978920186782</c:v>
                </c:pt>
                <c:pt idx="82">
                  <c:v>23783.489000938236</c:v>
                </c:pt>
                <c:pt idx="83">
                  <c:v>23831.772573205853</c:v>
                </c:pt>
                <c:pt idx="84">
                  <c:v>23854.494884474771</c:v>
                </c:pt>
                <c:pt idx="85">
                  <c:v>23876.54809005107</c:v>
                </c:pt>
                <c:pt idx="86">
                  <c:v>23895.497997964354</c:v>
                </c:pt>
                <c:pt idx="87">
                  <c:v>23919.269631099502</c:v>
                </c:pt>
                <c:pt idx="88">
                  <c:v>23945.282890733048</c:v>
                </c:pt>
                <c:pt idx="89">
                  <c:v>23966.99808824022</c:v>
                </c:pt>
                <c:pt idx="90">
                  <c:v>23998.11956074394</c:v>
                </c:pt>
                <c:pt idx="91">
                  <c:v>24028.889559436531</c:v>
                </c:pt>
                <c:pt idx="92">
                  <c:v>24065.357257408788</c:v>
                </c:pt>
                <c:pt idx="93">
                  <c:v>23971.994347034488</c:v>
                </c:pt>
                <c:pt idx="94">
                  <c:v>23874.499205409433</c:v>
                </c:pt>
                <c:pt idx="95">
                  <c:v>23774.59100119285</c:v>
                </c:pt>
                <c:pt idx="96">
                  <c:v>23659.467033102475</c:v>
                </c:pt>
                <c:pt idx="97">
                  <c:v>23537.774194566195</c:v>
                </c:pt>
                <c:pt idx="98">
                  <c:v>23418.515996367405</c:v>
                </c:pt>
                <c:pt idx="99">
                  <c:v>23198.240251769395</c:v>
                </c:pt>
                <c:pt idx="100">
                  <c:v>23047.535998721247</c:v>
                </c:pt>
                <c:pt idx="101">
                  <c:v>22883.55452322941</c:v>
                </c:pt>
                <c:pt idx="102">
                  <c:v>22713.042012609683</c:v>
                </c:pt>
                <c:pt idx="103">
                  <c:v>22539.618692412732</c:v>
                </c:pt>
                <c:pt idx="104">
                  <c:v>22275.253344718392</c:v>
                </c:pt>
                <c:pt idx="105">
                  <c:v>22380.328024602186</c:v>
                </c:pt>
                <c:pt idx="106">
                  <c:v>22479.040632117867</c:v>
                </c:pt>
                <c:pt idx="107">
                  <c:v>22582.91257514575</c:v>
                </c:pt>
                <c:pt idx="108">
                  <c:v>22684.894036773399</c:v>
                </c:pt>
                <c:pt idx="109">
                  <c:v>22521.34703713069</c:v>
                </c:pt>
                <c:pt idx="110">
                  <c:v>22365.590526206313</c:v>
                </c:pt>
                <c:pt idx="111">
                  <c:v>22125.933364618708</c:v>
                </c:pt>
                <c:pt idx="112">
                  <c:v>21683.517559028078</c:v>
                </c:pt>
                <c:pt idx="113">
                  <c:v>21273.381671684398</c:v>
                </c:pt>
                <c:pt idx="114">
                  <c:v>21043.152820234154</c:v>
                </c:pt>
                <c:pt idx="115">
                  <c:v>20807.380260413083</c:v>
                </c:pt>
                <c:pt idx="116">
                  <c:v>20574.984123454306</c:v>
                </c:pt>
                <c:pt idx="117">
                  <c:v>20330.015663673563</c:v>
                </c:pt>
                <c:pt idx="118">
                  <c:v>20446.414184214667</c:v>
                </c:pt>
                <c:pt idx="119">
                  <c:v>20558.349004666186</c:v>
                </c:pt>
                <c:pt idx="120">
                  <c:v>20673.031852218206</c:v>
                </c:pt>
                <c:pt idx="121">
                  <c:v>20787.770515290558</c:v>
                </c:pt>
                <c:pt idx="122">
                  <c:v>20902.209555870642</c:v>
                </c:pt>
                <c:pt idx="123">
                  <c:v>21006.705078623883</c:v>
                </c:pt>
                <c:pt idx="124">
                  <c:v>21113.10649899839</c:v>
                </c:pt>
                <c:pt idx="125">
                  <c:v>21219.658381869292</c:v>
                </c:pt>
                <c:pt idx="126">
                  <c:v>21324.980666729785</c:v>
                </c:pt>
                <c:pt idx="127">
                  <c:v>21433.211497824843</c:v>
                </c:pt>
                <c:pt idx="128">
                  <c:v>21546.383526418358</c:v>
                </c:pt>
                <c:pt idx="129">
                  <c:v>21656.942642938982</c:v>
                </c:pt>
                <c:pt idx="130">
                  <c:v>21933.30539149365</c:v>
                </c:pt>
                <c:pt idx="131">
                  <c:v>22040.059297810854</c:v>
                </c:pt>
                <c:pt idx="132">
                  <c:v>22143.573641520736</c:v>
                </c:pt>
                <c:pt idx="133">
                  <c:v>22247.293480300144</c:v>
                </c:pt>
                <c:pt idx="134">
                  <c:v>22358.078263925625</c:v>
                </c:pt>
                <c:pt idx="135">
                  <c:v>22466.417429666133</c:v>
                </c:pt>
                <c:pt idx="136">
                  <c:v>22574.115620109675</c:v>
                </c:pt>
                <c:pt idx="137">
                  <c:v>22678.949136482752</c:v>
                </c:pt>
                <c:pt idx="138">
                  <c:v>22785.563321967024</c:v>
                </c:pt>
                <c:pt idx="139">
                  <c:v>22892.347253201915</c:v>
                </c:pt>
                <c:pt idx="140">
                  <c:v>22998.093625840895</c:v>
                </c:pt>
                <c:pt idx="141">
                  <c:v>23100.380987964931</c:v>
                </c:pt>
                <c:pt idx="142">
                  <c:v>23202.204500777894</c:v>
                </c:pt>
                <c:pt idx="143">
                  <c:v>23304.076273257902</c:v>
                </c:pt>
                <c:pt idx="144">
                  <c:v>23402.703216743022</c:v>
                </c:pt>
                <c:pt idx="145">
                  <c:v>23499.70555469198</c:v>
                </c:pt>
                <c:pt idx="146">
                  <c:v>23593.98064788404</c:v>
                </c:pt>
                <c:pt idx="147">
                  <c:v>23689.851763689388</c:v>
                </c:pt>
                <c:pt idx="148">
                  <c:v>23276.372089607721</c:v>
                </c:pt>
                <c:pt idx="149">
                  <c:v>22922.152224851146</c:v>
                </c:pt>
                <c:pt idx="150">
                  <c:v>22637.219121251863</c:v>
                </c:pt>
                <c:pt idx="151">
                  <c:v>22343.793391532861</c:v>
                </c:pt>
                <c:pt idx="152">
                  <c:v>22044.840469562947</c:v>
                </c:pt>
                <c:pt idx="153">
                  <c:v>21612.136259262923</c:v>
                </c:pt>
                <c:pt idx="154">
                  <c:v>21674.18364914108</c:v>
                </c:pt>
                <c:pt idx="155">
                  <c:v>21740.237653457025</c:v>
                </c:pt>
                <c:pt idx="156">
                  <c:v>21788.202314263955</c:v>
                </c:pt>
                <c:pt idx="157">
                  <c:v>21850.724780473192</c:v>
                </c:pt>
                <c:pt idx="158">
                  <c:v>21897.763912697694</c:v>
                </c:pt>
                <c:pt idx="159">
                  <c:v>21946.060090107687</c:v>
                </c:pt>
                <c:pt idx="160">
                  <c:v>21994.920514610094</c:v>
                </c:pt>
                <c:pt idx="161">
                  <c:v>22051.629501418462</c:v>
                </c:pt>
                <c:pt idx="162">
                  <c:v>22111.156287622824</c:v>
                </c:pt>
                <c:pt idx="163">
                  <c:v>22177.571805712505</c:v>
                </c:pt>
                <c:pt idx="164">
                  <c:v>22253.224920754205</c:v>
                </c:pt>
                <c:pt idx="165">
                  <c:v>22521.629950759056</c:v>
                </c:pt>
                <c:pt idx="166">
                  <c:v>22600.059376976104</c:v>
                </c:pt>
                <c:pt idx="167">
                  <c:v>22673.05694733949</c:v>
                </c:pt>
                <c:pt idx="168">
                  <c:v>22753.460458795656</c:v>
                </c:pt>
                <c:pt idx="169">
                  <c:v>23009.373749931172</c:v>
                </c:pt>
                <c:pt idx="170">
                  <c:v>23085.666736438394</c:v>
                </c:pt>
                <c:pt idx="171">
                  <c:v>23157.462220121539</c:v>
                </c:pt>
                <c:pt idx="172">
                  <c:v>23216.294472557467</c:v>
                </c:pt>
                <c:pt idx="173">
                  <c:v>23275.397686233624</c:v>
                </c:pt>
                <c:pt idx="174">
                  <c:v>22960.054825377327</c:v>
                </c:pt>
                <c:pt idx="175">
                  <c:v>22557.524376462134</c:v>
                </c:pt>
                <c:pt idx="176">
                  <c:v>22137.131377381738</c:v>
                </c:pt>
                <c:pt idx="177">
                  <c:v>21813.606781714319</c:v>
                </c:pt>
                <c:pt idx="178">
                  <c:v>21474.039715566909</c:v>
                </c:pt>
                <c:pt idx="179">
                  <c:v>21143.349342773501</c:v>
                </c:pt>
                <c:pt idx="180">
                  <c:v>21185.176359497134</c:v>
                </c:pt>
                <c:pt idx="181">
                  <c:v>21223.644454730376</c:v>
                </c:pt>
                <c:pt idx="182">
                  <c:v>21259.866926415056</c:v>
                </c:pt>
                <c:pt idx="183">
                  <c:v>20776.596045741269</c:v>
                </c:pt>
                <c:pt idx="184">
                  <c:v>20413.007836459874</c:v>
                </c:pt>
                <c:pt idx="185">
                  <c:v>20429.236725953378</c:v>
                </c:pt>
                <c:pt idx="186">
                  <c:v>20451.508636611754</c:v>
                </c:pt>
                <c:pt idx="187">
                  <c:v>20466.173027033987</c:v>
                </c:pt>
                <c:pt idx="188">
                  <c:v>20486.053027433158</c:v>
                </c:pt>
                <c:pt idx="189">
                  <c:v>20519.049173072217</c:v>
                </c:pt>
                <c:pt idx="190">
                  <c:v>20554.293541866202</c:v>
                </c:pt>
                <c:pt idx="191">
                  <c:v>20583.021087023288</c:v>
                </c:pt>
                <c:pt idx="192">
                  <c:v>20604.750305660262</c:v>
                </c:pt>
                <c:pt idx="193">
                  <c:v>20623.073759111248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550-EF47-8BC7-F651E1F6267A}"/>
            </c:ext>
          </c:extLst>
        </c:ser>
        <c:ser>
          <c:idx val="2"/>
          <c:order val="2"/>
          <c:tx>
            <c:strRef>
              <c:f>'20222023 WDCA'!$O$1:$O$2</c:f>
              <c:strCache>
                <c:ptCount val="2"/>
                <c:pt idx="1">
                  <c:v>AVG buying price Simple DCA</c:v>
                </c:pt>
              </c:strCache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numRef>
              <c:f>'20222023 WDCA'!$B$3:$B$196</c:f>
              <c:numCache>
                <c:formatCode>General</c:formatCode>
                <c:ptCount val="19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</c:numCache>
            </c:numRef>
          </c:cat>
          <c:val>
            <c:numRef>
              <c:f>'20222023 WDCA'!$O$3:$O$196</c:f>
              <c:numCache>
                <c:formatCode>"$"#,##0.00</c:formatCode>
                <c:ptCount val="194"/>
                <c:pt idx="0">
                  <c:v>41817</c:v>
                </c:pt>
                <c:pt idx="1">
                  <c:v>42013.210020627579</c:v>
                </c:pt>
                <c:pt idx="2">
                  <c:v>40063.1599280226</c:v>
                </c:pt>
                <c:pt idx="3">
                  <c:v>39650.766410065269</c:v>
                </c:pt>
                <c:pt idx="4">
                  <c:v>40428.250584451831</c:v>
                </c:pt>
                <c:pt idx="5">
                  <c:v>40765.57349027929</c:v>
                </c:pt>
                <c:pt idx="6">
                  <c:v>40194.26369521812</c:v>
                </c:pt>
                <c:pt idx="7">
                  <c:v>40544.620454510179</c:v>
                </c:pt>
                <c:pt idx="8">
                  <c:v>40245.310645699385</c:v>
                </c:pt>
                <c:pt idx="9">
                  <c:v>40184.878777175349</c:v>
                </c:pt>
                <c:pt idx="10">
                  <c:v>40264.463617950198</c:v>
                </c:pt>
                <c:pt idx="11">
                  <c:v>40765.081064589482</c:v>
                </c:pt>
                <c:pt idx="12">
                  <c:v>41165.315301563991</c:v>
                </c:pt>
                <c:pt idx="13">
                  <c:v>41045.113233160824</c:v>
                </c:pt>
                <c:pt idx="14">
                  <c:v>41029.953027997653</c:v>
                </c:pt>
                <c:pt idx="15">
                  <c:v>40994.742860742444</c:v>
                </c:pt>
                <c:pt idx="16">
                  <c:v>40843.442850525018</c:v>
                </c:pt>
                <c:pt idx="17">
                  <c:v>40046.966943189633</c:v>
                </c:pt>
                <c:pt idx="18">
                  <c:v>39343.283285663936</c:v>
                </c:pt>
                <c:pt idx="19">
                  <c:v>38661.774794435041</c:v>
                </c:pt>
                <c:pt idx="20">
                  <c:v>38264.132496806473</c:v>
                </c:pt>
                <c:pt idx="21">
                  <c:v>37883.264134496909</c:v>
                </c:pt>
                <c:pt idx="22">
                  <c:v>36768.129439754775</c:v>
                </c:pt>
                <c:pt idx="23">
                  <c:v>35600.25976648194</c:v>
                </c:pt>
                <c:pt idx="24">
                  <c:v>34609.610397456199</c:v>
                </c:pt>
                <c:pt idx="25">
                  <c:v>33688.212889628223</c:v>
                </c:pt>
                <c:pt idx="26">
                  <c:v>32852.507502181143</c:v>
                </c:pt>
                <c:pt idx="27">
                  <c:v>32306.947588644885</c:v>
                </c:pt>
                <c:pt idx="28">
                  <c:v>31757.282612859555</c:v>
                </c:pt>
                <c:pt idx="29">
                  <c:v>31379.539022991394</c:v>
                </c:pt>
                <c:pt idx="30">
                  <c:v>31060.650491052187</c:v>
                </c:pt>
                <c:pt idx="31">
                  <c:v>30781.994019636109</c:v>
                </c:pt>
                <c:pt idx="32">
                  <c:v>30372.34402342746</c:v>
                </c:pt>
                <c:pt idx="33">
                  <c:v>29933.624506682838</c:v>
                </c:pt>
                <c:pt idx="34">
                  <c:v>29502.078874549472</c:v>
                </c:pt>
                <c:pt idx="35">
                  <c:v>29242.84533166359</c:v>
                </c:pt>
                <c:pt idx="36">
                  <c:v>28856.644070909791</c:v>
                </c:pt>
                <c:pt idx="37">
                  <c:v>28479.765516204763</c:v>
                </c:pt>
                <c:pt idx="38">
                  <c:v>28154.490805911777</c:v>
                </c:pt>
                <c:pt idx="39">
                  <c:v>27827.606402673831</c:v>
                </c:pt>
                <c:pt idx="40">
                  <c:v>27543.507853252639</c:v>
                </c:pt>
                <c:pt idx="41">
                  <c:v>27268.186428073292</c:v>
                </c:pt>
                <c:pt idx="42">
                  <c:v>27060.045120487761</c:v>
                </c:pt>
                <c:pt idx="43">
                  <c:v>26867.332053043538</c:v>
                </c:pt>
                <c:pt idx="44">
                  <c:v>26504.721110921746</c:v>
                </c:pt>
                <c:pt idx="45">
                  <c:v>26118.703200050611</c:v>
                </c:pt>
                <c:pt idx="46">
                  <c:v>25783.509562455132</c:v>
                </c:pt>
                <c:pt idx="47">
                  <c:v>25507.111788769293</c:v>
                </c:pt>
                <c:pt idx="48">
                  <c:v>25257.9564219936</c:v>
                </c:pt>
                <c:pt idx="49">
                  <c:v>24989.144900789586</c:v>
                </c:pt>
                <c:pt idx="50">
                  <c:v>24755.951198582567</c:v>
                </c:pt>
                <c:pt idx="51">
                  <c:v>24527.938424209435</c:v>
                </c:pt>
                <c:pt idx="52">
                  <c:v>24331.673508356449</c:v>
                </c:pt>
                <c:pt idx="53">
                  <c:v>24264.818546430975</c:v>
                </c:pt>
                <c:pt idx="54">
                  <c:v>24239.143569918539</c:v>
                </c:pt>
                <c:pt idx="55">
                  <c:v>24211.841730502154</c:v>
                </c:pt>
                <c:pt idx="56">
                  <c:v>24184.482386808711</c:v>
                </c:pt>
                <c:pt idx="57">
                  <c:v>24138.932608975974</c:v>
                </c:pt>
                <c:pt idx="58">
                  <c:v>24149.808684345699</c:v>
                </c:pt>
                <c:pt idx="59">
                  <c:v>24138.75786525436</c:v>
                </c:pt>
                <c:pt idx="60">
                  <c:v>24108.359045429337</c:v>
                </c:pt>
                <c:pt idx="61">
                  <c:v>24109.100730845214</c:v>
                </c:pt>
                <c:pt idx="62">
                  <c:v>24160.426716170921</c:v>
                </c:pt>
                <c:pt idx="63">
                  <c:v>24202.128893829991</c:v>
                </c:pt>
                <c:pt idx="64">
                  <c:v>24251.008997320128</c:v>
                </c:pt>
                <c:pt idx="65">
                  <c:v>24318.483885691814</c:v>
                </c:pt>
                <c:pt idx="66">
                  <c:v>24382.092657717687</c:v>
                </c:pt>
                <c:pt idx="67">
                  <c:v>24423.047678800467</c:v>
                </c:pt>
                <c:pt idx="68">
                  <c:v>24469.616039552824</c:v>
                </c:pt>
                <c:pt idx="69">
                  <c:v>24510.755524475426</c:v>
                </c:pt>
                <c:pt idx="70">
                  <c:v>24545.297198273824</c:v>
                </c:pt>
                <c:pt idx="71">
                  <c:v>24574.695943045157</c:v>
                </c:pt>
                <c:pt idx="72">
                  <c:v>24613.43885570073</c:v>
                </c:pt>
                <c:pt idx="73">
                  <c:v>24628.571191968767</c:v>
                </c:pt>
                <c:pt idx="74">
                  <c:v>24644.783409444892</c:v>
                </c:pt>
                <c:pt idx="75">
                  <c:v>24670.643792159095</c:v>
                </c:pt>
                <c:pt idx="76">
                  <c:v>24729.93148876476</c:v>
                </c:pt>
                <c:pt idx="77">
                  <c:v>24795.330260448973</c:v>
                </c:pt>
                <c:pt idx="78">
                  <c:v>24853.285869980446</c:v>
                </c:pt>
                <c:pt idx="79">
                  <c:v>24907.930079243259</c:v>
                </c:pt>
                <c:pt idx="80">
                  <c:v>24953.016811626781</c:v>
                </c:pt>
                <c:pt idx="81">
                  <c:v>24997.532014354911</c:v>
                </c:pt>
                <c:pt idx="82">
                  <c:v>25040.63629382291</c:v>
                </c:pt>
                <c:pt idx="83">
                  <c:v>25084.99416666364</c:v>
                </c:pt>
                <c:pt idx="84">
                  <c:v>25096.790402582883</c:v>
                </c:pt>
                <c:pt idx="85">
                  <c:v>25108.047558985316</c:v>
                </c:pt>
                <c:pt idx="86">
                  <c:v>25115.784991355195</c:v>
                </c:pt>
                <c:pt idx="87">
                  <c:v>25116.003632555192</c:v>
                </c:pt>
                <c:pt idx="88">
                  <c:v>25133.398543465872</c:v>
                </c:pt>
                <c:pt idx="89">
                  <c:v>25145.678210360296</c:v>
                </c:pt>
                <c:pt idx="90">
                  <c:v>25169.962339113441</c:v>
                </c:pt>
                <c:pt idx="91">
                  <c:v>25193.99492953021</c:v>
                </c:pt>
                <c:pt idx="92">
                  <c:v>25225.51617492297</c:v>
                </c:pt>
                <c:pt idx="93">
                  <c:v>25288.610542556195</c:v>
                </c:pt>
                <c:pt idx="94">
                  <c:v>25359.856492929728</c:v>
                </c:pt>
                <c:pt idx="95">
                  <c:v>25432.922982180182</c:v>
                </c:pt>
                <c:pt idx="96">
                  <c:v>25512.889490027785</c:v>
                </c:pt>
                <c:pt idx="97">
                  <c:v>25596.456001075981</c:v>
                </c:pt>
                <c:pt idx="98">
                  <c:v>25677.499331941253</c:v>
                </c:pt>
                <c:pt idx="99">
                  <c:v>25777.340763370863</c:v>
                </c:pt>
                <c:pt idx="100">
                  <c:v>25873.273364301265</c:v>
                </c:pt>
                <c:pt idx="101">
                  <c:v>25973.386802240777</c:v>
                </c:pt>
                <c:pt idx="102">
                  <c:v>26075.817790679052</c:v>
                </c:pt>
                <c:pt idx="103">
                  <c:v>26178.526555405861</c:v>
                </c:pt>
                <c:pt idx="104">
                  <c:v>26289.389816466981</c:v>
                </c:pt>
                <c:pt idx="105">
                  <c:v>26384.435203443027</c:v>
                </c:pt>
                <c:pt idx="106">
                  <c:v>26466.888432567466</c:v>
                </c:pt>
                <c:pt idx="107">
                  <c:v>26562.217445265251</c:v>
                </c:pt>
                <c:pt idx="108">
                  <c:v>26654.347510742857</c:v>
                </c:pt>
                <c:pt idx="109">
                  <c:v>26767.941963634443</c:v>
                </c:pt>
                <c:pt idx="110">
                  <c:v>26884.998847432169</c:v>
                </c:pt>
                <c:pt idx="111">
                  <c:v>27007.29510376363</c:v>
                </c:pt>
                <c:pt idx="112">
                  <c:v>27152.276143145438</c:v>
                </c:pt>
                <c:pt idx="113">
                  <c:v>27301.697794979918</c:v>
                </c:pt>
                <c:pt idx="114">
                  <c:v>27444.204122136347</c:v>
                </c:pt>
                <c:pt idx="115">
                  <c:v>27588.849402895183</c:v>
                </c:pt>
                <c:pt idx="116">
                  <c:v>27732.178992532896</c:v>
                </c:pt>
                <c:pt idx="117">
                  <c:v>27877.066097626663</c:v>
                </c:pt>
                <c:pt idx="118">
                  <c:v>28008.932239656755</c:v>
                </c:pt>
                <c:pt idx="119">
                  <c:v>28145.3457606298</c:v>
                </c:pt>
                <c:pt idx="120">
                  <c:v>28276.116625815848</c:v>
                </c:pt>
                <c:pt idx="121">
                  <c:v>28404.821182356583</c:v>
                </c:pt>
                <c:pt idx="122">
                  <c:v>28532.013473365358</c:v>
                </c:pt>
                <c:pt idx="123">
                  <c:v>28670.576021708184</c:v>
                </c:pt>
                <c:pt idx="124">
                  <c:v>28805.74836937806</c:v>
                </c:pt>
                <c:pt idx="125">
                  <c:v>28939.308872201844</c:v>
                </c:pt>
                <c:pt idx="126">
                  <c:v>29072.861564053754</c:v>
                </c:pt>
                <c:pt idx="127">
                  <c:v>29201.234779850267</c:v>
                </c:pt>
                <c:pt idx="128">
                  <c:v>29318.372877031714</c:v>
                </c:pt>
                <c:pt idx="129">
                  <c:v>29439.166292490441</c:v>
                </c:pt>
                <c:pt idx="130">
                  <c:v>29547.593923505417</c:v>
                </c:pt>
                <c:pt idx="131">
                  <c:v>29669.770232415747</c:v>
                </c:pt>
                <c:pt idx="132">
                  <c:v>29795.376100944286</c:v>
                </c:pt>
                <c:pt idx="133">
                  <c:v>29919.163176495873</c:v>
                </c:pt>
                <c:pt idx="134">
                  <c:v>30019.103418292507</c:v>
                </c:pt>
                <c:pt idx="135">
                  <c:v>30128.669470004959</c:v>
                </c:pt>
                <c:pt idx="136">
                  <c:v>30237.454050504872</c:v>
                </c:pt>
                <c:pt idx="137">
                  <c:v>30351.80430119843</c:v>
                </c:pt>
                <c:pt idx="138">
                  <c:v>30458.506684556334</c:v>
                </c:pt>
                <c:pt idx="139">
                  <c:v>30560.4279185286</c:v>
                </c:pt>
                <c:pt idx="140">
                  <c:v>30663.761395352001</c:v>
                </c:pt>
                <c:pt idx="141">
                  <c:v>30775.562470282959</c:v>
                </c:pt>
                <c:pt idx="142">
                  <c:v>30886.474518578929</c:v>
                </c:pt>
                <c:pt idx="143">
                  <c:v>30995.206429065616</c:v>
                </c:pt>
                <c:pt idx="144">
                  <c:v>31109.133112450214</c:v>
                </c:pt>
                <c:pt idx="145">
                  <c:v>31224.346045032755</c:v>
                </c:pt>
                <c:pt idx="146">
                  <c:v>31342.26548193939</c:v>
                </c:pt>
                <c:pt idx="147">
                  <c:v>31456.525391746174</c:v>
                </c:pt>
                <c:pt idx="148">
                  <c:v>31593.50103812361</c:v>
                </c:pt>
                <c:pt idx="149">
                  <c:v>31731.265184293145</c:v>
                </c:pt>
                <c:pt idx="150">
                  <c:v>31870.579184731294</c:v>
                </c:pt>
                <c:pt idx="151">
                  <c:v>32011.062698027516</c:v>
                </c:pt>
                <c:pt idx="152">
                  <c:v>32152.135182946608</c:v>
                </c:pt>
                <c:pt idx="153">
                  <c:v>32298.161547555068</c:v>
                </c:pt>
                <c:pt idx="154">
                  <c:v>32436.131210791253</c:v>
                </c:pt>
                <c:pt idx="155">
                  <c:v>32571.727080531284</c:v>
                </c:pt>
                <c:pt idx="156">
                  <c:v>32713.673271961896</c:v>
                </c:pt>
                <c:pt idx="157">
                  <c:v>32849.513856692676</c:v>
                </c:pt>
                <c:pt idx="158">
                  <c:v>32990.563031506164</c:v>
                </c:pt>
                <c:pt idx="159">
                  <c:v>33130.595575155567</c:v>
                </c:pt>
                <c:pt idx="160">
                  <c:v>33269.844337912073</c:v>
                </c:pt>
                <c:pt idx="161">
                  <c:v>33405.597592879523</c:v>
                </c:pt>
                <c:pt idx="162">
                  <c:v>33539.604572193653</c:v>
                </c:pt>
                <c:pt idx="163">
                  <c:v>33669.956952466964</c:v>
                </c:pt>
                <c:pt idx="164">
                  <c:v>33794.879594931932</c:v>
                </c:pt>
                <c:pt idx="165">
                  <c:v>33911.783109739947</c:v>
                </c:pt>
                <c:pt idx="166">
                  <c:v>34033.315739946658</c:v>
                </c:pt>
                <c:pt idx="167">
                  <c:v>34157.391960272173</c:v>
                </c:pt>
                <c:pt idx="168">
                  <c:v>34276.198019015159</c:v>
                </c:pt>
                <c:pt idx="169">
                  <c:v>34391.191713348497</c:v>
                </c:pt>
                <c:pt idx="170">
                  <c:v>34510.957250222527</c:v>
                </c:pt>
                <c:pt idx="171">
                  <c:v>34632.767993710659</c:v>
                </c:pt>
                <c:pt idx="172">
                  <c:v>34760.497293236112</c:v>
                </c:pt>
                <c:pt idx="173">
                  <c:v>34887.523123696206</c:v>
                </c:pt>
                <c:pt idx="174">
                  <c:v>35019.802549498476</c:v>
                </c:pt>
                <c:pt idx="175">
                  <c:v>35153.309784167395</c:v>
                </c:pt>
                <c:pt idx="176">
                  <c:v>35288.600589853275</c:v>
                </c:pt>
                <c:pt idx="177">
                  <c:v>35421.285814374241</c:v>
                </c:pt>
                <c:pt idx="178">
                  <c:v>35556.074594068232</c:v>
                </c:pt>
                <c:pt idx="179">
                  <c:v>35688.609412963779</c:v>
                </c:pt>
                <c:pt idx="180">
                  <c:v>35819.560494118807</c:v>
                </c:pt>
                <c:pt idx="181">
                  <c:v>35951.061587847842</c:v>
                </c:pt>
                <c:pt idx="182">
                  <c:v>36082.751155530343</c:v>
                </c:pt>
                <c:pt idx="183">
                  <c:v>36220.346557037745</c:v>
                </c:pt>
                <c:pt idx="184">
                  <c:v>36356.252988553206</c:v>
                </c:pt>
                <c:pt idx="185">
                  <c:v>36492.010184999774</c:v>
                </c:pt>
                <c:pt idx="186">
                  <c:v>36625.827421683309</c:v>
                </c:pt>
                <c:pt idx="187">
                  <c:v>36761.051640786412</c:v>
                </c:pt>
                <c:pt idx="188">
                  <c:v>36894.564467803059</c:v>
                </c:pt>
                <c:pt idx="189">
                  <c:v>37024.123105671875</c:v>
                </c:pt>
                <c:pt idx="190">
                  <c:v>37152.563058567124</c:v>
                </c:pt>
                <c:pt idx="191">
                  <c:v>37282.393750260453</c:v>
                </c:pt>
                <c:pt idx="192">
                  <c:v>37413.629826787968</c:v>
                </c:pt>
                <c:pt idx="193">
                  <c:v>37545.283101295994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9550-EF47-8BC7-F651E1F62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66923653"/>
        <c:axId val="38947143"/>
      </c:lineChart>
      <c:catAx>
        <c:axId val="36692365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8947143"/>
        <c:crosses val="autoZero"/>
        <c:auto val="1"/>
        <c:lblAlgn val="ctr"/>
        <c:lblOffset val="100"/>
        <c:noMultiLvlLbl val="1"/>
      </c:catAx>
      <c:valAx>
        <c:axId val="38947143"/>
        <c:scaling>
          <c:orientation val="minMax"/>
          <c:max val="13000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CA"/>
              </a:p>
            </c:rich>
          </c:tx>
          <c:overlay val="0"/>
        </c:title>
        <c:numFmt formatCode="&quot;$&quot;#,##0.00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sz="1400"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36692365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800"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25400</xdr:colOff>
      <xdr:row>584</xdr:row>
      <xdr:rowOff>8467</xdr:rowOff>
    </xdr:from>
    <xdr:ext cx="12611100" cy="403860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201</xdr:row>
      <xdr:rowOff>171450</xdr:rowOff>
    </xdr:from>
    <xdr:ext cx="12115800" cy="3533775"/>
    <xdr:graphicFrame macro="">
      <xdr:nvGraphicFramePr>
        <xdr:cNvPr id="2" name="Chart 2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oin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0"/>
  <sheetViews>
    <sheetView topLeftCell="A5" zoomScale="150" zoomScaleNormal="150" workbookViewId="0">
      <selection activeCell="I14" sqref="I14"/>
    </sheetView>
  </sheetViews>
  <sheetFormatPr baseColWidth="10" defaultColWidth="12.6640625" defaultRowHeight="15.75" customHeight="1"/>
  <cols>
    <col min="1" max="1" width="10" customWidth="1"/>
    <col min="2" max="2" width="36.1640625" customWidth="1"/>
    <col min="3" max="3" width="2.83203125" customWidth="1"/>
    <col min="4" max="4" width="29.5" customWidth="1"/>
    <col min="5" max="5" width="11.1640625" bestFit="1" customWidth="1"/>
    <col min="6" max="6" width="5.6640625" customWidth="1"/>
    <col min="7" max="8" width="6.6640625" customWidth="1"/>
    <col min="9" max="9" width="21.6640625" customWidth="1"/>
    <col min="10" max="10" width="21" bestFit="1" customWidth="1"/>
    <col min="11" max="11" width="18.83203125" customWidth="1"/>
    <col min="12" max="12" width="9.6640625" customWidth="1"/>
  </cols>
  <sheetData>
    <row r="1" spans="1:15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5.75" customHeight="1">
      <c r="A2" s="1" t="s">
        <v>2</v>
      </c>
      <c r="B2" s="1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15.75" customHeight="1">
      <c r="A3" s="1" t="s">
        <v>4</v>
      </c>
      <c r="B3" s="4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5.75" customHeight="1">
      <c r="A4" s="5" t="s">
        <v>5</v>
      </c>
      <c r="B4" s="5">
        <v>5486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5.75" customHeight="1">
      <c r="A5" s="6"/>
      <c r="B5" s="7" t="str">
        <f ca="1">IFERROR(__xludf.DUMMYFUNCTION("IMPORTHTML(B1 &amp; ""?refresh="" &amp; B4, B2, B3)"),"")</f>
        <v/>
      </c>
      <c r="C5" s="3" t="str">
        <f ca="1">IFERROR(__xludf.DUMMYFUNCTION("""COMPUTED_VALUE"""),"#")</f>
        <v>#</v>
      </c>
      <c r="D5" s="3" t="str">
        <f ca="1">IFERROR(__xludf.DUMMYFUNCTION("""COMPUTED_VALUE"""),"Name")</f>
        <v>Name</v>
      </c>
      <c r="E5" s="3" t="str">
        <f ca="1">IFERROR(__xludf.DUMMYFUNCTION("""COMPUTED_VALUE"""),"Price")</f>
        <v>Price</v>
      </c>
      <c r="F5" s="3" t="str">
        <f ca="1">IFERROR(__xludf.DUMMYFUNCTION("""COMPUTED_VALUE"""),"1h %")</f>
        <v>1h %</v>
      </c>
      <c r="G5" s="3" t="str">
        <f ca="1">IFERROR(__xludf.DUMMYFUNCTION("""COMPUTED_VALUE"""),"24h %")</f>
        <v>24h %</v>
      </c>
      <c r="H5" s="3" t="str">
        <f ca="1">IFERROR(__xludf.DUMMYFUNCTION("""COMPUTED_VALUE"""),"7d %")</f>
        <v>7d %</v>
      </c>
      <c r="I5" s="3" t="str">
        <f ca="1">IFERROR(__xludf.DUMMYFUNCTION("""COMPUTED_VALUE"""),"Market Cap")</f>
        <v>Market Cap</v>
      </c>
      <c r="J5" s="3" t="str">
        <f ca="1">IFERROR(__xludf.DUMMYFUNCTION("""COMPUTED_VALUE"""),"Volume(24h)")</f>
        <v>Volume(24h)</v>
      </c>
      <c r="K5" s="3" t="str">
        <f ca="1">IFERROR(__xludf.DUMMYFUNCTION("""COMPUTED_VALUE"""),"Circulating Supply")</f>
        <v>Circulating Supply</v>
      </c>
      <c r="L5" s="3" t="str">
        <f ca="1">IFERROR(__xludf.DUMMYFUNCTION("""COMPUTED_VALUE"""),"Last 7 Days")</f>
        <v>Last 7 Days</v>
      </c>
      <c r="M5" s="3"/>
      <c r="N5" s="3"/>
      <c r="O5" s="3"/>
    </row>
    <row r="6" spans="1:15" ht="15.75" customHeight="1">
      <c r="A6" s="3"/>
      <c r="B6" s="3"/>
      <c r="C6" s="3">
        <f ca="1">IFERROR(__xludf.DUMMYFUNCTION("""COMPUTED_VALUE"""),1)</f>
        <v>1</v>
      </c>
      <c r="D6" s="3" t="str">
        <f ca="1">IFERROR(__xludf.DUMMYFUNCTION("""COMPUTED_VALUE"""),"Bitcoin
BTC")</f>
        <v>Bitcoin
BTC</v>
      </c>
      <c r="E6" s="8">
        <f ca="1">IFERROR(__xludf.DUMMYFUNCTION("""COMPUTED_VALUE"""),116157.11)</f>
        <v>116157.11</v>
      </c>
      <c r="F6" s="9">
        <f ca="1">IFERROR(__xludf.DUMMYFUNCTION("""COMPUTED_VALUE"""),0.0017)</f>
        <v>1.6999999999999999E-3</v>
      </c>
      <c r="G6" s="9">
        <f ca="1">IFERROR(__xludf.DUMMYFUNCTION("""COMPUTED_VALUE"""),0.0036)</f>
        <v>3.5999999999999999E-3</v>
      </c>
      <c r="H6" s="9">
        <f ca="1">IFERROR(__xludf.DUMMYFUNCTION("""COMPUTED_VALUE"""),0.002)</f>
        <v>2E-3</v>
      </c>
      <c r="I6" s="3" t="str">
        <f ca="1">IFERROR(__xludf.DUMMYFUNCTION("""COMPUTED_VALUE"""),"$2.31T$2,313,809,605,082")</f>
        <v>$2.31T$2,313,809,605,082</v>
      </c>
      <c r="J6" s="3" t="str">
        <f ca="1">IFERROR(__xludf.DUMMYFUNCTION("""COMPUTED_VALUE"""),"$26,248,888,775
226.01K")</f>
        <v>$26,248,888,775
226.01K</v>
      </c>
      <c r="K6" s="3" t="str">
        <f ca="1">IFERROR(__xludf.DUMMYFUNCTION("""COMPUTED_VALUE"""),"19.92MBTC")</f>
        <v>19.92MBTC</v>
      </c>
      <c r="L6" s="3"/>
      <c r="M6" s="3"/>
      <c r="N6" s="10" t="str">
        <f ca="1">LEFT(J6,16)</f>
        <v xml:space="preserve">$26,248,888,775
</v>
      </c>
      <c r="O6" s="3"/>
    </row>
    <row r="7" spans="1:15" ht="15.75" customHeight="1">
      <c r="A7" s="3"/>
      <c r="B7" s="3"/>
      <c r="C7" s="3">
        <f ca="1">IFERROR(__xludf.DUMMYFUNCTION("""COMPUTED_VALUE"""),2)</f>
        <v>2</v>
      </c>
      <c r="D7" s="3" t="str">
        <f ca="1">IFERROR(__xludf.DUMMYFUNCTION("""COMPUTED_VALUE"""),"Ethereum
ETH")</f>
        <v>Ethereum
ETH</v>
      </c>
      <c r="E7" s="11">
        <f ca="1">IFERROR(__xludf.DUMMYFUNCTION("""COMPUTED_VALUE"""),4502.62)</f>
        <v>4502.62</v>
      </c>
      <c r="F7" s="9">
        <f ca="1">IFERROR(__xludf.DUMMYFUNCTION("""COMPUTED_VALUE"""),0.0075)</f>
        <v>7.4999999999999997E-3</v>
      </c>
      <c r="G7" s="9">
        <f ca="1">IFERROR(__xludf.DUMMYFUNCTION("""COMPUTED_VALUE"""),0.0114)</f>
        <v>1.14E-2</v>
      </c>
      <c r="H7" s="9">
        <f ca="1">IFERROR(__xludf.DUMMYFUNCTION("""COMPUTED_VALUE"""),0.0399)</f>
        <v>3.9899999999999998E-2</v>
      </c>
      <c r="I7" s="3" t="str">
        <f ca="1">IFERROR(__xludf.DUMMYFUNCTION("""COMPUTED_VALUE"""),"$544B$543,998,127,709")</f>
        <v>$544B$543,998,127,709</v>
      </c>
      <c r="J7" s="3" t="str">
        <f ca="1">IFERROR(__xludf.DUMMYFUNCTION("""COMPUTED_VALUE"""),"$20,435,179,589
4.53M")</f>
        <v>$20,435,179,589
4.53M</v>
      </c>
      <c r="K7" s="3" t="str">
        <f ca="1">IFERROR(__xludf.DUMMYFUNCTION("""COMPUTED_VALUE"""),"120.7METH")</f>
        <v>120.7METH</v>
      </c>
      <c r="L7" s="3"/>
      <c r="M7" s="3"/>
      <c r="N7" s="10" t="str">
        <f ca="1">LEFT(J7,16)</f>
        <v xml:space="preserve">$20,435,179,589
</v>
      </c>
      <c r="O7" s="3"/>
    </row>
    <row r="8" spans="1:15" ht="15.75" customHeight="1">
      <c r="A8" s="3"/>
      <c r="B8" s="3"/>
      <c r="C8" s="3">
        <f ca="1">IFERROR(__xludf.DUMMYFUNCTION("""COMPUTED_VALUE"""),3)</f>
        <v>3</v>
      </c>
      <c r="D8" s="3" t="str">
        <f ca="1">IFERROR(__xludf.DUMMYFUNCTION("""COMPUTED_VALUE"""),"XRP
XRP")</f>
        <v>XRP
XRP</v>
      </c>
      <c r="E8" s="11">
        <f ca="1">IFERROR(__xludf.DUMMYFUNCTION("""COMPUTED_VALUE"""),2.99)</f>
        <v>2.99</v>
      </c>
      <c r="F8" s="9">
        <f ca="1">IFERROR(__xludf.DUMMYFUNCTION("""COMPUTED_VALUE"""),0.0058)</f>
        <v>5.7999999999999996E-3</v>
      </c>
      <c r="G8" s="9">
        <f ca="1">IFERROR(__xludf.DUMMYFUNCTION("""COMPUTED_VALUE"""),0.0019)</f>
        <v>1.9E-3</v>
      </c>
      <c r="H8" s="9">
        <f ca="1">IFERROR(__xludf.DUMMYFUNCTION("""COMPUTED_VALUE"""),0.0506)</f>
        <v>5.0599999999999999E-2</v>
      </c>
      <c r="I8" s="3" t="str">
        <f ca="1">IFERROR(__xludf.DUMMYFUNCTION("""COMPUTED_VALUE"""),"$178.99B$178,991,361,532")</f>
        <v>$178.99B$178,991,361,532</v>
      </c>
      <c r="J8" s="3" t="str">
        <f ca="1">IFERROR(__xludf.DUMMYFUNCTION("""COMPUTED_VALUE"""),"$3,470,165,997
1.15B")</f>
        <v>$3,470,165,997
1.15B</v>
      </c>
      <c r="K8" s="3" t="str">
        <f ca="1">IFERROR(__xludf.DUMMYFUNCTION("""COMPUTED_VALUE"""),"59.77BXRP")</f>
        <v>59.77BXRP</v>
      </c>
      <c r="L8" s="3"/>
      <c r="M8" s="3"/>
      <c r="N8" s="3"/>
      <c r="O8" s="3"/>
    </row>
    <row r="9" spans="1:15" ht="15.75" customHeight="1">
      <c r="A9" s="3"/>
      <c r="B9" s="3"/>
      <c r="C9" s="3">
        <f ca="1">IFERROR(__xludf.DUMMYFUNCTION("""COMPUTED_VALUE"""),4)</f>
        <v>4</v>
      </c>
      <c r="D9" s="3" t="str">
        <f ca="1">IFERROR(__xludf.DUMMYFUNCTION("""COMPUTED_VALUE"""),"Tether
USDT")</f>
        <v>Tether
USDT</v>
      </c>
      <c r="E9" s="11">
        <f ca="1">IFERROR(__xludf.DUMMYFUNCTION("""COMPUTED_VALUE"""),1)</f>
        <v>1</v>
      </c>
      <c r="F9" s="9">
        <f ca="1">IFERROR(__xludf.DUMMYFUNCTION("""COMPUTED_VALUE"""),0.0001)</f>
        <v>1E-4</v>
      </c>
      <c r="G9" s="9">
        <f ca="1">IFERROR(__xludf.DUMMYFUNCTION("""COMPUTED_VALUE"""),0.0002)</f>
        <v>2.0000000000000001E-4</v>
      </c>
      <c r="H9" s="9">
        <f ca="1">IFERROR(__xludf.DUMMYFUNCTION("""COMPUTED_VALUE"""),0.0003)</f>
        <v>2.9999999999999997E-4</v>
      </c>
      <c r="I9" s="3" t="str">
        <f ca="1">IFERROR(__xludf.DUMMYFUNCTION("""COMPUTED_VALUE"""),"$171.55B$171,547,592,161")</f>
        <v>$171.55B$171,547,592,161</v>
      </c>
      <c r="J9" s="3" t="str">
        <f ca="1">IFERROR(__xludf.DUMMYFUNCTION("""COMPUTED_VALUE"""),"$84,625,115,031
84.57B")</f>
        <v>$84,625,115,031
84.57B</v>
      </c>
      <c r="K9" s="3" t="str">
        <f ca="1">IFERROR(__xludf.DUMMYFUNCTION("""COMPUTED_VALUE"""),"171.44BUSDT")</f>
        <v>171.44BUSDT</v>
      </c>
      <c r="L9" s="3"/>
      <c r="M9" s="3"/>
      <c r="N9" s="3"/>
      <c r="O9" s="3"/>
    </row>
    <row r="10" spans="1:15" ht="15.75" customHeight="1">
      <c r="A10" s="3"/>
      <c r="B10" s="3"/>
      <c r="C10" s="3">
        <f ca="1">IFERROR(__xludf.DUMMYFUNCTION("""COMPUTED_VALUE"""),5)</f>
        <v>5</v>
      </c>
      <c r="D10" s="3" t="str">
        <f ca="1">IFERROR(__xludf.DUMMYFUNCTION("""COMPUTED_VALUE"""),"BNB
BNB")</f>
        <v>BNB
BNB</v>
      </c>
      <c r="E10" s="11">
        <f ca="1">IFERROR(__xludf.DUMMYFUNCTION("""COMPUTED_VALUE"""),1021.51)</f>
        <v>1021.51</v>
      </c>
      <c r="F10" s="9">
        <f ca="1">IFERROR(__xludf.DUMMYFUNCTION("""COMPUTED_VALUE"""),0.0199)</f>
        <v>1.9900000000000001E-2</v>
      </c>
      <c r="G10" s="9">
        <f ca="1">IFERROR(__xludf.DUMMYFUNCTION("""COMPUTED_VALUE"""),0.0462)</f>
        <v>4.6199999999999998E-2</v>
      </c>
      <c r="H10" s="9">
        <f ca="1">IFERROR(__xludf.DUMMYFUNCTION("""COMPUTED_VALUE"""),0.0849)</f>
        <v>8.4900000000000003E-2</v>
      </c>
      <c r="I10" s="3" t="str">
        <f ca="1">IFERROR(__xludf.DUMMYFUNCTION("""COMPUTED_VALUE"""),"$142.18B$142,181,353,899")</f>
        <v>$142.18B$142,181,353,899</v>
      </c>
      <c r="J10" s="3" t="str">
        <f ca="1">IFERROR(__xludf.DUMMYFUNCTION("""COMPUTED_VALUE"""),"$3,142,808,195
3.07M")</f>
        <v>$3,142,808,195
3.07M</v>
      </c>
      <c r="K10" s="3" t="str">
        <f ca="1">IFERROR(__xludf.DUMMYFUNCTION("""COMPUTED_VALUE"""),"139.18MBNB")</f>
        <v>139.18MBNB</v>
      </c>
      <c r="L10" s="3"/>
      <c r="M10" s="3"/>
      <c r="N10" s="3"/>
      <c r="O10" s="3"/>
    </row>
    <row r="11" spans="1:15" ht="15.75" customHeight="1">
      <c r="A11" s="3"/>
      <c r="B11" s="3"/>
      <c r="C11" s="3">
        <f ca="1">IFERROR(__xludf.DUMMYFUNCTION("""COMPUTED_VALUE"""),6)</f>
        <v>6</v>
      </c>
      <c r="D11" s="3" t="str">
        <f ca="1">IFERROR(__xludf.DUMMYFUNCTION("""COMPUTED_VALUE"""),"Solana
SOL")</f>
        <v>Solana
SOL</v>
      </c>
      <c r="E11" s="11">
        <f ca="1">IFERROR(__xludf.DUMMYFUNCTION("""COMPUTED_VALUE"""),240.58)</f>
        <v>240.58</v>
      </c>
      <c r="F11" s="9">
        <f ca="1">IFERROR(__xludf.DUMMYFUNCTION("""COMPUTED_VALUE"""),0.0126)</f>
        <v>1.26E-2</v>
      </c>
      <c r="G11" s="9">
        <f ca="1">IFERROR(__xludf.DUMMYFUNCTION("""COMPUTED_VALUE"""),0.0149)</f>
        <v>1.49E-2</v>
      </c>
      <c r="H11" s="9">
        <f ca="1">IFERROR(__xludf.DUMMYFUNCTION("""COMPUTED_VALUE"""),0.0007)</f>
        <v>6.9999999999999999E-4</v>
      </c>
      <c r="I11" s="3" t="str">
        <f ca="1">IFERROR(__xludf.DUMMYFUNCTION("""COMPUTED_VALUE"""),"$130.68B$130,676,455,455")</f>
        <v>$130.68B$130,676,455,455</v>
      </c>
      <c r="J11" s="3" t="str">
        <f ca="1">IFERROR(__xludf.DUMMYFUNCTION("""COMPUTED_VALUE"""),"$4,588,393,912
19.07M")</f>
        <v>$4,588,393,912
19.07M</v>
      </c>
      <c r="K11" s="3" t="str">
        <f ca="1">IFERROR(__xludf.DUMMYFUNCTION("""COMPUTED_VALUE"""),"543.15MSOL")</f>
        <v>543.15MSOL</v>
      </c>
      <c r="L11" s="3"/>
      <c r="M11" s="3"/>
      <c r="N11" s="3"/>
      <c r="O11" s="3"/>
    </row>
    <row r="12" spans="1:15" ht="15.75" customHeight="1">
      <c r="A12" s="3"/>
      <c r="B12" s="3"/>
      <c r="C12" s="3">
        <f ca="1">IFERROR(__xludf.DUMMYFUNCTION("""COMPUTED_VALUE"""),7)</f>
        <v>7</v>
      </c>
      <c r="D12" s="3" t="str">
        <f ca="1">IFERROR(__xludf.DUMMYFUNCTION("""COMPUTED_VALUE"""),"USDC
USDC")</f>
        <v>USDC
USDC</v>
      </c>
      <c r="E12" s="11">
        <f ca="1">IFERROR(__xludf.DUMMYFUNCTION("""COMPUTED_VALUE"""),1)</f>
        <v>1</v>
      </c>
      <c r="F12" s="9">
        <f ca="1">IFERROR(__xludf.DUMMYFUNCTION("""COMPUTED_VALUE"""),0.0002)</f>
        <v>2.0000000000000001E-4</v>
      </c>
      <c r="G12" s="9">
        <f ca="1">IFERROR(__xludf.DUMMYFUNCTION("""COMPUTED_VALUE"""),0.0001)</f>
        <v>1E-4</v>
      </c>
      <c r="H12" s="9">
        <f ca="1">IFERROR(__xludf.DUMMYFUNCTION("""COMPUTED_VALUE"""),0.0005)</f>
        <v>5.0000000000000001E-4</v>
      </c>
      <c r="I12" s="3" t="str">
        <f ca="1">IFERROR(__xludf.DUMMYFUNCTION("""COMPUTED_VALUE"""),"$74.02B$74,017,791,683")</f>
        <v>$74.02B$74,017,791,683</v>
      </c>
      <c r="J12" s="3" t="str">
        <f ca="1">IFERROR(__xludf.DUMMYFUNCTION("""COMPUTED_VALUE"""),"$9,988,188,897
9.98B")</f>
        <v>$9,988,188,897
9.98B</v>
      </c>
      <c r="K12" s="3" t="str">
        <f ca="1">IFERROR(__xludf.DUMMYFUNCTION("""COMPUTED_VALUE"""),"74.01BUSDC")</f>
        <v>74.01BUSDC</v>
      </c>
      <c r="L12" s="3"/>
      <c r="M12" s="3"/>
      <c r="N12" s="3"/>
      <c r="O12" s="3"/>
    </row>
    <row r="13" spans="1:15" ht="15.75" customHeight="1">
      <c r="A13" s="3"/>
      <c r="B13" s="3"/>
      <c r="C13" s="3">
        <f ca="1">IFERROR(__xludf.DUMMYFUNCTION("""COMPUTED_VALUE"""),8)</f>
        <v>8</v>
      </c>
      <c r="D13" s="3" t="str">
        <f ca="1">IFERROR(__xludf.DUMMYFUNCTION("""COMPUTED_VALUE"""),"Dogecoin
DOGE")</f>
        <v>Dogecoin
DOGE</v>
      </c>
      <c r="E13" s="11">
        <f ca="1">IFERROR(__xludf.DUMMYFUNCTION("""COMPUTED_VALUE"""),0.2684)</f>
        <v>0.26840000000000003</v>
      </c>
      <c r="F13" s="9">
        <f ca="1">IFERROR(__xludf.DUMMYFUNCTION("""COMPUTED_VALUE"""),0.0124)</f>
        <v>1.24E-2</v>
      </c>
      <c r="G13" s="9">
        <f ca="1">IFERROR(__xludf.DUMMYFUNCTION("""COMPUTED_VALUE"""),0.0106)</f>
        <v>1.06E-2</v>
      </c>
      <c r="H13" s="9">
        <f ca="1">IFERROR(__xludf.DUMMYFUNCTION("""COMPUTED_VALUE"""),0.1127)</f>
        <v>0.11269999999999999</v>
      </c>
      <c r="I13" s="3" t="str">
        <f ca="1">IFERROR(__xludf.DUMMYFUNCTION("""COMPUTED_VALUE"""),"$40.54B$40,543,822,028")</f>
        <v>$40.54B$40,543,822,028</v>
      </c>
      <c r="J13" s="3" t="str">
        <f ca="1">IFERROR(__xludf.DUMMYFUNCTION("""COMPUTED_VALUE"""),"$2,134,701,569
7.95B")</f>
        <v>$2,134,701,569
7.95B</v>
      </c>
      <c r="K13" s="3" t="str">
        <f ca="1">IFERROR(__xludf.DUMMYFUNCTION("""COMPUTED_VALUE"""),"151.02BDOGE")</f>
        <v>151.02BDOGE</v>
      </c>
      <c r="L13" s="3"/>
      <c r="M13" s="3"/>
      <c r="N13" s="3"/>
      <c r="O13" s="3"/>
    </row>
    <row r="14" spans="1:15" ht="15.75" customHeight="1">
      <c r="A14" s="3"/>
      <c r="B14" s="3"/>
      <c r="C14" s="3">
        <f ca="1">IFERROR(__xludf.DUMMYFUNCTION("""COMPUTED_VALUE"""),9)</f>
        <v>9</v>
      </c>
      <c r="D14" s="3" t="str">
        <f ca="1">IFERROR(__xludf.DUMMYFUNCTION("""COMPUTED_VALUE"""),"TRON
TRX")</f>
        <v>TRON
TRX</v>
      </c>
      <c r="E14" s="11">
        <f ca="1">IFERROR(__xludf.DUMMYFUNCTION("""COMPUTED_VALUE"""),0.3477)</f>
        <v>0.34770000000000001</v>
      </c>
      <c r="F14" s="9">
        <f ca="1">IFERROR(__xludf.DUMMYFUNCTION("""COMPUTED_VALUE"""),0.0019)</f>
        <v>1.9E-3</v>
      </c>
      <c r="G14" s="9">
        <f ca="1">IFERROR(__xludf.DUMMYFUNCTION("""COMPUTED_VALUE"""),0.0074)</f>
        <v>7.4000000000000003E-3</v>
      </c>
      <c r="H14" s="9">
        <f ca="1">IFERROR(__xludf.DUMMYFUNCTION("""COMPUTED_VALUE"""),0.0098)</f>
        <v>9.7999999999999997E-3</v>
      </c>
      <c r="I14" s="3" t="str">
        <f ca="1">IFERROR(__xludf.DUMMYFUNCTION("""COMPUTED_VALUE"""),"$32.92B$32,916,729,006")</f>
        <v>$32.92B$32,916,729,006</v>
      </c>
      <c r="J14" s="3" t="str">
        <f ca="1">IFERROR(__xludf.DUMMYFUNCTION("""COMPUTED_VALUE"""),"$697,821,822
2.00B")</f>
        <v>$697,821,822
2.00B</v>
      </c>
      <c r="K14" s="3" t="str">
        <f ca="1">IFERROR(__xludf.DUMMYFUNCTION("""COMPUTED_VALUE"""),"94.66BTRX")</f>
        <v>94.66BTRX</v>
      </c>
      <c r="L14" s="3"/>
      <c r="M14" s="3"/>
      <c r="N14" s="3"/>
      <c r="O14" s="3"/>
    </row>
    <row r="15" spans="1:15" ht="15.75" customHeight="1">
      <c r="A15" s="3"/>
      <c r="B15" s="3"/>
      <c r="C15" s="3">
        <f ca="1">IFERROR(__xludf.DUMMYFUNCTION("""COMPUTED_VALUE"""),10)</f>
        <v>10</v>
      </c>
      <c r="D15" s="3" t="str">
        <f ca="1">IFERROR(__xludf.DUMMYFUNCTION("""COMPUTED_VALUE"""),"Cardano
ADA")</f>
        <v>Cardano
ADA</v>
      </c>
      <c r="E15" s="11">
        <f ca="1">IFERROR(__xludf.DUMMYFUNCTION("""COMPUTED_VALUE"""),0.9033)</f>
        <v>0.90329999999999999</v>
      </c>
      <c r="F15" s="9">
        <f ca="1">IFERROR(__xludf.DUMMYFUNCTION("""COMPUTED_VALUE"""),0.0101)</f>
        <v>1.01E-2</v>
      </c>
      <c r="G15" s="9">
        <f ca="1">IFERROR(__xludf.DUMMYFUNCTION("""COMPUTED_VALUE"""),0.0107)</f>
        <v>1.0699999999999999E-2</v>
      </c>
      <c r="H15" s="9">
        <f ca="1">IFERROR(__xludf.DUMMYFUNCTION("""COMPUTED_VALUE"""),0.0467)</f>
        <v>4.6699999999999998E-2</v>
      </c>
      <c r="I15" s="3" t="str">
        <f ca="1">IFERROR(__xludf.DUMMYFUNCTION("""COMPUTED_VALUE"""),"$32.33B$32,334,005,262")</f>
        <v>$32.33B$32,334,005,262</v>
      </c>
      <c r="J15" s="3" t="str">
        <f ca="1">IFERROR(__xludf.DUMMYFUNCTION("""COMPUTED_VALUE"""),"$932,227,024
1.03B")</f>
        <v>$932,227,024
1.03B</v>
      </c>
      <c r="K15" s="3" t="str">
        <f ca="1">IFERROR(__xludf.DUMMYFUNCTION("""COMPUTED_VALUE"""),"35.79BADA")</f>
        <v>35.79BADA</v>
      </c>
      <c r="L15" s="3"/>
      <c r="M15" s="3"/>
      <c r="N15" s="3"/>
      <c r="O15" s="3"/>
    </row>
    <row r="16" spans="1:15" ht="15.75" customHeight="1">
      <c r="A16" s="3"/>
      <c r="B16" s="3"/>
      <c r="C16" s="3"/>
      <c r="D16" s="3" t="str">
        <f ca="1">IFERROR(__xludf.DUMMYFUNCTION("""COMPUTED_VALUE"""),"HyperliquidHYPE")</f>
        <v>HyperliquidHYPE</v>
      </c>
      <c r="E16" s="11">
        <f ca="1">IFERROR(__xludf.DUMMYFUNCTION("""COMPUTED_VALUE"""),55.92)</f>
        <v>55.92</v>
      </c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5.75" customHeight="1">
      <c r="A17" s="3"/>
      <c r="B17" s="3"/>
      <c r="C17" s="3"/>
      <c r="D17" s="3" t="str">
        <f ca="1">IFERROR(__xludf.DUMMYFUNCTION("""COMPUTED_VALUE"""),"ChainlinkLINK")</f>
        <v>ChainlinkLINK</v>
      </c>
      <c r="E17" s="11">
        <f ca="1">IFERROR(__xludf.DUMMYFUNCTION("""COMPUTED_VALUE"""),23.56)</f>
        <v>23.56</v>
      </c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5.75" customHeight="1">
      <c r="A18" s="3"/>
      <c r="B18" s="3"/>
      <c r="C18" s="3"/>
      <c r="D18" s="3" t="str">
        <f ca="1">IFERROR(__xludf.DUMMYFUNCTION("""COMPUTED_VALUE"""),"AvalancheAVAX")</f>
        <v>AvalancheAVAX</v>
      </c>
      <c r="E18" s="11">
        <f ca="1">IFERROR(__xludf.DUMMYFUNCTION("""COMPUTED_VALUE"""),33.96)</f>
        <v>33.96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5.75" customHeight="1">
      <c r="A19" s="3"/>
      <c r="B19" s="3"/>
      <c r="C19" s="3"/>
      <c r="D19" s="3" t="str">
        <f ca="1">IFERROR(__xludf.DUMMYFUNCTION("""COMPUTED_VALUE"""),"Ethena USDeUSDe")</f>
        <v>Ethena USDeUSDe</v>
      </c>
      <c r="E19" s="11">
        <f ca="1">IFERROR(__xludf.DUMMYFUNCTION("""COMPUTED_VALUE"""),1)</f>
        <v>1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5.75" customHeight="1">
      <c r="A20" s="3"/>
      <c r="B20" s="3"/>
      <c r="C20" s="3"/>
      <c r="D20" s="3" t="str">
        <f ca="1">IFERROR(__xludf.DUMMYFUNCTION("""COMPUTED_VALUE"""),"SuiSUI")</f>
        <v>SuiSUI</v>
      </c>
      <c r="E20" s="11">
        <f ca="1">IFERROR(__xludf.DUMMYFUNCTION("""COMPUTED_VALUE"""),3.7)</f>
        <v>3.7</v>
      </c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5.75" customHeight="1">
      <c r="A21" s="3"/>
      <c r="B21" s="3"/>
      <c r="C21" s="3"/>
      <c r="D21" s="3" t="str">
        <f ca="1">IFERROR(__xludf.DUMMYFUNCTION("""COMPUTED_VALUE"""),"StellarXLM")</f>
        <v>StellarXLM</v>
      </c>
      <c r="E21" s="11">
        <f ca="1">IFERROR(__xludf.DUMMYFUNCTION("""COMPUTED_VALUE"""),0.39)</f>
        <v>0.39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5.75" customHeight="1">
      <c r="A22" s="3"/>
      <c r="B22" s="3"/>
      <c r="C22" s="3"/>
      <c r="D22" s="3" t="str">
        <f ca="1">IFERROR(__xludf.DUMMYFUNCTION("""COMPUTED_VALUE"""),"Bitcoin CashBCH")</f>
        <v>Bitcoin CashBCH</v>
      </c>
      <c r="E22" s="11">
        <f ca="1">IFERROR(__xludf.DUMMYFUNCTION("""COMPUTED_VALUE"""),604.56)</f>
        <v>604.55999999999995</v>
      </c>
      <c r="F22" s="3"/>
      <c r="G22" s="3"/>
      <c r="H22" s="3"/>
      <c r="I22" s="3"/>
      <c r="J22" s="3"/>
      <c r="K22" s="3"/>
      <c r="L22" s="3"/>
      <c r="M22" s="3"/>
      <c r="N22" s="3"/>
      <c r="O22" s="3"/>
    </row>
    <row r="23" spans="1:15" ht="15.75" customHeight="1">
      <c r="A23" s="3"/>
      <c r="B23" s="3"/>
      <c r="C23" s="3"/>
      <c r="D23" s="3" t="str">
        <f ca="1">IFERROR(__xludf.DUMMYFUNCTION("""COMPUTED_VALUE"""),"HederaHBAR")</f>
        <v>HederaHBAR</v>
      </c>
      <c r="E23" s="11">
        <f ca="1">IFERROR(__xludf.DUMMYFUNCTION("""COMPUTED_VALUE"""),0.25)</f>
        <v>0.25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15.75" customHeight="1">
      <c r="A24" s="3"/>
      <c r="B24" s="3"/>
      <c r="C24" s="3"/>
      <c r="D24" s="3" t="str">
        <f ca="1">IFERROR(__xludf.DUMMYFUNCTION("""COMPUTED_VALUE"""),"UNUS SED LEOLEO")</f>
        <v>UNUS SED LEOLEO</v>
      </c>
      <c r="E24" s="11">
        <f ca="1">IFERROR(__xludf.DUMMYFUNCTION("""COMPUTED_VALUE"""),9.52)</f>
        <v>9.52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.75" customHeight="1">
      <c r="A25" s="3"/>
      <c r="B25" s="3"/>
      <c r="C25" s="3"/>
      <c r="D25" s="3" t="str">
        <f ca="1">IFERROR(__xludf.DUMMYFUNCTION("""COMPUTED_VALUE"""),"LitecoinLTC")</f>
        <v>LitecoinLTC</v>
      </c>
      <c r="E25" s="11">
        <f ca="1">IFERROR(__xludf.DUMMYFUNCTION("""COMPUTED_VALUE"""),114.77)</f>
        <v>114.77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15.75" customHeight="1">
      <c r="A26" s="3"/>
      <c r="B26" s="3"/>
      <c r="C26" s="3"/>
      <c r="D26" s="3" t="str">
        <f ca="1">IFERROR(__xludf.DUMMYFUNCTION("""COMPUTED_VALUE"""),"CronosCRO")</f>
        <v>CronosCRO</v>
      </c>
      <c r="E26" s="11">
        <f ca="1">IFERROR(__xludf.DUMMYFUNCTION("""COMPUTED_VALUE"""),0.23)</f>
        <v>0.23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.75" customHeight="1">
      <c r="A27" s="3"/>
      <c r="B27" s="3"/>
      <c r="C27" s="3"/>
      <c r="D27" s="3" t="str">
        <f ca="1">IFERROR(__xludf.DUMMYFUNCTION("""COMPUTED_VALUE"""),"ToncoinTON")</f>
        <v>ToncoinTON</v>
      </c>
      <c r="E27" s="11">
        <f ca="1">IFERROR(__xludf.DUMMYFUNCTION("""COMPUTED_VALUE"""),3.11)</f>
        <v>3.11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15.75" customHeight="1">
      <c r="A28" s="3"/>
      <c r="B28" s="3"/>
      <c r="C28" s="3"/>
      <c r="D28" s="3" t="str">
        <f ca="1">IFERROR(__xludf.DUMMYFUNCTION("""COMPUTED_VALUE"""),"Shiba InuSHIB")</f>
        <v>Shiba InuSHIB</v>
      </c>
      <c r="E28" s="11">
        <f ca="1">IFERROR(__xludf.DUMMYFUNCTION("""COMPUTED_VALUE"""),0)</f>
        <v>0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.75" customHeight="1">
      <c r="A29" s="3"/>
      <c r="B29" s="3"/>
      <c r="C29" s="3"/>
      <c r="D29" s="3" t="str">
        <f ca="1">IFERROR(__xludf.DUMMYFUNCTION("""COMPUTED_VALUE"""),"PolkadotDOT")</f>
        <v>PolkadotDOT</v>
      </c>
      <c r="E29" s="11">
        <f ca="1">IFERROR(__xludf.DUMMYFUNCTION("""COMPUTED_VALUE"""),4.45)</f>
        <v>4.45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15.75" customHeight="1">
      <c r="A30" s="3"/>
      <c r="B30" s="3"/>
      <c r="C30" s="3"/>
      <c r="D30" s="3" t="str">
        <f ca="1">IFERROR(__xludf.DUMMYFUNCTION("""COMPUTED_VALUE"""),"UniswapUNI")</f>
        <v>UniswapUNI</v>
      </c>
      <c r="E30" s="11">
        <f ca="1">IFERROR(__xludf.DUMMYFUNCTION("""COMPUTED_VALUE"""),9.28)</f>
        <v>9.2799999999999994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.75" customHeight="1">
      <c r="A31" s="3"/>
      <c r="B31" s="3"/>
      <c r="C31" s="3"/>
      <c r="D31" s="3" t="str">
        <f ca="1">IFERROR(__xludf.DUMMYFUNCTION("""COMPUTED_VALUE"""),"MantleMNT")</f>
        <v>MantleMNT</v>
      </c>
      <c r="E31" s="11">
        <f ca="1">IFERROR(__xludf.DUMMYFUNCTION("""COMPUTED_VALUE"""),1.72)</f>
        <v>1.72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.75" customHeight="1">
      <c r="A32" s="3"/>
      <c r="B32" s="3"/>
      <c r="C32" s="3"/>
      <c r="D32" s="3" t="str">
        <f ca="1">IFERROR(__xludf.DUMMYFUNCTION("""COMPUTED_VALUE"""),"World Liberty FinancialWLFI")</f>
        <v>World Liberty FinancialWLFI</v>
      </c>
      <c r="E32" s="11">
        <f ca="1">IFERROR(__xludf.DUMMYFUNCTION("""COMPUTED_VALUE"""),0.22)</f>
        <v>0.22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.75" customHeight="1">
      <c r="A33" s="3"/>
      <c r="B33" s="3"/>
      <c r="C33" s="3"/>
      <c r="D33" s="3" t="str">
        <f ca="1">IFERROR(__xludf.DUMMYFUNCTION("""COMPUTED_VALUE"""),"MoneroXMR")</f>
        <v>MoneroXMR</v>
      </c>
      <c r="E33" s="11">
        <f ca="1">IFERROR(__xludf.DUMMYFUNCTION("""COMPUTED_VALUE"""),297.27)</f>
        <v>297.27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.75" customHeight="1">
      <c r="A34" s="3"/>
      <c r="B34" s="3"/>
      <c r="C34" s="3"/>
      <c r="D34" s="3" t="str">
        <f ca="1">IFERROR(__xludf.DUMMYFUNCTION("""COMPUTED_VALUE"""),"DaiDAI")</f>
        <v>DaiDAI</v>
      </c>
      <c r="E34" s="11">
        <f ca="1">IFERROR(__xludf.DUMMYFUNCTION("""COMPUTED_VALUE"""),1)</f>
        <v>1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.75" customHeight="1">
      <c r="A35" s="3"/>
      <c r="B35" s="3"/>
      <c r="C35" s="3"/>
      <c r="D35" s="3" t="str">
        <f ca="1">IFERROR(__xludf.DUMMYFUNCTION("""COMPUTED_VALUE"""),"EthenaENA")</f>
        <v>EthenaENA</v>
      </c>
      <c r="E35" s="11">
        <f ca="1">IFERROR(__xludf.DUMMYFUNCTION("""COMPUTED_VALUE"""),0.67)</f>
        <v>0.67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.75" customHeight="1">
      <c r="A36" s="3"/>
      <c r="B36" s="3"/>
      <c r="C36" s="3"/>
      <c r="D36" s="3" t="str">
        <f ca="1">IFERROR(__xludf.DUMMYFUNCTION("""COMPUTED_VALUE"""),"AaveAAVE")</f>
        <v>AaveAAVE</v>
      </c>
      <c r="E36" s="11">
        <f ca="1">IFERROR(__xludf.DUMMYFUNCTION("""COMPUTED_VALUE"""),299.56)</f>
        <v>299.56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.75" customHeight="1">
      <c r="A37" s="3"/>
      <c r="B37" s="3"/>
      <c r="C37" s="3"/>
      <c r="D37" s="3" t="str">
        <f ca="1">IFERROR(__xludf.DUMMYFUNCTION("""COMPUTED_VALUE"""),"PepePEPE")</f>
        <v>PepePEPE</v>
      </c>
      <c r="E37" s="11">
        <f ca="1">IFERROR(__xludf.DUMMYFUNCTION("""COMPUTED_VALUE"""),0)</f>
        <v>0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ht="15.75" customHeight="1">
      <c r="A38" s="3"/>
      <c r="B38" s="3"/>
      <c r="C38" s="3"/>
      <c r="D38" s="3" t="str">
        <f ca="1">IFERROR(__xludf.DUMMYFUNCTION("""COMPUTED_VALUE"""),"NEAR ProtocolNEAR")</f>
        <v>NEAR ProtocolNEAR</v>
      </c>
      <c r="E38" s="11">
        <f ca="1">IFERROR(__xludf.DUMMYFUNCTION("""COMPUTED_VALUE"""),3.27)</f>
        <v>3.27</v>
      </c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15.75" customHeight="1">
      <c r="A39" s="3"/>
      <c r="B39" s="3"/>
      <c r="C39" s="3"/>
      <c r="D39" s="3" t="str">
        <f ca="1">IFERROR(__xludf.DUMMYFUNCTION("""COMPUTED_VALUE"""),"OKBOKB")</f>
        <v>OKBOKB</v>
      </c>
      <c r="E39" s="11">
        <f ca="1">IFERROR(__xludf.DUMMYFUNCTION("""COMPUTED_VALUE"""),194.46)</f>
        <v>194.46</v>
      </c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ht="15.75" customHeight="1">
      <c r="A40" s="3"/>
      <c r="B40" s="3"/>
      <c r="C40" s="3"/>
      <c r="D40" s="3" t="str">
        <f ca="1">IFERROR(__xludf.DUMMYFUNCTION("""COMPUTED_VALUE"""),"Bitget TokenBGB")</f>
        <v>Bitget TokenBGB</v>
      </c>
      <c r="E40" s="11">
        <f ca="1">IFERROR(__xludf.DUMMYFUNCTION("""COMPUTED_VALUE"""),5.24)</f>
        <v>5.24</v>
      </c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ht="15.75" customHeight="1">
      <c r="A41" s="3"/>
      <c r="B41" s="3"/>
      <c r="C41" s="3"/>
      <c r="D41" s="3" t="str">
        <f ca="1">IFERROR(__xludf.DUMMYFUNCTION("""COMPUTED_VALUE"""),"BittensorTAO")</f>
        <v>BittensorTAO</v>
      </c>
      <c r="E41" s="11">
        <f ca="1">IFERROR(__xludf.DUMMYFUNCTION("""COMPUTED_VALUE"""),347.04)</f>
        <v>347.04</v>
      </c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ht="15.75" customHeight="1">
      <c r="A42" s="3"/>
      <c r="B42" s="3"/>
      <c r="C42" s="3"/>
      <c r="D42" s="3" t="str">
        <f ca="1">IFERROR(__xludf.DUMMYFUNCTION("""COMPUTED_VALUE"""),"StoryIP")</f>
        <v>StoryIP</v>
      </c>
      <c r="E42" s="11">
        <f ca="1">IFERROR(__xludf.DUMMYFUNCTION("""COMPUTED_VALUE"""),10.94)</f>
        <v>10.94</v>
      </c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ht="15.75" customHeight="1">
      <c r="A43" s="3"/>
      <c r="B43" s="3"/>
      <c r="C43" s="3"/>
      <c r="D43" s="3" t="str">
        <f ca="1">IFERROR(__xludf.DUMMYFUNCTION("""COMPUTED_VALUE"""),"AptosAPT")</f>
        <v>AptosAPT</v>
      </c>
      <c r="E43" s="11">
        <f ca="1">IFERROR(__xludf.DUMMYFUNCTION("""COMPUTED_VALUE"""),4.69)</f>
        <v>4.6900000000000004</v>
      </c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ht="15.75" customHeight="1">
      <c r="A44" s="3"/>
      <c r="B44" s="3"/>
      <c r="C44" s="3"/>
      <c r="D44" s="3" t="str">
        <f ca="1">IFERROR(__xludf.DUMMYFUNCTION("""COMPUTED_VALUE"""),"OndoONDO")</f>
        <v>OndoONDO</v>
      </c>
      <c r="E44" s="11">
        <f ca="1">IFERROR(__xludf.DUMMYFUNCTION("""COMPUTED_VALUE"""),1.03)</f>
        <v>1.03</v>
      </c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ht="15.75" customHeight="1">
      <c r="A45" s="3"/>
      <c r="B45" s="3"/>
      <c r="C45" s="3"/>
      <c r="D45" s="3" t="str">
        <f ca="1">IFERROR(__xludf.DUMMYFUNCTION("""COMPUTED_VALUE"""),"WorldcoinWLD")</f>
        <v>WorldcoinWLD</v>
      </c>
      <c r="E45" s="11">
        <f ca="1">IFERROR(__xludf.DUMMYFUNCTION("""COMPUTED_VALUE"""),1.53)</f>
        <v>1.53</v>
      </c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ht="15.75" customHeight="1">
      <c r="A46" s="3"/>
      <c r="B46" s="3"/>
      <c r="C46" s="3"/>
      <c r="D46" s="3" t="str">
        <f ca="1">IFERROR(__xludf.DUMMYFUNCTION("""COMPUTED_VALUE"""),"Ethereum ClassicETC")</f>
        <v>Ethereum ClassicETC</v>
      </c>
      <c r="E46" s="11">
        <f ca="1">IFERROR(__xludf.DUMMYFUNCTION("""COMPUTED_VALUE"""),20.4)</f>
        <v>20.399999999999999</v>
      </c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ht="15.75" customHeight="1">
      <c r="A47" s="3"/>
      <c r="B47" s="3"/>
      <c r="C47" s="3"/>
      <c r="D47" s="3" t="str">
        <f ca="1">IFERROR(__xludf.DUMMYFUNCTION("""COMPUTED_VALUE"""),"PiPI")</f>
        <v>PiPI</v>
      </c>
      <c r="E47" s="11">
        <f ca="1">IFERROR(__xludf.DUMMYFUNCTION("""COMPUTED_VALUE"""),0.36)</f>
        <v>0.36</v>
      </c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ht="15.75" customHeight="1">
      <c r="A48" s="3"/>
      <c r="B48" s="3"/>
      <c r="C48" s="3"/>
      <c r="D48" s="3" t="str">
        <f ca="1">IFERROR(__xludf.DUMMYFUNCTION("""COMPUTED_VALUE"""),"MemeCoreM")</f>
        <v>MemeCoreM</v>
      </c>
      <c r="E48" s="11">
        <f ca="1">IFERROR(__xludf.DUMMYFUNCTION("""COMPUTED_VALUE"""),2.63)</f>
        <v>2.63</v>
      </c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ht="15.75" customHeight="1">
      <c r="A49" s="3"/>
      <c r="B49" s="3"/>
      <c r="C49" s="3"/>
      <c r="D49" s="3" t="str">
        <f ca="1">IFERROR(__xludf.DUMMYFUNCTION("""COMPUTED_VALUE"""),"ArbitrumARB")</f>
        <v>ArbitrumARB</v>
      </c>
      <c r="E49" s="11">
        <f ca="1">IFERROR(__xludf.DUMMYFUNCTION("""COMPUTED_VALUE"""),0.5)</f>
        <v>0.5</v>
      </c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ht="15.75" customHeight="1">
      <c r="A50" s="3"/>
      <c r="B50" s="3"/>
      <c r="C50" s="3"/>
      <c r="D50" s="3" t="str">
        <f ca="1">IFERROR(__xludf.DUMMYFUNCTION("""COMPUTED_VALUE"""),"POL (prev. MATIC)POL")</f>
        <v>POL (prev. MATIC)POL</v>
      </c>
      <c r="E50" s="11">
        <f ca="1">IFERROR(__xludf.DUMMYFUNCTION("""COMPUTED_VALUE"""),0.25)</f>
        <v>0.25</v>
      </c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ht="15.75" customHeight="1">
      <c r="A51" s="3"/>
      <c r="B51" s="3"/>
      <c r="C51" s="3"/>
      <c r="D51" s="3" t="str">
        <f ca="1">IFERROR(__xludf.DUMMYFUNCTION("""COMPUTED_VALUE"""),"World Liberty Financial USDUSD1")</f>
        <v>World Liberty Financial USDUSD1</v>
      </c>
      <c r="E51" s="11">
        <f ca="1">IFERROR(__xludf.DUMMYFUNCTION("""COMPUTED_VALUE"""),1)</f>
        <v>1</v>
      </c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ht="15.75" customHeight="1">
      <c r="A52" s="3"/>
      <c r="B52" s="3"/>
      <c r="C52" s="3"/>
      <c r="D52" s="3" t="str">
        <f ca="1">IFERROR(__xludf.DUMMYFUNCTION("""COMPUTED_VALUE"""),"Internet ComputerICP")</f>
        <v>Internet ComputerICP</v>
      </c>
      <c r="E52" s="11">
        <f ca="1">IFERROR(__xludf.DUMMYFUNCTION("""COMPUTED_VALUE"""),4.8)</f>
        <v>4.8</v>
      </c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ht="15.75" customHeight="1">
      <c r="A53" s="3"/>
      <c r="B53" s="3"/>
      <c r="C53" s="3"/>
      <c r="D53" s="3" t="str">
        <f ca="1">IFERROR(__xludf.DUMMYFUNCTION("""COMPUTED_VALUE"""),"Pump.funPUMP")</f>
        <v>Pump.funPUMP</v>
      </c>
      <c r="E53" s="11">
        <f ca="1">IFERROR(__xludf.DUMMYFUNCTION("""COMPUTED_VALUE"""),0.01)</f>
        <v>0.01</v>
      </c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ht="15.75" customHeight="1">
      <c r="A54" s="3"/>
      <c r="B54" s="3"/>
      <c r="C54" s="3"/>
      <c r="D54" s="3" t="str">
        <f ca="1">IFERROR(__xludf.DUMMYFUNCTION("""COMPUTED_VALUE"""),"KaspaKAS")</f>
        <v>KaspaKAS</v>
      </c>
      <c r="E54" s="11">
        <f ca="1">IFERROR(__xludf.DUMMYFUNCTION("""COMPUTED_VALUE"""),0.09)</f>
        <v>0.09</v>
      </c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ht="15.75" customHeight="1">
      <c r="A55" s="3"/>
      <c r="B55" s="3"/>
      <c r="C55" s="3"/>
      <c r="D55" s="3" t="str">
        <f ca="1">IFERROR(__xludf.DUMMYFUNCTION("""COMPUTED_VALUE"""),"MYX FinanceMYX")</f>
        <v>MYX FinanceMYX</v>
      </c>
      <c r="E55" s="11">
        <f ca="1">IFERROR(__xludf.DUMMYFUNCTION("""COMPUTED_VALUE"""),11.38)</f>
        <v>11.38</v>
      </c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ht="15.75" customHeight="1">
      <c r="A56" s="3"/>
      <c r="B56" s="3"/>
      <c r="C56" s="3"/>
      <c r="D56" s="3" t="str">
        <f ca="1">IFERROR(__xludf.DUMMYFUNCTION("""COMPUTED_VALUE"""),"Pudgy PenguinsPENGU")</f>
        <v>Pudgy PenguinsPENGU</v>
      </c>
      <c r="E56" s="11">
        <f ca="1">IFERROR(__xludf.DUMMYFUNCTION("""COMPUTED_VALUE"""),0.04)</f>
        <v>0.04</v>
      </c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ht="15.75" customHeight="1">
      <c r="A57" s="3"/>
      <c r="B57" s="3"/>
      <c r="C57" s="3"/>
      <c r="D57" s="3" t="str">
        <f ca="1">IFERROR(__xludf.DUMMYFUNCTION("""COMPUTED_VALUE"""),"VeChainVET")</f>
        <v>VeChainVET</v>
      </c>
      <c r="E57" s="11">
        <f ca="1">IFERROR(__xludf.DUMMYFUNCTION("""COMPUTED_VALUE"""),0.03)</f>
        <v>0.03</v>
      </c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ht="15.75" customHeight="1">
      <c r="A58" s="3"/>
      <c r="B58" s="3"/>
      <c r="C58" s="3"/>
      <c r="D58" s="3" t="str">
        <f ca="1">IFERROR(__xludf.DUMMYFUNCTION("""COMPUTED_VALUE"""),"AsterASTER")</f>
        <v>AsterASTER</v>
      </c>
      <c r="E58" s="11">
        <f ca="1">IFERROR(__xludf.DUMMYFUNCTION("""COMPUTED_VALUE"""),1.28)</f>
        <v>1.28</v>
      </c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ht="15.75" customHeight="1">
      <c r="A59" s="3"/>
      <c r="B59" s="3"/>
      <c r="C59" s="3"/>
      <c r="D59" s="3" t="str">
        <f ca="1">IFERROR(__xludf.DUMMYFUNCTION("""COMPUTED_VALUE"""),"CosmosATOM")</f>
        <v>CosmosATOM</v>
      </c>
      <c r="E59" s="11">
        <f ca="1">IFERROR(__xludf.DUMMYFUNCTION("""COMPUTED_VALUE"""),4.5)</f>
        <v>4.5</v>
      </c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ht="13">
      <c r="A60" s="3"/>
      <c r="B60" s="3"/>
      <c r="C60" s="3"/>
      <c r="D60" s="3" t="str">
        <f ca="1">IFERROR(__xludf.DUMMYFUNCTION("""COMPUTED_VALUE"""),"AlgorandALGO")</f>
        <v>AlgorandALGO</v>
      </c>
      <c r="E60" s="11">
        <f ca="1">IFERROR(__xludf.DUMMYFUNCTION("""COMPUTED_VALUE"""),0.24)</f>
        <v>0.24</v>
      </c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ht="13">
      <c r="A61" s="3"/>
      <c r="B61" s="3"/>
      <c r="C61" s="3"/>
      <c r="D61" s="3" t="str">
        <f ca="1">IFERROR(__xludf.DUMMYFUNCTION("""COMPUTED_VALUE"""),"RenderRENDER")</f>
        <v>RenderRENDER</v>
      </c>
      <c r="E61" s="11">
        <f ca="1">IFERROR(__xludf.DUMMYFUNCTION("""COMPUTED_VALUE"""),4.01)</f>
        <v>4.01</v>
      </c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ht="13">
      <c r="A62" s="3"/>
      <c r="B62" s="3"/>
      <c r="C62" s="3"/>
      <c r="D62" s="3" t="str">
        <f ca="1">IFERROR(__xludf.DUMMYFUNCTION("""COMPUTED_VALUE"""),"KuCoin TokenKCS")</f>
        <v>KuCoin TokenKCS</v>
      </c>
      <c r="E62" s="11">
        <f ca="1">IFERROR(__xludf.DUMMYFUNCTION("""COMPUTED_VALUE"""),15.74)</f>
        <v>15.74</v>
      </c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ht="13">
      <c r="A63" s="3"/>
      <c r="B63" s="3"/>
      <c r="C63" s="3"/>
      <c r="D63" s="3" t="str">
        <f ca="1">IFERROR(__xludf.DUMMYFUNCTION("""COMPUTED_VALUE"""),"SeiSEI")</f>
        <v>SeiSEI</v>
      </c>
      <c r="E63" s="11">
        <f ca="1">IFERROR(__xludf.DUMMYFUNCTION("""COMPUTED_VALUE"""),0.32)</f>
        <v>0.32</v>
      </c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ht="13">
      <c r="A64" s="3"/>
      <c r="B64" s="3"/>
      <c r="C64" s="3"/>
      <c r="D64" s="3" t="str">
        <f ca="1">IFERROR(__xludf.DUMMYFUNCTION("""COMPUTED_VALUE"""),"BonkBONK")</f>
        <v>BonkBONK</v>
      </c>
      <c r="E64" s="11">
        <f ca="1">IFERROR(__xludf.DUMMYFUNCTION("""COMPUTED_VALUE"""),0)</f>
        <v>0</v>
      </c>
      <c r="F64" s="3"/>
      <c r="G64" s="3"/>
      <c r="H64" s="3"/>
      <c r="I64" s="3"/>
      <c r="J64" s="3"/>
      <c r="K64" s="3"/>
      <c r="L64" s="3"/>
      <c r="M64" s="3"/>
      <c r="N64" s="3"/>
      <c r="O64" s="3"/>
    </row>
    <row r="65" spans="1:15" ht="13">
      <c r="A65" s="3"/>
      <c r="B65" s="3"/>
      <c r="C65" s="3"/>
      <c r="D65" s="3" t="str">
        <f ca="1">IFERROR(__xludf.DUMMYFUNCTION("""COMPUTED_VALUE"""),"FlareFLR")</f>
        <v>FlareFLR</v>
      </c>
      <c r="E65" s="11">
        <f ca="1">IFERROR(__xludf.DUMMYFUNCTION("""COMPUTED_VALUE"""),0.02)</f>
        <v>0.02</v>
      </c>
      <c r="F65" s="3"/>
      <c r="G65" s="3"/>
      <c r="H65" s="3"/>
      <c r="I65" s="3"/>
      <c r="J65" s="3"/>
      <c r="K65" s="3"/>
      <c r="L65" s="3"/>
      <c r="M65" s="3"/>
      <c r="N65" s="3"/>
      <c r="O65" s="3"/>
    </row>
    <row r="66" spans="1:15" ht="13">
      <c r="A66" s="3"/>
      <c r="B66" s="3"/>
      <c r="C66" s="3"/>
      <c r="D66" s="3" t="str">
        <f ca="1">IFERROR(__xludf.DUMMYFUNCTION("""COMPUTED_VALUE"""),"FilecoinFIL")</f>
        <v>FilecoinFIL</v>
      </c>
      <c r="E66" s="11">
        <f ca="1">IFERROR(__xludf.DUMMYFUNCTION("""COMPUTED_VALUE"""),2.48)</f>
        <v>2.48</v>
      </c>
      <c r="F66" s="3"/>
      <c r="G66" s="3"/>
      <c r="H66" s="3"/>
      <c r="I66" s="3"/>
      <c r="J66" s="3"/>
      <c r="K66" s="3"/>
      <c r="L66" s="3"/>
      <c r="M66" s="3"/>
      <c r="N66" s="3"/>
      <c r="O66" s="3"/>
    </row>
    <row r="67" spans="1:15" ht="13">
      <c r="A67" s="3"/>
      <c r="B67" s="3"/>
      <c r="C67" s="3"/>
      <c r="D67" s="3" t="str">
        <f ca="1">IFERROR(__xludf.DUMMYFUNCTION("""COMPUTED_VALUE"""),"OFFICIAL TRUMPTRUMP")</f>
        <v>OFFICIAL TRUMPTRUMP</v>
      </c>
      <c r="E67" s="11">
        <f ca="1">IFERROR(__xludf.DUMMYFUNCTION("""COMPUTED_VALUE"""),8.51)</f>
        <v>8.51</v>
      </c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1:15" ht="13">
      <c r="A68" s="3"/>
      <c r="B68" s="3"/>
      <c r="C68" s="3"/>
      <c r="D68" s="3" t="str">
        <f ca="1">IFERROR(__xludf.DUMMYFUNCTION("""COMPUTED_VALUE"""),"JupiterJUP")</f>
        <v>JupiterJUP</v>
      </c>
      <c r="E68" s="11">
        <f ca="1">IFERROR(__xludf.DUMMYFUNCTION("""COMPUTED_VALUE"""),0.53)</f>
        <v>0.53</v>
      </c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ht="13">
      <c r="A69" s="3"/>
      <c r="B69" s="3"/>
      <c r="C69" s="3"/>
      <c r="D69" s="3" t="str">
        <f ca="1">IFERROR(__xludf.DUMMYFUNCTION("""COMPUTED_VALUE"""),"SkySKY")</f>
        <v>SkySKY</v>
      </c>
      <c r="E69" s="11">
        <f ca="1">IFERROR(__xludf.DUMMYFUNCTION("""COMPUTED_VALUE"""),0.07)</f>
        <v>7.0000000000000007E-2</v>
      </c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ht="13">
      <c r="A70" s="3"/>
      <c r="B70" s="3"/>
      <c r="C70" s="3"/>
      <c r="D70" s="3" t="str">
        <f ca="1">IFERROR(__xludf.DUMMYFUNCTION("""COMPUTED_VALUE"""),"ImmutableIMX")</f>
        <v>ImmutableIMX</v>
      </c>
      <c r="E70" s="11">
        <f ca="1">IFERROR(__xludf.DUMMYFUNCTION("""COMPUTED_VALUE"""),0.83)</f>
        <v>0.83</v>
      </c>
      <c r="F70" s="3"/>
      <c r="G70" s="3"/>
      <c r="H70" s="3"/>
      <c r="I70" s="3"/>
      <c r="J70" s="3"/>
      <c r="K70" s="3"/>
      <c r="L70" s="3"/>
      <c r="M70" s="3"/>
      <c r="N70" s="3"/>
      <c r="O70" s="3"/>
    </row>
    <row r="71" spans="1:15" ht="13">
      <c r="A71" s="3"/>
      <c r="B71" s="3"/>
      <c r="C71" s="3"/>
      <c r="D71" s="3" t="str">
        <f ca="1">IFERROR(__xludf.DUMMYFUNCTION("""COMPUTED_VALUE"""),"Artificial Superintelligence AllianceFET")</f>
        <v>Artificial Superintelligence AllianceFET</v>
      </c>
      <c r="E71" s="11">
        <f ca="1">IFERROR(__xludf.DUMMYFUNCTION("""COMPUTED_VALUE"""),0.65)</f>
        <v>0.65</v>
      </c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ht="13">
      <c r="A72" s="3"/>
      <c r="B72" s="3"/>
      <c r="C72" s="3"/>
      <c r="D72" s="3" t="str">
        <f ca="1">IFERROR(__xludf.DUMMYFUNCTION("""COMPUTED_VALUE"""),"OptimismOP")</f>
        <v>OptimismOP</v>
      </c>
      <c r="E72" s="11">
        <f ca="1">IFERROR(__xludf.DUMMYFUNCTION("""COMPUTED_VALUE"""),0.82)</f>
        <v>0.82</v>
      </c>
      <c r="F72" s="3"/>
      <c r="G72" s="3"/>
      <c r="H72" s="3"/>
      <c r="I72" s="3"/>
      <c r="J72" s="3"/>
      <c r="K72" s="3"/>
      <c r="L72" s="3"/>
      <c r="M72" s="3"/>
      <c r="N72" s="3"/>
      <c r="O72" s="3"/>
    </row>
    <row r="73" spans="1:15" ht="13">
      <c r="A73" s="3"/>
      <c r="B73" s="3"/>
      <c r="C73" s="3"/>
      <c r="D73" s="3" t="str">
        <f ca="1">IFERROR(__xludf.DUMMYFUNCTION("""COMPUTED_VALUE"""),"InjectiveINJ")</f>
        <v>InjectiveINJ</v>
      </c>
      <c r="E73" s="11">
        <f ca="1">IFERROR(__xludf.DUMMYFUNCTION("""COMPUTED_VALUE"""),14.03)</f>
        <v>14.03</v>
      </c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ht="13">
      <c r="A74" s="3"/>
      <c r="B74" s="3"/>
      <c r="C74" s="3"/>
      <c r="D74" s="3" t="str">
        <f ca="1">IFERROR(__xludf.DUMMYFUNCTION("""COMPUTED_VALUE"""),"GateTokenGT")</f>
        <v>GateTokenGT</v>
      </c>
      <c r="E74" s="11">
        <f ca="1">IFERROR(__xludf.DUMMYFUNCTION("""COMPUTED_VALUE"""),17.01)</f>
        <v>17.010000000000002</v>
      </c>
      <c r="F74" s="3"/>
      <c r="G74" s="3"/>
      <c r="H74" s="3"/>
      <c r="I74" s="3"/>
      <c r="J74" s="3"/>
      <c r="K74" s="3"/>
      <c r="L74" s="3"/>
      <c r="M74" s="3"/>
      <c r="N74" s="3"/>
      <c r="O74" s="3"/>
    </row>
    <row r="75" spans="1:15" ht="13">
      <c r="A75" s="3"/>
      <c r="B75" s="3"/>
      <c r="C75" s="3"/>
      <c r="D75" s="3" t="str">
        <f ca="1">IFERROR(__xludf.DUMMYFUNCTION("""COMPUTED_VALUE"""),"PayPal USDPYUSD")</f>
        <v>PayPal USDPYUSD</v>
      </c>
      <c r="E75" s="11">
        <f ca="1">IFERROR(__xludf.DUMMYFUNCTION("""COMPUTED_VALUE"""),1)</f>
        <v>1</v>
      </c>
      <c r="F75" s="3"/>
      <c r="G75" s="3"/>
      <c r="H75" s="3"/>
      <c r="I75" s="3"/>
      <c r="J75" s="3"/>
      <c r="K75" s="3"/>
      <c r="L75" s="3"/>
      <c r="M75" s="3"/>
      <c r="N75" s="3"/>
      <c r="O75" s="3"/>
    </row>
    <row r="76" spans="1:15" ht="13">
      <c r="A76" s="3"/>
      <c r="B76" s="3"/>
      <c r="C76" s="3"/>
      <c r="D76" s="3" t="str">
        <f ca="1">IFERROR(__xludf.DUMMYFUNCTION("""COMPUTED_VALUE"""),"CelestiaTIA")</f>
        <v>CelestiaTIA</v>
      </c>
      <c r="E76" s="11">
        <f ca="1">IFERROR(__xludf.DUMMYFUNCTION("""COMPUTED_VALUE"""),1.75)</f>
        <v>1.75</v>
      </c>
      <c r="F76" s="3"/>
      <c r="G76" s="3"/>
      <c r="H76" s="3"/>
      <c r="I76" s="3"/>
      <c r="J76" s="3"/>
      <c r="K76" s="3"/>
      <c r="L76" s="3"/>
      <c r="M76" s="3"/>
      <c r="N76" s="3"/>
      <c r="O76" s="3"/>
    </row>
    <row r="77" spans="1:15" ht="13">
      <c r="A77" s="3"/>
      <c r="B77" s="3"/>
      <c r="C77" s="3"/>
      <c r="D77" s="3" t="str">
        <f ca="1">IFERROR(__xludf.DUMMYFUNCTION("""COMPUTED_VALUE"""),"XDC NetworkXDC")</f>
        <v>XDC NetworkXDC</v>
      </c>
      <c r="E77" s="11">
        <f ca="1">IFERROR(__xludf.DUMMYFUNCTION("""COMPUTED_VALUE"""),0.08)</f>
        <v>0.08</v>
      </c>
      <c r="F77" s="3"/>
      <c r="G77" s="3"/>
      <c r="H77" s="3"/>
      <c r="I77" s="3"/>
      <c r="J77" s="3"/>
      <c r="K77" s="3"/>
      <c r="L77" s="3"/>
      <c r="M77" s="3"/>
      <c r="N77" s="3"/>
      <c r="O77" s="3"/>
    </row>
    <row r="78" spans="1:15" ht="13">
      <c r="A78" s="3"/>
      <c r="B78" s="3"/>
      <c r="C78" s="3"/>
      <c r="D78" s="3" t="str">
        <f ca="1">IFERROR(__xludf.DUMMYFUNCTION("""COMPUTED_VALUE"""),"StacksSTX")</f>
        <v>StacksSTX</v>
      </c>
      <c r="E78" s="11">
        <f ca="1">IFERROR(__xludf.DUMMYFUNCTION("""COMPUTED_VALUE"""),0.67)</f>
        <v>0.67</v>
      </c>
      <c r="F78" s="3"/>
      <c r="G78" s="3"/>
      <c r="H78" s="3"/>
      <c r="I78" s="3"/>
      <c r="J78" s="3"/>
      <c r="K78" s="3"/>
      <c r="L78" s="3"/>
      <c r="M78" s="3"/>
      <c r="N78" s="3"/>
      <c r="O78" s="3"/>
    </row>
    <row r="79" spans="1:15" ht="13">
      <c r="A79" s="3"/>
      <c r="B79" s="3"/>
      <c r="C79" s="3"/>
      <c r="D79" s="3" t="str">
        <f ca="1">IFERROR(__xludf.DUMMYFUNCTION("""COMPUTED_VALUE"""),"QuantQNT")</f>
        <v>QuantQNT</v>
      </c>
      <c r="E79" s="11">
        <f ca="1">IFERROR(__xludf.DUMMYFUNCTION("""COMPUTED_VALUE"""),98.72)</f>
        <v>98.72</v>
      </c>
      <c r="F79" s="3"/>
      <c r="G79" s="3"/>
      <c r="H79" s="3"/>
      <c r="I79" s="3"/>
      <c r="J79" s="3"/>
      <c r="K79" s="3"/>
      <c r="L79" s="3"/>
      <c r="M79" s="3"/>
      <c r="N79" s="3"/>
      <c r="O79" s="3"/>
    </row>
    <row r="80" spans="1:15" ht="13">
      <c r="A80" s="3"/>
      <c r="B80" s="3"/>
      <c r="C80" s="3"/>
      <c r="D80" s="3" t="str">
        <f ca="1">IFERROR(__xludf.DUMMYFUNCTION("""COMPUTED_VALUE"""),"Lido DAOLDO")</f>
        <v>Lido DAOLDO</v>
      </c>
      <c r="E80" s="11">
        <f ca="1">IFERROR(__xludf.DUMMYFUNCTION("""COMPUTED_VALUE"""),1.3)</f>
        <v>1.3</v>
      </c>
      <c r="F80" s="3"/>
      <c r="G80" s="3"/>
      <c r="H80" s="3"/>
      <c r="I80" s="3"/>
      <c r="J80" s="3"/>
      <c r="K80" s="3"/>
      <c r="L80" s="3"/>
      <c r="M80" s="3"/>
      <c r="N80" s="3"/>
      <c r="O80" s="3"/>
    </row>
    <row r="81" spans="1:15" ht="13">
      <c r="A81" s="3"/>
      <c r="B81" s="3"/>
      <c r="C81" s="3"/>
      <c r="D81" s="3" t="str">
        <f ca="1">IFERROR(__xludf.DUMMYFUNCTION("""COMPUTED_VALUE"""),"First Digital USDFDUSD")</f>
        <v>First Digital USDFDUSD</v>
      </c>
      <c r="E81" s="11">
        <f ca="1">IFERROR(__xludf.DUMMYFUNCTION("""COMPUTED_VALUE"""),1)</f>
        <v>1</v>
      </c>
      <c r="F81" s="3"/>
      <c r="G81" s="3"/>
      <c r="H81" s="3"/>
      <c r="I81" s="3"/>
      <c r="J81" s="3"/>
      <c r="K81" s="3"/>
      <c r="L81" s="3"/>
      <c r="M81" s="3"/>
      <c r="N81" s="3"/>
      <c r="O81" s="3"/>
    </row>
    <row r="82" spans="1:15" ht="13">
      <c r="A82" s="3"/>
      <c r="B82" s="3"/>
      <c r="C82" s="3"/>
      <c r="D82" s="3" t="str">
        <f ca="1">IFERROR(__xludf.DUMMYFUNCTION("""COMPUTED_VALUE"""),"SPX6900SPX")</f>
        <v>SPX6900SPX</v>
      </c>
      <c r="E82" s="11">
        <f ca="1">IFERROR(__xludf.DUMMYFUNCTION("""COMPUTED_VALUE"""),1.22)</f>
        <v>1.22</v>
      </c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1:15" ht="13">
      <c r="A83" s="3"/>
      <c r="B83" s="3"/>
      <c r="C83" s="3"/>
      <c r="D83" s="3" t="str">
        <f ca="1">IFERROR(__xludf.DUMMYFUNCTION("""COMPUTED_VALUE"""),"Aerodrome FinanceAERO")</f>
        <v>Aerodrome FinanceAERO</v>
      </c>
      <c r="E83" s="11">
        <f ca="1">IFERROR(__xludf.DUMMYFUNCTION("""COMPUTED_VALUE"""),1.25)</f>
        <v>1.25</v>
      </c>
      <c r="F83" s="3"/>
      <c r="G83" s="3"/>
      <c r="H83" s="3"/>
      <c r="I83" s="3"/>
      <c r="J83" s="3"/>
      <c r="K83" s="3"/>
      <c r="L83" s="3"/>
      <c r="M83" s="3"/>
      <c r="N83" s="3"/>
      <c r="O83" s="3"/>
    </row>
    <row r="84" spans="1:15" ht="13">
      <c r="A84" s="3"/>
      <c r="B84" s="3"/>
      <c r="C84" s="3"/>
      <c r="D84" s="3" t="str">
        <f ca="1">IFERROR(__xludf.DUMMYFUNCTION("""COMPUTED_VALUE"""),"Curve DAO TokenCRV")</f>
        <v>Curve DAO TokenCRV</v>
      </c>
      <c r="E84" s="11">
        <f ca="1">IFERROR(__xludf.DUMMYFUNCTION("""COMPUTED_VALUE"""),0.8)</f>
        <v>0.8</v>
      </c>
      <c r="F84" s="3"/>
      <c r="G84" s="3"/>
      <c r="H84" s="3"/>
      <c r="I84" s="3"/>
      <c r="J84" s="3"/>
      <c r="K84" s="3"/>
      <c r="L84" s="3"/>
      <c r="M84" s="3"/>
      <c r="N84" s="3"/>
      <c r="O84" s="3"/>
    </row>
    <row r="85" spans="1:15" ht="13">
      <c r="A85" s="3"/>
      <c r="B85" s="3"/>
      <c r="C85" s="3"/>
      <c r="D85" s="3" t="str">
        <f ca="1">IFERROR(__xludf.DUMMYFUNCTION("""COMPUTED_VALUE"""),"PAX GoldPAXG")</f>
        <v>PAX GoldPAXG</v>
      </c>
      <c r="E85" s="11">
        <f ca="1">IFERROR(__xludf.DUMMYFUNCTION("""COMPUTED_VALUE"""),3693.46)</f>
        <v>3693.46</v>
      </c>
      <c r="F85" s="3"/>
      <c r="G85" s="3"/>
      <c r="H85" s="3"/>
      <c r="I85" s="3"/>
      <c r="J85" s="3"/>
      <c r="K85" s="3"/>
      <c r="L85" s="3"/>
      <c r="M85" s="3"/>
      <c r="N85" s="3"/>
      <c r="O85" s="3"/>
    </row>
    <row r="86" spans="1:15" ht="13">
      <c r="A86" s="3"/>
      <c r="B86" s="3"/>
      <c r="C86" s="3"/>
      <c r="D86" s="3" t="str">
        <f ca="1">IFERROR(__xludf.DUMMYFUNCTION("""COMPUTED_VALUE"""),"PancakeSwapCAKE")</f>
        <v>PancakeSwapCAKE</v>
      </c>
      <c r="E86" s="11">
        <f ca="1">IFERROR(__xludf.DUMMYFUNCTION("""COMPUTED_VALUE"""),2.94)</f>
        <v>2.94</v>
      </c>
      <c r="F86" s="3"/>
      <c r="G86" s="3"/>
      <c r="H86" s="3"/>
      <c r="I86" s="3"/>
      <c r="J86" s="3"/>
      <c r="K86" s="3"/>
      <c r="L86" s="3"/>
      <c r="M86" s="3"/>
      <c r="N86" s="3"/>
      <c r="O86" s="3"/>
    </row>
    <row r="87" spans="1:15" ht="13">
      <c r="A87" s="3"/>
      <c r="B87" s="3"/>
      <c r="C87" s="3"/>
      <c r="D87" s="3" t="str">
        <f ca="1">IFERROR(__xludf.DUMMYFUNCTION("""COMPUTED_VALUE"""),"The GraphGRT")</f>
        <v>The GraphGRT</v>
      </c>
      <c r="E87" s="11">
        <f ca="1">IFERROR(__xludf.DUMMYFUNCTION("""COMPUTED_VALUE"""),0.09)</f>
        <v>0.09</v>
      </c>
      <c r="F87" s="3"/>
      <c r="G87" s="3"/>
      <c r="H87" s="3"/>
      <c r="I87" s="3"/>
      <c r="J87" s="3"/>
      <c r="K87" s="3"/>
      <c r="L87" s="3"/>
      <c r="M87" s="3"/>
      <c r="N87" s="3"/>
      <c r="O87" s="3"/>
    </row>
    <row r="88" spans="1:15" ht="13">
      <c r="A88" s="3"/>
      <c r="B88" s="3"/>
      <c r="C88" s="3"/>
      <c r="D88" s="3" t="str">
        <f ca="1">IFERROR(__xludf.DUMMYFUNCTION("""COMPUTED_VALUE"""),"Pyth NetworkPYTH")</f>
        <v>Pyth NetworkPYTH</v>
      </c>
      <c r="E88" s="11">
        <f ca="1">IFERROR(__xludf.DUMMYFUNCTION("""COMPUTED_VALUE"""),0.17)</f>
        <v>0.17</v>
      </c>
      <c r="F88" s="3"/>
      <c r="G88" s="3"/>
      <c r="H88" s="3"/>
      <c r="I88" s="3"/>
      <c r="J88" s="3"/>
      <c r="K88" s="3"/>
      <c r="L88" s="3"/>
      <c r="M88" s="3"/>
      <c r="N88" s="3"/>
      <c r="O88" s="3"/>
    </row>
    <row r="89" spans="1:15" ht="13">
      <c r="A89" s="3"/>
      <c r="B89" s="3"/>
      <c r="C89" s="3"/>
      <c r="D89" s="3" t="str">
        <f ca="1">IFERROR(__xludf.DUMMYFUNCTION("""COMPUTED_VALUE"""),"KaiaKAIA")</f>
        <v>KaiaKAIA</v>
      </c>
      <c r="E89" s="11">
        <f ca="1">IFERROR(__xludf.DUMMYFUNCTION("""COMPUTED_VALUE"""),0.16)</f>
        <v>0.16</v>
      </c>
      <c r="F89" s="3"/>
      <c r="G89" s="3"/>
      <c r="H89" s="3"/>
      <c r="I89" s="3"/>
      <c r="J89" s="3"/>
      <c r="K89" s="3"/>
      <c r="L89" s="3"/>
      <c r="M89" s="3"/>
      <c r="N89" s="3"/>
      <c r="O89" s="3"/>
    </row>
    <row r="90" spans="1:15" ht="13">
      <c r="A90" s="3"/>
      <c r="B90" s="3"/>
      <c r="C90" s="3"/>
      <c r="D90" s="3" t="str">
        <f ca="1">IFERROR(__xludf.DUMMYFUNCTION("""COMPUTED_VALUE"""),"FLOKIFLOKI")</f>
        <v>FLOKIFLOKI</v>
      </c>
      <c r="E90" s="11">
        <f ca="1">IFERROR(__xludf.DUMMYFUNCTION("""COMPUTED_VALUE"""),0)</f>
        <v>0</v>
      </c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1:15" ht="13">
      <c r="A91" s="3"/>
      <c r="B91" s="3"/>
      <c r="C91" s="3"/>
      <c r="D91" s="3" t="str">
        <f ca="1">IFERROR(__xludf.DUMMYFUNCTION("""COMPUTED_VALUE"""),"ConfluxCFX")</f>
        <v>ConfluxCFX</v>
      </c>
      <c r="E91" s="11">
        <f ca="1">IFERROR(__xludf.DUMMYFUNCTION("""COMPUTED_VALUE"""),0.18)</f>
        <v>0.18</v>
      </c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1:15" ht="13">
      <c r="A92" s="3"/>
      <c r="B92" s="3"/>
      <c r="C92" s="3"/>
      <c r="D92" s="3" t="str">
        <f ca="1">IFERROR(__xludf.DUMMYFUNCTION("""COMPUTED_VALUE"""),"dogwifhatWIF")</f>
        <v>dogwifhatWIF</v>
      </c>
      <c r="E92" s="11">
        <f ca="1">IFERROR(__xludf.DUMMYFUNCTION("""COMPUTED_VALUE"""),0.91)</f>
        <v>0.91</v>
      </c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1:15" ht="13">
      <c r="A93" s="3"/>
      <c r="B93" s="3"/>
      <c r="C93" s="3"/>
      <c r="D93" s="3" t="str">
        <f ca="1">IFERROR(__xludf.DUMMYFUNCTION("""COMPUTED_VALUE"""),"Tether GoldXAUt")</f>
        <v>Tether GoldXAUt</v>
      </c>
      <c r="E93" s="11">
        <f ca="1">IFERROR(__xludf.DUMMYFUNCTION("""COMPUTED_VALUE"""),3689.38)</f>
        <v>3689.38</v>
      </c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1:15" ht="13">
      <c r="A94" s="3"/>
      <c r="B94" s="3"/>
      <c r="C94" s="3"/>
      <c r="D94" s="3" t="str">
        <f ca="1">IFERROR(__xludf.DUMMYFUNCTION("""COMPUTED_VALUE"""),"PendlePENDLE")</f>
        <v>PendlePENDLE</v>
      </c>
      <c r="E94" s="11">
        <f ca="1">IFERROR(__xludf.DUMMYFUNCTION("""COMPUTED_VALUE"""),5.16)</f>
        <v>5.16</v>
      </c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1:15" ht="13">
      <c r="A95" s="3"/>
      <c r="B95" s="3"/>
      <c r="C95" s="3"/>
      <c r="D95" s="3" t="str">
        <f ca="1">IFERROR(__xludf.DUMMYFUNCTION("""COMPUTED_VALUE"""),"Ethereum Name ServiceENS")</f>
        <v>Ethereum Name ServiceENS</v>
      </c>
      <c r="E95" s="11">
        <f ca="1">IFERROR(__xludf.DUMMYFUNCTION("""COMPUTED_VALUE"""),23.51)</f>
        <v>23.51</v>
      </c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1:15" ht="13">
      <c r="A96" s="3"/>
      <c r="B96" s="3"/>
      <c r="C96" s="3"/>
      <c r="D96" s="3" t="str">
        <f ca="1">IFERROR(__xludf.DUMMYFUNCTION("""COMPUTED_VALUE"""),"RaydiumRAY")</f>
        <v>RaydiumRAY</v>
      </c>
      <c r="E96" s="11">
        <f ca="1">IFERROR(__xludf.DUMMYFUNCTION("""COMPUTED_VALUE"""),3.2)</f>
        <v>3.2</v>
      </c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1:15" ht="13">
      <c r="A97" s="3"/>
      <c r="B97" s="3"/>
      <c r="C97" s="3"/>
      <c r="D97" s="3" t="str">
        <f ca="1">IFERROR(__xludf.DUMMYFUNCTION("""COMPUTED_VALUE"""),"Virtuals ProtocolVIRTUAL")</f>
        <v>Virtuals ProtocolVIRTUAL</v>
      </c>
      <c r="E97" s="11">
        <f ca="1">IFERROR(__xludf.DUMMYFUNCTION("""COMPUTED_VALUE"""),1.28)</f>
        <v>1.28</v>
      </c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1:15" ht="13">
      <c r="A98" s="3"/>
      <c r="B98" s="3"/>
      <c r="C98" s="3"/>
      <c r="D98" s="3" t="str">
        <f ca="1">IFERROR(__xludf.DUMMYFUNCTION("""COMPUTED_VALUE"""),"SonicS")</f>
        <v>SonicS</v>
      </c>
      <c r="E98" s="11">
        <f ca="1">IFERROR(__xludf.DUMMYFUNCTION("""COMPUTED_VALUE"""),0.29)</f>
        <v>0.28999999999999998</v>
      </c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1:15" ht="13">
      <c r="A99" s="3"/>
      <c r="B99" s="3"/>
      <c r="C99" s="3"/>
      <c r="D99" s="3" t="str">
        <f ca="1">IFERROR(__xludf.DUMMYFUNCTION("""COMPUTED_VALUE"""),"NexoNEXO")</f>
        <v>NexoNEXO</v>
      </c>
      <c r="E99" s="11">
        <f ca="1">IFERROR(__xludf.DUMMYFUNCTION("""COMPUTED_VALUE"""),1.29)</f>
        <v>1.29</v>
      </c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1:15" ht="13">
      <c r="A100" s="3"/>
      <c r="B100" s="3"/>
      <c r="C100" s="3"/>
      <c r="D100" s="3" t="str">
        <f ca="1">IFERROR(__xludf.DUMMYFUNCTION("""COMPUTED_VALUE"""),"Theta NetworkTHETA")</f>
        <v>Theta NetworkTHETA</v>
      </c>
      <c r="E100" s="11">
        <f ca="1">IFERROR(__xludf.DUMMYFUNCTION("""COMPUTED_VALUE"""),0.83)</f>
        <v>0.83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1:15" ht="13">
      <c r="A101" s="3"/>
      <c r="B101" s="3"/>
      <c r="C101" s="3"/>
      <c r="D101" s="3" t="str">
        <f ca="1">IFERROR(__xludf.DUMMYFUNCTION("""COMPUTED_VALUE"""),"ZcashZEC")</f>
        <v>ZcashZEC</v>
      </c>
      <c r="E101" s="11">
        <f ca="1">IFERROR(__xludf.DUMMYFUNCTION("""COMPUTED_VALUE"""),50.84)</f>
        <v>50.84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1:15" ht="13">
      <c r="A102" s="3"/>
      <c r="B102" s="3"/>
      <c r="C102" s="3"/>
      <c r="D102" s="3" t="str">
        <f ca="1">IFERROR(__xludf.DUMMYFUNCTION("""COMPUTED_VALUE"""),"GalaGALA")</f>
        <v>GalaGALA</v>
      </c>
      <c r="E102" s="11">
        <f ca="1">IFERROR(__xludf.DUMMYFUNCTION("""COMPUTED_VALUE"""),0.02)</f>
        <v>0.02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1:15" ht="13">
      <c r="A103" s="3"/>
      <c r="B103" s="3"/>
      <c r="C103" s="3"/>
      <c r="D103" s="3" t="str">
        <f ca="1">IFERROR(__xludf.DUMMYFUNCTION("""COMPUTED_VALUE"""),"TezosXTZ")</f>
        <v>TezosXTZ</v>
      </c>
      <c r="E103" s="11">
        <f ca="1">IFERROR(__xludf.DUMMYFUNCTION("""COMPUTED_VALUE"""),0.77)</f>
        <v>0.77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1:15" ht="13">
      <c r="A104" s="3"/>
      <c r="B104" s="3"/>
      <c r="C104" s="3"/>
      <c r="D104" s="3" t="str">
        <f ca="1">IFERROR(__xludf.DUMMYFUNCTION("""COMPUTED_VALUE"""),"ether.fiETHFI")</f>
        <v>ether.fiETHFI</v>
      </c>
      <c r="E104" s="11">
        <f ca="1">IFERROR(__xludf.DUMMYFUNCTION("""COMPUTED_VALUE"""),1.56)</f>
        <v>1.56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</row>
    <row r="105" spans="1:15" ht="13">
      <c r="A105" s="3"/>
      <c r="B105" s="3"/>
      <c r="C105" s="3"/>
      <c r="D105" s="3" t="str">
        <f ca="1">IFERROR(__xludf.DUMMYFUNCTION("""COMPUTED_VALUE"""),"FartcoinFARTCOIN")</f>
        <v>FartcoinFARTCOIN</v>
      </c>
      <c r="E105" s="11">
        <f ca="1">IFERROR(__xludf.DUMMYFUNCTION("""COMPUTED_VALUE"""),0.78)</f>
        <v>0.78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</row>
    <row r="106" spans="1:15" ht="1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</row>
    <row r="107" spans="1:15" ht="1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</row>
    <row r="108" spans="1:15" ht="1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</row>
    <row r="109" spans="1:15" ht="1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</row>
    <row r="110" spans="1:15" ht="1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</row>
    <row r="111" spans="1:15" ht="1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</row>
    <row r="112" spans="1:15" ht="1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</row>
    <row r="113" spans="1:15" ht="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</row>
    <row r="114" spans="1:15" ht="1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</row>
    <row r="115" spans="1:15" ht="1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</row>
    <row r="116" spans="1:15" ht="1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</row>
    <row r="117" spans="1:15" ht="1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</row>
    <row r="118" spans="1:15" ht="1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</row>
    <row r="119" spans="1:15" ht="1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</row>
    <row r="120" spans="1:15" ht="1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</row>
    <row r="121" spans="1:15" ht="1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</row>
    <row r="122" spans="1:15" ht="1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</row>
    <row r="123" spans="1:15" ht="1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</row>
    <row r="124" spans="1:15" ht="1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</row>
    <row r="125" spans="1:15" ht="1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</row>
    <row r="126" spans="1:15" ht="1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</row>
    <row r="127" spans="1:15" ht="1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</row>
    <row r="128" spans="1:15" ht="1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</row>
    <row r="129" spans="1:15" ht="1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</row>
    <row r="130" spans="1:15" ht="1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</row>
    <row r="131" spans="1:15" ht="1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</row>
    <row r="132" spans="1:15" ht="1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</row>
    <row r="133" spans="1:15" ht="1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</row>
    <row r="134" spans="1:15" ht="1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</row>
    <row r="135" spans="1:15" ht="1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</row>
    <row r="136" spans="1:15" ht="1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</row>
    <row r="137" spans="1:15" ht="1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</row>
    <row r="138" spans="1:15" ht="1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</row>
    <row r="139" spans="1:15" ht="1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</row>
    <row r="140" spans="1:15" ht="1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</row>
    <row r="141" spans="1:15" ht="1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</row>
    <row r="142" spans="1:15" ht="1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</row>
    <row r="143" spans="1:15" ht="1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</row>
    <row r="144" spans="1:15" ht="1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</row>
    <row r="145" spans="1:15" ht="1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</row>
    <row r="146" spans="1:15" ht="1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</row>
    <row r="147" spans="1:15" ht="1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</row>
    <row r="148" spans="1:15" ht="1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</row>
    <row r="149" spans="1:15" ht="1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</row>
    <row r="150" spans="1:15" ht="1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</row>
    <row r="151" spans="1:15" ht="1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</row>
    <row r="152" spans="1:15" ht="1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</row>
    <row r="153" spans="1:15" ht="1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</row>
    <row r="154" spans="1:15" ht="1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</row>
    <row r="155" spans="1:15" ht="1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</row>
    <row r="156" spans="1:15" ht="1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</row>
    <row r="157" spans="1:15" ht="1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</row>
    <row r="158" spans="1:15" ht="1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</row>
    <row r="159" spans="1:15" ht="1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</row>
    <row r="160" spans="1:15" ht="1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</row>
    <row r="161" spans="1:15" ht="1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</row>
    <row r="162" spans="1:15" ht="1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</row>
    <row r="163" spans="1:15" ht="1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</row>
    <row r="164" spans="1:15" ht="1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</row>
    <row r="165" spans="1:15" ht="1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</row>
    <row r="166" spans="1:15" ht="1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</row>
    <row r="167" spans="1:15" ht="1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</row>
    <row r="168" spans="1:15" ht="1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</row>
    <row r="169" spans="1:15" ht="1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</row>
    <row r="170" spans="1:15" ht="1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</row>
    <row r="171" spans="1:15" ht="1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</row>
    <row r="172" spans="1:15" ht="1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</row>
    <row r="173" spans="1:15" ht="1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</row>
    <row r="174" spans="1:15" ht="1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</row>
    <row r="175" spans="1:15" ht="1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</row>
    <row r="176" spans="1:15" ht="1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</row>
    <row r="177" spans="1:15" ht="1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</row>
    <row r="178" spans="1:15" ht="1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</row>
    <row r="179" spans="1:15" ht="1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</row>
    <row r="180" spans="1:15" ht="1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</row>
    <row r="181" spans="1:15" ht="1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</row>
    <row r="182" spans="1:15" ht="1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</row>
    <row r="183" spans="1:15" ht="1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</row>
    <row r="184" spans="1:15" ht="1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</row>
    <row r="185" spans="1:15" ht="1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</row>
    <row r="186" spans="1:15" ht="1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</row>
    <row r="187" spans="1:15" ht="1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</row>
    <row r="188" spans="1:15" ht="1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</row>
    <row r="189" spans="1:15" ht="1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</row>
    <row r="190" spans="1:15" ht="1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</row>
    <row r="191" spans="1:15" ht="1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</row>
    <row r="192" spans="1:15" ht="1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</row>
    <row r="193" spans="1:15" ht="1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</row>
    <row r="194" spans="1:15" ht="1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</row>
    <row r="195" spans="1:15" ht="1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</row>
    <row r="196" spans="1:15" ht="1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</row>
    <row r="197" spans="1:15" ht="1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</row>
    <row r="198" spans="1:15" ht="1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</row>
    <row r="199" spans="1:15" ht="1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</row>
    <row r="200" spans="1:15" ht="1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</row>
    <row r="201" spans="1:15" ht="1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</row>
    <row r="202" spans="1:15" ht="1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</row>
    <row r="203" spans="1:15" ht="1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</row>
    <row r="204" spans="1:15" ht="1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</row>
    <row r="205" spans="1:15" ht="1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</row>
    <row r="206" spans="1:15" ht="1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</row>
    <row r="207" spans="1:15" ht="1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</row>
    <row r="208" spans="1:15" ht="1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</row>
    <row r="209" spans="1:15" ht="1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</row>
    <row r="210" spans="1:15" ht="1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</row>
    <row r="211" spans="1:15" ht="1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</row>
    <row r="212" spans="1:15" ht="1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</row>
    <row r="213" spans="1:15" ht="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</row>
    <row r="214" spans="1:15" ht="1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</row>
    <row r="215" spans="1:15" ht="1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</row>
    <row r="216" spans="1:15" ht="1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</row>
    <row r="217" spans="1:15" ht="1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</row>
    <row r="218" spans="1:15" ht="1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</row>
    <row r="219" spans="1:15" ht="1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</row>
    <row r="220" spans="1:15" ht="1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</row>
    <row r="221" spans="1:15" ht="1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</row>
    <row r="222" spans="1:15" ht="1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</row>
    <row r="223" spans="1:15" ht="1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</row>
    <row r="224" spans="1:15" ht="1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</row>
    <row r="225" spans="1:15" ht="1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</row>
    <row r="226" spans="1:15" ht="1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</row>
    <row r="227" spans="1:15" ht="1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</row>
    <row r="228" spans="1:15" ht="1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</row>
    <row r="229" spans="1:15" ht="1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</row>
    <row r="230" spans="1:15" ht="1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</row>
    <row r="231" spans="1:15" ht="1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</row>
    <row r="232" spans="1:15" ht="1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</row>
    <row r="233" spans="1:15" ht="1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</row>
    <row r="234" spans="1:15" ht="1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</row>
    <row r="235" spans="1:15" ht="1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</row>
    <row r="236" spans="1:15" ht="1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</row>
    <row r="237" spans="1:15" ht="1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</row>
    <row r="238" spans="1:15" ht="1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</row>
    <row r="239" spans="1:15" ht="1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</row>
    <row r="240" spans="1:15" ht="1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</row>
    <row r="241" spans="1:15" ht="1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</row>
    <row r="242" spans="1:15" ht="1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</row>
    <row r="243" spans="1:15" ht="1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</row>
    <row r="244" spans="1:15" ht="1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</row>
    <row r="246" spans="1:15" ht="1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</row>
    <row r="247" spans="1:15" ht="1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</row>
    <row r="248" spans="1:15" ht="1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</row>
    <row r="249" spans="1:15" ht="1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</row>
    <row r="250" spans="1:15" ht="1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</row>
    <row r="251" spans="1:15" ht="1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</row>
    <row r="252" spans="1:15" ht="1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</row>
    <row r="253" spans="1:15" ht="1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</row>
    <row r="254" spans="1:15" ht="1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</row>
    <row r="255" spans="1:15" ht="1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</row>
    <row r="256" spans="1:15" ht="1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</row>
    <row r="257" spans="1:15" ht="1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</row>
    <row r="258" spans="1:15" ht="1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</row>
    <row r="259" spans="1:15" ht="1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</row>
    <row r="260" spans="1:15" ht="1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</row>
    <row r="261" spans="1:15" ht="1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</row>
    <row r="262" spans="1:15" ht="1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</row>
    <row r="263" spans="1:15" ht="1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</row>
    <row r="264" spans="1:15" ht="1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</row>
    <row r="265" spans="1:15" ht="1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</row>
    <row r="266" spans="1:15" ht="1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</row>
    <row r="267" spans="1:15" ht="1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</row>
    <row r="268" spans="1:15" ht="1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</row>
    <row r="269" spans="1:15" ht="1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</row>
    <row r="270" spans="1:15" ht="1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</row>
    <row r="271" spans="1:15" ht="1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</row>
    <row r="273" spans="1:15" ht="1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</row>
    <row r="274" spans="1:15" ht="1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</row>
    <row r="275" spans="1:15" ht="1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</row>
    <row r="276" spans="1:15" ht="1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</row>
    <row r="277" spans="1:15" ht="1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</row>
    <row r="278" spans="1:15" ht="1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</row>
    <row r="279" spans="1:15" ht="1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</row>
    <row r="280" spans="1:15" ht="1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</row>
    <row r="281" spans="1:15" ht="1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</row>
    <row r="282" spans="1:15" ht="1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</row>
    <row r="283" spans="1:15" ht="1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</row>
    <row r="284" spans="1:15" ht="1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</row>
    <row r="285" spans="1:15" ht="1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</row>
    <row r="286" spans="1:15" ht="1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</row>
    <row r="287" spans="1:15" ht="1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</row>
    <row r="288" spans="1:15" ht="1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</row>
    <row r="289" spans="1:15" ht="1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</row>
    <row r="290" spans="1:15" ht="1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</row>
    <row r="291" spans="1:15" ht="1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</row>
    <row r="292" spans="1:15" ht="1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</row>
    <row r="293" spans="1:15" ht="1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</row>
    <row r="294" spans="1:15" ht="1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</row>
    <row r="295" spans="1:15" ht="1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</row>
    <row r="296" spans="1:15" ht="1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</row>
    <row r="297" spans="1:15" ht="1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</row>
    <row r="298" spans="1:15" ht="1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</row>
    <row r="300" spans="1:15" ht="1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</row>
    <row r="301" spans="1:15" ht="1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</row>
    <row r="302" spans="1:15" ht="1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</row>
    <row r="303" spans="1:15" ht="1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</row>
    <row r="304" spans="1:15" ht="1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</row>
    <row r="305" spans="1:15" ht="1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</row>
    <row r="306" spans="1:15" ht="1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</row>
    <row r="307" spans="1:15" ht="1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</row>
    <row r="308" spans="1:15" ht="1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</row>
    <row r="309" spans="1:15" ht="1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</row>
    <row r="310" spans="1:15" ht="1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</row>
    <row r="311" spans="1:15" ht="1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</row>
    <row r="312" spans="1:15" ht="1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</row>
    <row r="313" spans="1:15" ht="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</row>
    <row r="314" spans="1:15" ht="1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</row>
    <row r="315" spans="1:15" ht="1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</row>
    <row r="316" spans="1:15" ht="1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</row>
    <row r="317" spans="1:15" ht="1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</row>
    <row r="318" spans="1:15" ht="1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</row>
    <row r="319" spans="1:15" ht="1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</row>
    <row r="320" spans="1:15" ht="1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</row>
    <row r="321" spans="1:15" ht="1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</row>
    <row r="322" spans="1:15" ht="1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</row>
    <row r="323" spans="1:15" ht="1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</row>
    <row r="324" spans="1:15" ht="1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</row>
    <row r="325" spans="1:15" ht="1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</row>
    <row r="329" spans="1:15" ht="1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</row>
    <row r="330" spans="1:15" ht="1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</row>
    <row r="331" spans="1:15" ht="1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</row>
    <row r="332" spans="1:15" ht="1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</row>
    <row r="333" spans="1:15" ht="1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</row>
    <row r="334" spans="1:15" ht="1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</row>
    <row r="335" spans="1:15" ht="1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</row>
    <row r="336" spans="1:15" ht="1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</row>
    <row r="337" spans="1:15" ht="1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</row>
    <row r="338" spans="1:15" ht="1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</row>
    <row r="339" spans="1:15" ht="1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</row>
    <row r="340" spans="1:15" ht="1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</row>
    <row r="341" spans="1:15" ht="1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ht="1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</row>
    <row r="343" spans="1:15" ht="1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</row>
    <row r="344" spans="1:15" ht="1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</row>
    <row r="345" spans="1:15" ht="1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</row>
    <row r="346" spans="1:15" ht="1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</row>
    <row r="347" spans="1:15" ht="1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</row>
    <row r="348" spans="1:15" ht="1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</row>
    <row r="349" spans="1:15" ht="1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</row>
    <row r="350" spans="1:15" ht="1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</row>
    <row r="351" spans="1:15" ht="1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</row>
    <row r="352" spans="1:15" ht="1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</row>
    <row r="353" spans="1:15" ht="1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</row>
    <row r="354" spans="1:15" ht="1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</row>
    <row r="355" spans="1:15" ht="1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</row>
    <row r="356" spans="1:15" ht="1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</row>
    <row r="357" spans="1:15" ht="1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</row>
    <row r="358" spans="1:15" ht="1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</row>
    <row r="359" spans="1:15" ht="1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</row>
    <row r="360" spans="1:15" ht="1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</row>
    <row r="361" spans="1:15" ht="1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</row>
    <row r="362" spans="1:15" ht="1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</row>
    <row r="363" spans="1:15" ht="1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</row>
    <row r="364" spans="1:15" ht="1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</row>
    <row r="365" spans="1:15" ht="1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</row>
    <row r="366" spans="1:15" ht="1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</row>
    <row r="367" spans="1:15" ht="1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</row>
    <row r="368" spans="1:15" ht="1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</row>
    <row r="369" spans="1:15" ht="1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</row>
    <row r="370" spans="1:15" ht="1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</row>
    <row r="371" spans="1:15" ht="1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</row>
    <row r="372" spans="1:15" ht="1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</row>
    <row r="373" spans="1:15" ht="1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</row>
    <row r="374" spans="1:15" ht="1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</row>
    <row r="375" spans="1:15" ht="1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</row>
    <row r="376" spans="1:15" ht="1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</row>
    <row r="377" spans="1:15" ht="1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</row>
    <row r="378" spans="1:15" ht="1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</row>
    <row r="379" spans="1:15" ht="1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</row>
    <row r="380" spans="1:15" ht="1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</row>
    <row r="381" spans="1:15" ht="1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</row>
    <row r="382" spans="1:15" ht="1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</row>
    <row r="383" spans="1:15" ht="1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</row>
    <row r="384" spans="1:15" ht="1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</row>
    <row r="385" spans="1:15" ht="1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</row>
    <row r="386" spans="1:15" ht="1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</row>
    <row r="387" spans="1:15" ht="1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</row>
    <row r="388" spans="1:15" ht="1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</row>
    <row r="389" spans="1:15" ht="1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</row>
    <row r="390" spans="1:15" ht="1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</row>
    <row r="391" spans="1:15" ht="1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</row>
    <row r="392" spans="1:15" ht="1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</row>
    <row r="393" spans="1:15" ht="1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</row>
    <row r="394" spans="1:15" ht="1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</row>
    <row r="395" spans="1:15" ht="1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</row>
    <row r="396" spans="1:15" ht="1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</row>
    <row r="397" spans="1:15" ht="1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</row>
    <row r="398" spans="1:15" ht="1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</row>
    <row r="399" spans="1:15" ht="1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</row>
    <row r="400" spans="1:15" ht="1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</row>
    <row r="401" spans="1:15" ht="1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</row>
    <row r="402" spans="1:15" ht="1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</row>
    <row r="403" spans="1:15" ht="1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</row>
    <row r="404" spans="1:15" ht="1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</row>
    <row r="405" spans="1:15" ht="1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</row>
    <row r="406" spans="1:15" ht="1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</row>
    <row r="407" spans="1:15" ht="1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</row>
    <row r="408" spans="1:15" ht="1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</row>
    <row r="409" spans="1:15" ht="1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</row>
    <row r="410" spans="1:15" ht="1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</row>
    <row r="411" spans="1:15" ht="1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</row>
    <row r="412" spans="1:15" ht="1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</row>
    <row r="413" spans="1:15" ht="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</row>
    <row r="414" spans="1:15" ht="1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</row>
    <row r="415" spans="1:15" ht="1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</row>
    <row r="416" spans="1:15" ht="1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</row>
    <row r="417" spans="1:15" ht="1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</row>
    <row r="418" spans="1:15" ht="1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</row>
    <row r="419" spans="1:15" ht="1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</row>
    <row r="420" spans="1:15" ht="1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</row>
    <row r="421" spans="1:15" ht="1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</row>
    <row r="422" spans="1:15" ht="1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</row>
    <row r="423" spans="1:15" ht="1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</row>
    <row r="424" spans="1:15" ht="1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</row>
    <row r="425" spans="1:15" ht="1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</row>
    <row r="426" spans="1:15" ht="1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</row>
    <row r="427" spans="1:15" ht="1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</row>
    <row r="428" spans="1:15" ht="1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</row>
    <row r="429" spans="1:15" ht="1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</row>
    <row r="430" spans="1:15" ht="1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</row>
    <row r="431" spans="1:15" ht="1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</row>
    <row r="432" spans="1:15" ht="1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</row>
    <row r="433" spans="1:15" ht="1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</row>
    <row r="434" spans="1:15" ht="1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</row>
    <row r="435" spans="1:15" ht="1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</row>
    <row r="436" spans="1:15" ht="1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</row>
    <row r="437" spans="1:15" ht="1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</row>
    <row r="438" spans="1:15" ht="1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</row>
    <row r="439" spans="1:15" ht="1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</row>
    <row r="440" spans="1:15" ht="1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</row>
    <row r="441" spans="1:15" ht="1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</row>
    <row r="442" spans="1:15" ht="1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</row>
    <row r="443" spans="1:15" ht="1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</row>
    <row r="444" spans="1:15" ht="1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</row>
    <row r="445" spans="1:15" ht="1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</row>
    <row r="446" spans="1:15" ht="1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</row>
    <row r="447" spans="1:15" ht="1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</row>
    <row r="448" spans="1:15" ht="1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</row>
    <row r="449" spans="1:15" ht="1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</row>
    <row r="450" spans="1:15" ht="1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</row>
    <row r="451" spans="1:15" ht="1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</row>
    <row r="452" spans="1:15" ht="1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</row>
    <row r="453" spans="1:15" ht="1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</row>
    <row r="454" spans="1:15" ht="1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</row>
    <row r="455" spans="1:15" ht="1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</row>
    <row r="456" spans="1:15" ht="1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</row>
    <row r="457" spans="1:15" ht="1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</row>
    <row r="458" spans="1:15" ht="1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</row>
    <row r="459" spans="1:15" ht="1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</row>
    <row r="460" spans="1:15" ht="1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</row>
    <row r="461" spans="1:15" ht="1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</row>
    <row r="462" spans="1:15" ht="1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</row>
    <row r="463" spans="1:15" ht="1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</row>
    <row r="464" spans="1:15" ht="1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</row>
    <row r="465" spans="1:15" ht="1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</row>
    <row r="466" spans="1:15" ht="1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</row>
    <row r="467" spans="1:15" ht="1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</row>
    <row r="468" spans="1:15" ht="1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</row>
    <row r="469" spans="1:15" ht="1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</row>
    <row r="470" spans="1:15" ht="1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</row>
    <row r="471" spans="1:15" ht="1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</row>
    <row r="472" spans="1:15" ht="1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</row>
    <row r="473" spans="1:15" ht="1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</row>
    <row r="474" spans="1:15" ht="1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</row>
    <row r="475" spans="1:15" ht="1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</row>
    <row r="476" spans="1:15" ht="1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</row>
    <row r="477" spans="1:15" ht="1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</row>
    <row r="478" spans="1:15" ht="1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</row>
    <row r="479" spans="1:15" ht="1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</row>
    <row r="480" spans="1:15" ht="1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</row>
    <row r="481" spans="1:15" ht="1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</row>
    <row r="482" spans="1:15" ht="1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</row>
    <row r="483" spans="1:15" ht="1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</row>
    <row r="484" spans="1:15" ht="1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</row>
    <row r="485" spans="1:15" ht="1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</row>
    <row r="486" spans="1:15" ht="1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</row>
    <row r="487" spans="1:15" ht="1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</row>
    <row r="488" spans="1:15" ht="1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</row>
    <row r="489" spans="1:15" ht="1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</row>
    <row r="490" spans="1:15" ht="1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</row>
    <row r="491" spans="1:15" ht="1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</row>
    <row r="492" spans="1:15" ht="1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</row>
    <row r="493" spans="1:15" ht="1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</row>
    <row r="494" spans="1:15" ht="1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</row>
    <row r="495" spans="1:15" ht="1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</row>
    <row r="496" spans="1:15" ht="1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</row>
    <row r="497" spans="1:15" ht="1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</row>
    <row r="498" spans="1:15" ht="1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</row>
    <row r="499" spans="1:15" ht="1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</row>
    <row r="500" spans="1:15" ht="1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</row>
    <row r="501" spans="1:15" ht="1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</row>
    <row r="502" spans="1:15" ht="1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</row>
    <row r="503" spans="1:15" ht="1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</row>
    <row r="504" spans="1:15" ht="1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</row>
    <row r="505" spans="1:15" ht="1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</row>
    <row r="506" spans="1:15" ht="1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</row>
    <row r="507" spans="1:15" ht="1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</row>
    <row r="508" spans="1:15" ht="1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</row>
    <row r="509" spans="1:15" ht="1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</row>
    <row r="510" spans="1:15" ht="1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</row>
    <row r="511" spans="1:15" ht="1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</row>
    <row r="512" spans="1:15" ht="1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</row>
    <row r="513" spans="1:15" ht="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</row>
    <row r="514" spans="1:15" ht="1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</row>
    <row r="515" spans="1:15" ht="1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</row>
    <row r="516" spans="1:15" ht="1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</row>
    <row r="517" spans="1:15" ht="1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</row>
    <row r="518" spans="1:15" ht="1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</row>
    <row r="519" spans="1:15" ht="1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</row>
    <row r="520" spans="1:15" ht="1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</row>
    <row r="521" spans="1:15" ht="1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</row>
    <row r="522" spans="1:15" ht="1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</row>
    <row r="523" spans="1:15" ht="1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</row>
    <row r="524" spans="1:15" ht="1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</row>
    <row r="525" spans="1:15" ht="1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</row>
    <row r="526" spans="1:15" ht="1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</row>
    <row r="527" spans="1:15" ht="1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</row>
    <row r="528" spans="1:15" ht="1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</row>
    <row r="529" spans="1:15" ht="1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</row>
    <row r="530" spans="1:15" ht="1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</row>
    <row r="531" spans="1:15" ht="1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</row>
    <row r="532" spans="1:15" ht="1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</row>
    <row r="533" spans="1:15" ht="1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</row>
    <row r="534" spans="1:15" ht="1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</row>
    <row r="535" spans="1:15" ht="1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</row>
    <row r="536" spans="1:15" ht="1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</row>
    <row r="537" spans="1:15" ht="1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</row>
    <row r="538" spans="1:15" ht="1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</row>
    <row r="539" spans="1:15" ht="1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</row>
    <row r="540" spans="1:15" ht="1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</row>
    <row r="541" spans="1:15" ht="1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</row>
    <row r="542" spans="1:15" ht="1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</row>
    <row r="543" spans="1:15" ht="1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</row>
    <row r="544" spans="1:15" ht="1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</row>
    <row r="545" spans="1:15" ht="1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</row>
    <row r="546" spans="1:15" ht="1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</row>
    <row r="547" spans="1:15" ht="1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</row>
    <row r="548" spans="1:15" ht="1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</row>
    <row r="549" spans="1:15" ht="1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</row>
    <row r="550" spans="1:15" ht="1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</row>
    <row r="551" spans="1:15" ht="1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</row>
    <row r="552" spans="1:15" ht="1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</row>
    <row r="553" spans="1:15" ht="1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</row>
    <row r="554" spans="1:15" ht="1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</row>
    <row r="555" spans="1:15" ht="1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</row>
    <row r="556" spans="1:15" ht="1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</row>
    <row r="557" spans="1:15" ht="1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</row>
    <row r="558" spans="1:15" ht="1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</row>
    <row r="559" spans="1:15" ht="1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</row>
    <row r="560" spans="1:15" ht="1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</row>
    <row r="561" spans="1:15" ht="1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</row>
    <row r="562" spans="1:15" ht="1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</row>
    <row r="563" spans="1:15" ht="1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</row>
    <row r="564" spans="1:15" ht="1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</row>
    <row r="565" spans="1:15" ht="1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</row>
    <row r="566" spans="1:15" ht="1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</row>
    <row r="567" spans="1:15" ht="1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</row>
    <row r="568" spans="1:15" ht="1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</row>
    <row r="569" spans="1:15" ht="1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</row>
    <row r="570" spans="1:15" ht="1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</row>
    <row r="571" spans="1:15" ht="1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</row>
    <row r="572" spans="1:15" ht="1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</row>
    <row r="573" spans="1:15" ht="1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</row>
    <row r="574" spans="1:15" ht="1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</row>
    <row r="575" spans="1:15" ht="1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</row>
    <row r="576" spans="1:15" ht="1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</row>
    <row r="577" spans="1:15" ht="1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</row>
    <row r="578" spans="1:15" ht="1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</row>
    <row r="579" spans="1:15" ht="1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</row>
    <row r="580" spans="1:15" ht="1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</row>
    <row r="581" spans="1:15" ht="1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</row>
    <row r="582" spans="1:15" ht="1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</row>
    <row r="583" spans="1:15" ht="1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</row>
    <row r="584" spans="1:15" ht="1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</row>
    <row r="585" spans="1:15" ht="1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</row>
    <row r="586" spans="1:15" ht="1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</row>
    <row r="587" spans="1:15" ht="1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</row>
    <row r="588" spans="1:15" ht="1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</row>
    <row r="589" spans="1:15" ht="1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</row>
    <row r="590" spans="1:15" ht="1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</row>
    <row r="591" spans="1:15" ht="1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</row>
    <row r="592" spans="1:15" ht="1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</row>
    <row r="593" spans="1:15" ht="1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</row>
    <row r="594" spans="1:15" ht="1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</row>
    <row r="595" spans="1:15" ht="1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</row>
    <row r="596" spans="1:15" ht="1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</row>
    <row r="597" spans="1:15" ht="1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</row>
    <row r="598" spans="1:15" ht="1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</row>
    <row r="599" spans="1:15" ht="1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</row>
    <row r="600" spans="1:15" ht="1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</row>
    <row r="601" spans="1:15" ht="1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</row>
    <row r="602" spans="1:15" ht="1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</row>
    <row r="603" spans="1:15" ht="1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</row>
    <row r="604" spans="1:15" ht="1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</row>
    <row r="605" spans="1:15" ht="1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</row>
    <row r="606" spans="1:15" ht="1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</row>
    <row r="607" spans="1:15" ht="1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</row>
    <row r="608" spans="1:15" ht="1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</row>
    <row r="609" spans="1:15" ht="1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</row>
    <row r="610" spans="1:15" ht="1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</row>
    <row r="611" spans="1:15" ht="1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</row>
    <row r="612" spans="1:15" ht="1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</row>
    <row r="613" spans="1:15" ht="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</row>
    <row r="614" spans="1:15" ht="1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</row>
    <row r="615" spans="1:15" ht="1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</row>
    <row r="616" spans="1:15" ht="1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</row>
    <row r="617" spans="1:15" ht="1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</row>
    <row r="618" spans="1:15" ht="1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</row>
    <row r="619" spans="1:15" ht="1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</row>
    <row r="620" spans="1:15" ht="1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</row>
    <row r="621" spans="1:15" ht="1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</row>
    <row r="622" spans="1:15" ht="1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</row>
    <row r="623" spans="1:15" ht="1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</row>
    <row r="624" spans="1:15" ht="1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</row>
    <row r="625" spans="1:15" ht="1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</row>
    <row r="626" spans="1:15" ht="1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</row>
    <row r="627" spans="1:15" ht="1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</row>
    <row r="628" spans="1:15" ht="1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</row>
    <row r="629" spans="1:15" ht="1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</row>
    <row r="630" spans="1:15" ht="1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</row>
    <row r="631" spans="1:15" ht="1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</row>
    <row r="632" spans="1:15" ht="1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</row>
    <row r="633" spans="1:15" ht="1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</row>
    <row r="634" spans="1:15" ht="1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</row>
    <row r="635" spans="1:15" ht="1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</row>
    <row r="636" spans="1:15" ht="1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</row>
    <row r="637" spans="1:15" ht="1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</row>
    <row r="638" spans="1:15" ht="1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</row>
    <row r="639" spans="1:15" ht="1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</row>
    <row r="640" spans="1:15" ht="1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</row>
    <row r="641" spans="1:15" ht="1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</row>
    <row r="642" spans="1:15" ht="1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</row>
    <row r="643" spans="1:15" ht="1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</row>
    <row r="644" spans="1:15" ht="1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</row>
    <row r="645" spans="1:15" ht="1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</row>
    <row r="646" spans="1:15" ht="1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</row>
    <row r="647" spans="1:15" ht="1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</row>
    <row r="648" spans="1:15" ht="1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</row>
    <row r="649" spans="1:15" ht="1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</row>
    <row r="650" spans="1:15" ht="1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</row>
    <row r="651" spans="1:15" ht="1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</row>
    <row r="652" spans="1:15" ht="1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</row>
    <row r="653" spans="1:15" ht="1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</row>
    <row r="654" spans="1:15" ht="1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</row>
    <row r="655" spans="1:15" ht="1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</row>
    <row r="656" spans="1:15" ht="1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</row>
    <row r="657" spans="1:15" ht="1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</row>
    <row r="658" spans="1:15" ht="1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</row>
    <row r="659" spans="1:15" ht="1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</row>
    <row r="660" spans="1:15" ht="1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</row>
    <row r="661" spans="1:15" ht="1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</row>
    <row r="662" spans="1:15" ht="1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</row>
    <row r="663" spans="1:15" ht="1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</row>
    <row r="664" spans="1:15" ht="1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</row>
    <row r="665" spans="1:15" ht="1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</row>
    <row r="666" spans="1:15" ht="1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</row>
    <row r="667" spans="1:15" ht="1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</row>
    <row r="668" spans="1:15" ht="1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</row>
    <row r="669" spans="1:15" ht="1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</row>
    <row r="670" spans="1:15" ht="1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</row>
    <row r="671" spans="1:15" ht="1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</row>
    <row r="672" spans="1:15" ht="1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</row>
    <row r="673" spans="1:15" ht="1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</row>
    <row r="674" spans="1:15" ht="1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</row>
    <row r="675" spans="1:15" ht="1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</row>
    <row r="676" spans="1:15" ht="1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</row>
    <row r="677" spans="1:15" ht="1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</row>
    <row r="678" spans="1:15" ht="1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</row>
    <row r="679" spans="1:15" ht="1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</row>
    <row r="680" spans="1:15" ht="1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</row>
    <row r="681" spans="1:15" ht="1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</row>
    <row r="682" spans="1:15" ht="1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</row>
    <row r="683" spans="1:15" ht="1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</row>
    <row r="684" spans="1:15" ht="1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</row>
    <row r="685" spans="1:15" ht="1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</row>
    <row r="686" spans="1:15" ht="1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</row>
    <row r="687" spans="1:15" ht="1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</row>
    <row r="688" spans="1:15" ht="1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</row>
    <row r="689" spans="1:15" ht="1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</row>
    <row r="690" spans="1:15" ht="1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</row>
    <row r="691" spans="1:15" ht="1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</row>
    <row r="692" spans="1:15" ht="1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</row>
    <row r="693" spans="1:15" ht="1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</row>
    <row r="694" spans="1:15" ht="1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</row>
    <row r="695" spans="1:15" ht="1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</row>
    <row r="696" spans="1:15" ht="1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</row>
    <row r="697" spans="1:15" ht="1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</row>
    <row r="698" spans="1:15" ht="1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</row>
    <row r="699" spans="1:15" ht="1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</row>
    <row r="700" spans="1:15" ht="1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</row>
    <row r="701" spans="1:15" ht="1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</row>
    <row r="702" spans="1:15" ht="1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</row>
    <row r="703" spans="1:15" ht="1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</row>
    <row r="704" spans="1:15" ht="1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</row>
    <row r="705" spans="1:15" ht="1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</row>
    <row r="706" spans="1:15" ht="1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</row>
    <row r="707" spans="1:15" ht="1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</row>
    <row r="708" spans="1:15" ht="1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</row>
    <row r="709" spans="1:15" ht="1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</row>
    <row r="710" spans="1:15" ht="1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</row>
    <row r="711" spans="1:15" ht="1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</row>
    <row r="712" spans="1:15" ht="1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</row>
    <row r="713" spans="1:15" ht="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</row>
    <row r="714" spans="1:15" ht="1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</row>
    <row r="715" spans="1:15" ht="1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</row>
    <row r="716" spans="1:15" ht="1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</row>
    <row r="717" spans="1:15" ht="1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</row>
    <row r="718" spans="1:15" ht="1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</row>
    <row r="719" spans="1:15" ht="1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</row>
    <row r="720" spans="1:15" ht="1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</row>
    <row r="721" spans="1:15" ht="1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</row>
    <row r="722" spans="1:15" ht="1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</row>
    <row r="723" spans="1:15" ht="1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</row>
    <row r="724" spans="1:15" ht="1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</row>
    <row r="725" spans="1:15" ht="1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</row>
    <row r="726" spans="1:15" ht="1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</row>
    <row r="727" spans="1:15" ht="1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</row>
    <row r="728" spans="1:15" ht="1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</row>
    <row r="729" spans="1:15" ht="1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</row>
    <row r="730" spans="1:15" ht="1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</row>
    <row r="731" spans="1:15" ht="1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</row>
    <row r="732" spans="1:15" ht="1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</row>
    <row r="733" spans="1:15" ht="1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</row>
    <row r="734" spans="1:15" ht="1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</row>
    <row r="735" spans="1:15" ht="1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</row>
    <row r="736" spans="1:15" ht="1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</row>
    <row r="737" spans="1:15" ht="1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</row>
    <row r="738" spans="1:15" ht="1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</row>
    <row r="739" spans="1:15" ht="1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</row>
    <row r="740" spans="1:15" ht="1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</row>
    <row r="741" spans="1:15" ht="1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</row>
    <row r="742" spans="1:15" ht="1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</row>
    <row r="743" spans="1:15" ht="1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</row>
    <row r="744" spans="1:15" ht="1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</row>
    <row r="745" spans="1:15" ht="1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</row>
    <row r="746" spans="1:15" ht="1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</row>
    <row r="747" spans="1:15" ht="1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</row>
    <row r="748" spans="1:15" ht="1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</row>
    <row r="749" spans="1:15" ht="1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</row>
    <row r="750" spans="1:15" ht="1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</row>
    <row r="751" spans="1:15" ht="1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</row>
    <row r="752" spans="1:15" ht="1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</row>
    <row r="753" spans="1:15" ht="1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</row>
    <row r="754" spans="1:15" ht="1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</row>
    <row r="755" spans="1:15" ht="1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</row>
    <row r="756" spans="1:15" ht="1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</row>
    <row r="757" spans="1:15" ht="1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</row>
    <row r="758" spans="1:15" ht="1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</row>
    <row r="759" spans="1:15" ht="1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</row>
    <row r="760" spans="1:15" ht="1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</row>
    <row r="761" spans="1:15" ht="1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</row>
    <row r="762" spans="1:15" ht="1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</row>
    <row r="763" spans="1:15" ht="1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</row>
    <row r="764" spans="1:15" ht="1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</row>
    <row r="765" spans="1:15" ht="1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</row>
    <row r="766" spans="1:15" ht="1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</row>
    <row r="767" spans="1:15" ht="1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</row>
    <row r="768" spans="1:15" ht="1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</row>
    <row r="769" spans="1:15" ht="1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</row>
    <row r="770" spans="1:15" ht="1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</row>
    <row r="771" spans="1:15" ht="1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</row>
    <row r="772" spans="1:15" ht="1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</row>
    <row r="773" spans="1:15" ht="1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</row>
    <row r="774" spans="1:15" ht="1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</row>
    <row r="775" spans="1:15" ht="1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</row>
    <row r="776" spans="1:15" ht="1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  <row r="792" spans="1:15" ht="1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</row>
    <row r="793" spans="1:15" ht="1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</row>
    <row r="794" spans="1:15" ht="1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</row>
    <row r="795" spans="1:15" ht="1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</row>
    <row r="796" spans="1:15" ht="1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</row>
    <row r="797" spans="1:15" ht="1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</row>
    <row r="798" spans="1:15" ht="1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</row>
    <row r="799" spans="1:15" ht="1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</row>
    <row r="800" spans="1:15" ht="1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</row>
    <row r="801" spans="1:15" ht="1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</row>
    <row r="802" spans="1:15" ht="1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</row>
    <row r="803" spans="1:15" ht="1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</row>
    <row r="804" spans="1:15" ht="1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</row>
    <row r="805" spans="1:15" ht="1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</row>
    <row r="806" spans="1:15" ht="1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</row>
    <row r="807" spans="1:15" ht="1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</row>
    <row r="808" spans="1:15" ht="1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</row>
    <row r="809" spans="1:15" ht="1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</row>
    <row r="810" spans="1:15" ht="1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</row>
    <row r="811" spans="1:15" ht="1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</row>
    <row r="812" spans="1:15" ht="1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</row>
    <row r="813" spans="1:15" ht="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</row>
    <row r="814" spans="1:15" ht="1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</row>
    <row r="815" spans="1:15" ht="1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</row>
    <row r="816" spans="1:15" ht="1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</row>
    <row r="817" spans="1:15" ht="1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</row>
    <row r="818" spans="1:15" ht="1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</row>
    <row r="819" spans="1:15" ht="1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</row>
    <row r="820" spans="1:15" ht="1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</row>
    <row r="821" spans="1:15" ht="1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</row>
    <row r="822" spans="1:15" ht="1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</row>
    <row r="823" spans="1:15" ht="1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</row>
    <row r="824" spans="1:15" ht="1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</row>
    <row r="825" spans="1:15" ht="1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</row>
    <row r="826" spans="1:15" ht="1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</row>
    <row r="827" spans="1:15" ht="1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</row>
    <row r="828" spans="1:15" ht="1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</row>
    <row r="829" spans="1:15" ht="1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</row>
    <row r="830" spans="1:15" ht="1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</row>
    <row r="831" spans="1:15" ht="1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</row>
    <row r="832" spans="1:15" ht="1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</row>
    <row r="833" spans="1:15" ht="1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</row>
    <row r="834" spans="1:15" ht="1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</row>
    <row r="835" spans="1:15" ht="1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</row>
    <row r="836" spans="1:15" ht="1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</row>
    <row r="837" spans="1:15" ht="1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</row>
    <row r="838" spans="1:15" ht="1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</row>
    <row r="839" spans="1:15" ht="1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</row>
    <row r="840" spans="1:15" ht="1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</row>
    <row r="841" spans="1:15" ht="1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</row>
    <row r="842" spans="1:15" ht="1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</row>
    <row r="843" spans="1:15" ht="1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</row>
    <row r="844" spans="1:15" ht="1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</row>
    <row r="845" spans="1:15" ht="1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</row>
    <row r="846" spans="1:15" ht="1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</row>
    <row r="847" spans="1:15" ht="1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</row>
    <row r="848" spans="1:15" ht="1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</row>
    <row r="849" spans="1:15" ht="1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</row>
    <row r="850" spans="1:15" ht="1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</row>
    <row r="851" spans="1:15" ht="1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</row>
    <row r="852" spans="1:15" ht="1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</row>
    <row r="853" spans="1:15" ht="1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</row>
    <row r="854" spans="1:15" ht="1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</row>
    <row r="855" spans="1:15" ht="1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</row>
    <row r="856" spans="1:15" ht="1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</row>
    <row r="857" spans="1:15" ht="1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</row>
    <row r="858" spans="1:15" ht="1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</row>
    <row r="859" spans="1:15" ht="1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</row>
    <row r="860" spans="1:15" ht="1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</row>
    <row r="861" spans="1:15" ht="1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</row>
    <row r="862" spans="1:15" ht="1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</row>
    <row r="863" spans="1:15" ht="1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</row>
    <row r="864" spans="1:15" ht="1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</row>
    <row r="865" spans="1:15" ht="1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</row>
    <row r="866" spans="1:15" ht="1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</row>
    <row r="867" spans="1:15" ht="1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</row>
    <row r="868" spans="1:15" ht="1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</row>
    <row r="869" spans="1:15" ht="1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</row>
    <row r="870" spans="1:15" ht="1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</row>
    <row r="871" spans="1:15" ht="1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</row>
    <row r="872" spans="1:15" ht="1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</row>
    <row r="873" spans="1:15" ht="1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</row>
    <row r="874" spans="1:15" ht="1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</row>
    <row r="875" spans="1:15" ht="1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</row>
    <row r="876" spans="1:15" ht="1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</row>
    <row r="877" spans="1:15" ht="1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</row>
    <row r="878" spans="1:15" ht="1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</row>
    <row r="879" spans="1:15" ht="1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</row>
    <row r="880" spans="1:15" ht="1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</row>
    <row r="881" spans="1:15" ht="1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</row>
    <row r="882" spans="1:15" ht="1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</row>
    <row r="883" spans="1:15" ht="1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</row>
    <row r="884" spans="1:15" ht="1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</row>
    <row r="885" spans="1:15" ht="1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</row>
    <row r="886" spans="1:15" ht="1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</row>
    <row r="887" spans="1:15" ht="1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</row>
    <row r="888" spans="1:15" ht="1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</row>
    <row r="889" spans="1:15" ht="1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</row>
    <row r="890" spans="1:15" ht="1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</row>
    <row r="891" spans="1:15" ht="1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</row>
    <row r="892" spans="1:15" ht="1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</row>
    <row r="893" spans="1:15" ht="1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</row>
    <row r="894" spans="1:15" ht="1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</row>
    <row r="895" spans="1:15" ht="1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</row>
    <row r="896" spans="1:15" ht="1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</row>
    <row r="897" spans="1:15" ht="1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</row>
    <row r="898" spans="1:15" ht="1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</row>
    <row r="899" spans="1:15" ht="1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</row>
    <row r="900" spans="1:15" ht="1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</row>
    <row r="901" spans="1:15" ht="1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</row>
    <row r="902" spans="1:15" ht="1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</row>
    <row r="903" spans="1:15" ht="1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</row>
    <row r="904" spans="1:15" ht="1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</row>
    <row r="905" spans="1:15" ht="1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</row>
    <row r="906" spans="1:15" ht="1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</row>
    <row r="907" spans="1:15" ht="1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</row>
    <row r="908" spans="1:15" ht="1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</row>
    <row r="909" spans="1:15" ht="1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</row>
    <row r="910" spans="1:15" ht="1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</row>
    <row r="911" spans="1:15" ht="1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</row>
    <row r="912" spans="1:15" ht="1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</row>
    <row r="913" spans="1:15" ht="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</row>
    <row r="914" spans="1:15" ht="1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</row>
    <row r="915" spans="1:15" ht="1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</row>
    <row r="916" spans="1:15" ht="1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</row>
    <row r="917" spans="1:15" ht="1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</row>
    <row r="918" spans="1:15" ht="1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</row>
    <row r="919" spans="1:15" ht="1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</row>
    <row r="920" spans="1:15" ht="1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</row>
    <row r="921" spans="1:15" ht="1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</row>
    <row r="922" spans="1:15" ht="1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</row>
    <row r="923" spans="1:15" ht="1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</row>
    <row r="924" spans="1:15" ht="1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</row>
    <row r="925" spans="1:15" ht="1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</row>
    <row r="926" spans="1:15" ht="1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</row>
    <row r="927" spans="1:15" ht="1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</row>
    <row r="928" spans="1:15" ht="1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</row>
    <row r="929" spans="1:15" ht="1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</row>
    <row r="930" spans="1:15" ht="1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</row>
    <row r="931" spans="1:15" ht="1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</row>
    <row r="932" spans="1:15" ht="1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</row>
    <row r="933" spans="1:15" ht="1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</row>
    <row r="934" spans="1:15" ht="1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</row>
    <row r="935" spans="1:15" ht="1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</row>
    <row r="936" spans="1:15" ht="1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</row>
    <row r="937" spans="1:15" ht="1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</row>
    <row r="938" spans="1:15" ht="1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</row>
    <row r="939" spans="1:15" ht="1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</row>
    <row r="940" spans="1:15" ht="1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</row>
    <row r="941" spans="1:15" ht="1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</row>
    <row r="942" spans="1:15" ht="1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</row>
    <row r="943" spans="1:15" ht="1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</row>
    <row r="944" spans="1:15" ht="1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</row>
    <row r="945" spans="1:15" ht="1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</row>
    <row r="946" spans="1:15" ht="1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</row>
    <row r="947" spans="1:15" ht="1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</row>
    <row r="948" spans="1:15" ht="1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</row>
    <row r="949" spans="1:15" ht="1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</row>
    <row r="950" spans="1:15" ht="1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</row>
    <row r="951" spans="1:15" ht="1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</row>
    <row r="952" spans="1:15" ht="1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</row>
    <row r="953" spans="1:15" ht="1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</row>
    <row r="954" spans="1:15" ht="1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</row>
    <row r="955" spans="1:15" ht="1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</row>
    <row r="956" spans="1:15" ht="1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</row>
    <row r="957" spans="1:15" ht="1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</row>
    <row r="958" spans="1:15" ht="1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</row>
    <row r="959" spans="1:15" ht="1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</row>
    <row r="960" spans="1:15" ht="1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</row>
    <row r="961" spans="1:15" ht="1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</row>
    <row r="962" spans="1:15" ht="1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</row>
    <row r="963" spans="1:15" ht="1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</row>
    <row r="964" spans="1:15" ht="1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</row>
    <row r="965" spans="1:15" ht="1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</row>
    <row r="966" spans="1:15" ht="1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</row>
    <row r="967" spans="1:15" ht="1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</row>
    <row r="968" spans="1:15" ht="1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</row>
    <row r="969" spans="1:15" ht="1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</row>
    <row r="970" spans="1:15" ht="1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</row>
    <row r="971" spans="1:15" ht="1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</row>
    <row r="972" spans="1:15" ht="1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</row>
    <row r="973" spans="1:15" ht="1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</row>
    <row r="974" spans="1:15" ht="1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</row>
    <row r="975" spans="1:15" ht="1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</row>
    <row r="976" spans="1:15" ht="1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</row>
    <row r="977" spans="1:15" ht="1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</row>
    <row r="978" spans="1:15" ht="1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</row>
    <row r="979" spans="1:15" ht="1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</row>
    <row r="980" spans="1:15" ht="1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</row>
    <row r="981" spans="1:15" ht="1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</row>
    <row r="982" spans="1:15" ht="1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</row>
    <row r="983" spans="1:15" ht="1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</row>
    <row r="984" spans="1:15" ht="1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</row>
    <row r="985" spans="1:15" ht="1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</row>
    <row r="986" spans="1:15" ht="1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</row>
    <row r="987" spans="1:15" ht="1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</row>
    <row r="988" spans="1:15" ht="1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</row>
    <row r="989" spans="1:15" ht="1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</row>
    <row r="990" spans="1:15" ht="1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</row>
    <row r="991" spans="1:15" ht="1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</row>
    <row r="992" spans="1:15" ht="1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</row>
    <row r="993" spans="1:15" ht="1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</row>
    <row r="994" spans="1:15" ht="1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</row>
    <row r="995" spans="1:15" ht="1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</row>
    <row r="996" spans="1:15" ht="1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</row>
    <row r="997" spans="1:15" ht="1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</row>
    <row r="998" spans="1:15" ht="1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</row>
    <row r="999" spans="1:15" ht="1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</row>
    <row r="1000" spans="1:15" ht="1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</row>
  </sheetData>
  <hyperlinks>
    <hyperlink ref="B1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647"/>
  <sheetViews>
    <sheetView workbookViewId="0">
      <pane ySplit="1" topLeftCell="A5535" activePane="bottomLeft" state="frozen"/>
      <selection pane="bottomLeft" activeCell="C5553" sqref="C5553"/>
    </sheetView>
  </sheetViews>
  <sheetFormatPr baseColWidth="10" defaultColWidth="12.6640625" defaultRowHeight="15.75" customHeight="1"/>
  <cols>
    <col min="1" max="1" width="10.1640625" customWidth="1"/>
    <col min="2" max="2" width="11.1640625" customWidth="1"/>
    <col min="3" max="4" width="15.6640625" customWidth="1"/>
  </cols>
  <sheetData>
    <row r="1" spans="1:4" ht="15.75" customHeight="1">
      <c r="A1" s="12" t="s">
        <v>6</v>
      </c>
      <c r="B1" s="13" t="s">
        <v>7</v>
      </c>
      <c r="C1" s="14" t="s">
        <v>8</v>
      </c>
      <c r="D1" s="15" t="s">
        <v>9</v>
      </c>
    </row>
    <row r="2" spans="1:4" ht="15.75" customHeight="1">
      <c r="A2" s="16">
        <v>40377</v>
      </c>
      <c r="B2" s="17">
        <v>8.584E-2</v>
      </c>
      <c r="C2" s="18"/>
      <c r="D2" s="19"/>
    </row>
    <row r="3" spans="1:4" ht="15.75" customHeight="1">
      <c r="A3" s="16">
        <v>40378</v>
      </c>
      <c r="B3" s="17">
        <v>8.0799999999999997E-2</v>
      </c>
      <c r="C3" s="18"/>
      <c r="D3" s="19"/>
    </row>
    <row r="4" spans="1:4" ht="15.75" customHeight="1">
      <c r="A4" s="16">
        <v>40379</v>
      </c>
      <c r="B4" s="17">
        <v>7.4735729000000001E-2</v>
      </c>
      <c r="C4" s="18"/>
      <c r="D4" s="19"/>
    </row>
    <row r="5" spans="1:4" ht="15.75" customHeight="1">
      <c r="A5" s="16">
        <v>40380</v>
      </c>
      <c r="B5" s="17">
        <v>7.9192863000000002E-2</v>
      </c>
      <c r="C5" s="18"/>
      <c r="D5" s="19"/>
    </row>
    <row r="6" spans="1:4" ht="15.75" customHeight="1">
      <c r="A6" s="16">
        <v>40381</v>
      </c>
      <c r="B6" s="17">
        <v>5.8469760000000003E-2</v>
      </c>
      <c r="C6" s="18"/>
      <c r="D6" s="19"/>
    </row>
    <row r="7" spans="1:4" ht="15.75" customHeight="1">
      <c r="A7" s="16">
        <v>40382</v>
      </c>
      <c r="B7" s="17">
        <v>6.059287E-2</v>
      </c>
      <c r="C7" s="18"/>
      <c r="D7" s="19"/>
    </row>
    <row r="8" spans="1:4" ht="15.75" customHeight="1">
      <c r="A8" s="16">
        <v>40383</v>
      </c>
      <c r="B8" s="17">
        <v>5.4539999999999998E-2</v>
      </c>
      <c r="C8" s="18"/>
      <c r="D8" s="19"/>
    </row>
    <row r="9" spans="1:4" ht="15.75" customHeight="1">
      <c r="A9" s="16">
        <v>40384</v>
      </c>
      <c r="B9" s="17">
        <v>5.0540618000000002E-2</v>
      </c>
      <c r="C9" s="18"/>
      <c r="D9" s="19"/>
    </row>
    <row r="10" spans="1:4" ht="15.75" customHeight="1">
      <c r="A10" s="16">
        <v>40385</v>
      </c>
      <c r="B10" s="17">
        <v>5.6000000000000001E-2</v>
      </c>
      <c r="C10" s="18"/>
      <c r="D10" s="19"/>
    </row>
    <row r="11" spans="1:4" ht="15.75" customHeight="1">
      <c r="A11" s="16">
        <v>40386</v>
      </c>
      <c r="B11" s="17">
        <v>5.8622015999999999E-2</v>
      </c>
      <c r="C11" s="18"/>
      <c r="D11" s="19"/>
    </row>
    <row r="12" spans="1:4" ht="15.75" customHeight="1">
      <c r="A12" s="16">
        <v>40387</v>
      </c>
      <c r="B12" s="17">
        <v>5.8911099000000001E-2</v>
      </c>
      <c r="C12" s="18"/>
      <c r="D12" s="19"/>
    </row>
    <row r="13" spans="1:4" ht="15.75" customHeight="1">
      <c r="A13" s="16">
        <v>40388</v>
      </c>
      <c r="B13" s="17">
        <v>6.9900000000000004E-2</v>
      </c>
      <c r="C13" s="18"/>
      <c r="D13" s="19"/>
    </row>
    <row r="14" spans="1:4" ht="15.75" customHeight="1">
      <c r="A14" s="16">
        <v>40389</v>
      </c>
      <c r="B14" s="17">
        <v>6.4657381999999999E-2</v>
      </c>
      <c r="C14" s="18"/>
      <c r="D14" s="19"/>
    </row>
    <row r="15" spans="1:4" ht="15.75" customHeight="1">
      <c r="A15" s="16">
        <v>40390</v>
      </c>
      <c r="B15" s="17">
        <v>6.7545799000000004E-2</v>
      </c>
      <c r="C15" s="18"/>
      <c r="D15" s="19"/>
    </row>
    <row r="16" spans="1:4" ht="15.75" customHeight="1">
      <c r="A16" s="16">
        <v>40391</v>
      </c>
      <c r="B16" s="17">
        <v>6.1100000000000002E-2</v>
      </c>
      <c r="C16" s="18"/>
      <c r="D16" s="19"/>
    </row>
    <row r="17" spans="1:4" ht="15.75" customHeight="1">
      <c r="A17" s="16">
        <v>40392</v>
      </c>
      <c r="B17" s="17">
        <v>0.06</v>
      </c>
      <c r="C17" s="18"/>
      <c r="D17" s="19"/>
    </row>
    <row r="18" spans="1:4" ht="15.75" customHeight="1">
      <c r="A18" s="16">
        <v>40393</v>
      </c>
      <c r="B18" s="17">
        <v>6.0012151E-2</v>
      </c>
      <c r="C18" s="18"/>
      <c r="D18" s="19"/>
    </row>
    <row r="19" spans="1:4" ht="15.75" customHeight="1">
      <c r="A19" s="16">
        <v>40394</v>
      </c>
      <c r="B19" s="17">
        <v>5.7015780000000002E-2</v>
      </c>
      <c r="C19" s="18"/>
      <c r="D19" s="19"/>
    </row>
    <row r="20" spans="1:4" ht="15.75" customHeight="1">
      <c r="A20" s="16">
        <v>40395</v>
      </c>
      <c r="B20" s="17">
        <v>6.0999999999999999E-2</v>
      </c>
      <c r="C20" s="18"/>
      <c r="D20" s="19"/>
    </row>
    <row r="21" spans="1:4" ht="15.75" customHeight="1">
      <c r="A21" s="16">
        <v>40396</v>
      </c>
      <c r="B21" s="17">
        <v>6.1671314999999997E-2</v>
      </c>
      <c r="C21" s="18"/>
      <c r="D21" s="19"/>
    </row>
    <row r="22" spans="1:4" ht="15.75" customHeight="1">
      <c r="A22" s="16">
        <v>40397</v>
      </c>
      <c r="B22" s="17">
        <v>5.9003945000000002E-2</v>
      </c>
      <c r="C22" s="18"/>
      <c r="D22" s="19"/>
    </row>
    <row r="23" spans="1:4" ht="15.75" customHeight="1">
      <c r="A23" s="16">
        <v>40398</v>
      </c>
      <c r="B23" s="17">
        <v>6.0900000000000003E-2</v>
      </c>
      <c r="C23" s="18"/>
      <c r="D23" s="19"/>
    </row>
    <row r="24" spans="1:4" ht="15.75" customHeight="1">
      <c r="A24" s="16">
        <v>40399</v>
      </c>
      <c r="B24" s="17">
        <v>7.0400000000000004E-2</v>
      </c>
      <c r="C24" s="18"/>
      <c r="D24" s="19"/>
    </row>
    <row r="25" spans="1:4" ht="15.75" customHeight="1">
      <c r="A25" s="16">
        <v>40400</v>
      </c>
      <c r="B25" s="17">
        <v>6.9338729000000002E-2</v>
      </c>
      <c r="C25" s="18"/>
      <c r="D25" s="19"/>
    </row>
    <row r="26" spans="1:4" ht="15.75" customHeight="1">
      <c r="A26" s="16">
        <v>40401</v>
      </c>
      <c r="B26" s="17">
        <v>6.7000000000000004E-2</v>
      </c>
      <c r="C26" s="18"/>
      <c r="D26" s="19"/>
    </row>
    <row r="27" spans="1:4" ht="15.75" customHeight="1">
      <c r="A27" s="16">
        <v>40402</v>
      </c>
      <c r="B27" s="17">
        <v>7.0000000000000007E-2</v>
      </c>
      <c r="C27" s="18"/>
      <c r="D27" s="19"/>
    </row>
    <row r="28" spans="1:4" ht="15.75" customHeight="1">
      <c r="A28" s="16">
        <v>40403</v>
      </c>
      <c r="B28" s="17">
        <v>6.4500000000000002E-2</v>
      </c>
      <c r="C28" s="18"/>
      <c r="D28" s="19"/>
    </row>
    <row r="29" spans="1:4" ht="15.75" customHeight="1">
      <c r="A29" s="16">
        <v>40404</v>
      </c>
      <c r="B29" s="17">
        <v>6.6996433999999994E-2</v>
      </c>
      <c r="C29" s="18"/>
      <c r="D29" s="19"/>
    </row>
    <row r="30" spans="1:4" ht="15.75" customHeight="1">
      <c r="A30" s="16">
        <v>40405</v>
      </c>
      <c r="B30" s="17">
        <v>6.5117932000000003E-2</v>
      </c>
      <c r="C30" s="18"/>
      <c r="D30" s="19"/>
    </row>
    <row r="31" spans="1:4" ht="15.75" customHeight="1">
      <c r="A31" s="16">
        <v>40406</v>
      </c>
      <c r="B31" s="17">
        <v>6.5500000000000003E-2</v>
      </c>
      <c r="C31" s="18"/>
      <c r="D31" s="19"/>
    </row>
    <row r="32" spans="1:4" ht="15.75" customHeight="1">
      <c r="A32" s="16">
        <v>40407</v>
      </c>
      <c r="B32" s="17">
        <v>7.0000000000000007E-2</v>
      </c>
      <c r="C32" s="18"/>
      <c r="D32" s="19"/>
    </row>
    <row r="33" spans="1:4" ht="15.75" customHeight="1">
      <c r="A33" s="16">
        <v>40408</v>
      </c>
      <c r="B33" s="17">
        <v>6.8000000000000005E-2</v>
      </c>
      <c r="C33" s="18"/>
      <c r="D33" s="19"/>
    </row>
    <row r="34" spans="1:4" ht="15.75" customHeight="1">
      <c r="A34" s="16">
        <v>40409</v>
      </c>
      <c r="B34" s="17">
        <v>6.6699999999999995E-2</v>
      </c>
      <c r="C34" s="18"/>
      <c r="D34" s="19"/>
    </row>
    <row r="35" spans="1:4" ht="15.75" customHeight="1">
      <c r="A35" s="16">
        <v>40410</v>
      </c>
      <c r="B35" s="17">
        <v>6.5500000000000003E-2</v>
      </c>
      <c r="C35" s="18"/>
      <c r="D35" s="19"/>
    </row>
    <row r="36" spans="1:4" ht="15.75" customHeight="1">
      <c r="A36" s="16">
        <v>40411</v>
      </c>
      <c r="B36" s="17">
        <v>6.6400000000000001E-2</v>
      </c>
      <c r="C36" s="18"/>
      <c r="D36" s="19"/>
    </row>
    <row r="37" spans="1:4" ht="15.75" customHeight="1">
      <c r="A37" s="16">
        <v>40412</v>
      </c>
      <c r="B37" s="17">
        <v>6.5928988999999993E-2</v>
      </c>
      <c r="C37" s="18"/>
      <c r="D37" s="19"/>
    </row>
    <row r="38" spans="1:4" ht="15.75" customHeight="1">
      <c r="A38" s="16">
        <v>40413</v>
      </c>
      <c r="B38" s="17">
        <v>6.4909999999999995E-2</v>
      </c>
      <c r="C38" s="18"/>
      <c r="D38" s="19"/>
    </row>
    <row r="39" spans="1:4" ht="15.75" customHeight="1">
      <c r="A39" s="16">
        <v>40414</v>
      </c>
      <c r="B39" s="17">
        <v>6.5000000000000002E-2</v>
      </c>
      <c r="C39" s="18"/>
      <c r="D39" s="19"/>
    </row>
    <row r="40" spans="1:4" ht="15.75" customHeight="1">
      <c r="A40" s="16">
        <v>40415</v>
      </c>
      <c r="B40" s="17">
        <v>6.4799999999999996E-2</v>
      </c>
      <c r="C40" s="18"/>
      <c r="D40" s="19"/>
    </row>
    <row r="41" spans="1:4" ht="15.75" customHeight="1">
      <c r="A41" s="16">
        <v>40416</v>
      </c>
      <c r="B41" s="17">
        <v>6.4075114000000002E-2</v>
      </c>
      <c r="C41" s="18"/>
      <c r="D41" s="19"/>
    </row>
    <row r="42" spans="1:4" ht="15.75" customHeight="1">
      <c r="A42" s="16">
        <v>40417</v>
      </c>
      <c r="B42" s="17">
        <v>6.5000000000000002E-2</v>
      </c>
      <c r="C42" s="18"/>
      <c r="D42" s="19"/>
    </row>
    <row r="43" spans="1:4" ht="15.75" customHeight="1">
      <c r="A43" s="16">
        <v>40418</v>
      </c>
      <c r="B43" s="17">
        <v>6.4600000000000005E-2</v>
      </c>
      <c r="C43" s="18"/>
      <c r="D43" s="19"/>
    </row>
    <row r="44" spans="1:4" ht="15.75" customHeight="1">
      <c r="A44" s="16">
        <v>40419</v>
      </c>
      <c r="B44" s="17">
        <v>6.4000000000000001E-2</v>
      </c>
      <c r="C44" s="18"/>
      <c r="D44" s="19"/>
    </row>
    <row r="45" spans="1:4" ht="15.75" customHeight="1">
      <c r="A45" s="16">
        <v>40420</v>
      </c>
      <c r="B45" s="17">
        <v>6.497E-2</v>
      </c>
      <c r="C45" s="18"/>
      <c r="D45" s="19"/>
    </row>
    <row r="46" spans="1:4" ht="15.75" customHeight="1">
      <c r="A46" s="16">
        <v>40421</v>
      </c>
      <c r="B46" s="17">
        <v>0.06</v>
      </c>
      <c r="C46" s="18"/>
      <c r="D46" s="19"/>
    </row>
    <row r="47" spans="1:4" ht="15.75" customHeight="1">
      <c r="A47" s="16">
        <v>40422</v>
      </c>
      <c r="B47" s="17">
        <v>6.2024827999999997E-2</v>
      </c>
      <c r="C47" s="18"/>
      <c r="D47" s="19"/>
    </row>
    <row r="48" spans="1:4" ht="15.75" customHeight="1">
      <c r="A48" s="16">
        <v>40423</v>
      </c>
      <c r="B48" s="17">
        <v>6.3399999999999998E-2</v>
      </c>
      <c r="C48" s="18"/>
      <c r="D48" s="19"/>
    </row>
    <row r="49" spans="1:4" ht="15.75" customHeight="1">
      <c r="A49" s="16">
        <v>40424</v>
      </c>
      <c r="B49" s="17">
        <v>6.0850000000000001E-2</v>
      </c>
      <c r="C49" s="18"/>
      <c r="D49" s="19"/>
    </row>
    <row r="50" spans="1:4" ht="15.75" customHeight="1">
      <c r="A50" s="16">
        <v>40425</v>
      </c>
      <c r="B50" s="17">
        <v>6.2178275999999998E-2</v>
      </c>
      <c r="C50" s="18"/>
      <c r="D50" s="19"/>
    </row>
    <row r="51" spans="1:4" ht="15.75" customHeight="1">
      <c r="A51" s="16">
        <v>40426</v>
      </c>
      <c r="B51" s="17">
        <v>6.1650000000000003E-2</v>
      </c>
      <c r="C51" s="18"/>
      <c r="D51" s="19"/>
    </row>
    <row r="52" spans="1:4" ht="15.75" customHeight="1">
      <c r="A52" s="16">
        <v>40427</v>
      </c>
      <c r="B52" s="17">
        <v>6.1600000000000002E-2</v>
      </c>
      <c r="C52" s="18"/>
      <c r="D52" s="19"/>
    </row>
    <row r="53" spans="1:4" ht="15.75" customHeight="1">
      <c r="A53" s="16">
        <v>40428</v>
      </c>
      <c r="B53" s="17">
        <v>6.1239118000000002E-2</v>
      </c>
      <c r="C53" s="18"/>
      <c r="D53" s="19"/>
    </row>
    <row r="54" spans="1:4" ht="15.75" customHeight="1">
      <c r="A54" s="16">
        <v>40429</v>
      </c>
      <c r="B54" s="17">
        <v>6.0999999999999999E-2</v>
      </c>
      <c r="C54" s="18"/>
      <c r="D54" s="19"/>
    </row>
    <row r="55" spans="1:4" ht="15.75" customHeight="1">
      <c r="A55" s="16">
        <v>40430</v>
      </c>
      <c r="B55" s="17">
        <v>6.1114970999999997E-2</v>
      </c>
      <c r="C55" s="18"/>
      <c r="D55" s="19"/>
    </row>
    <row r="56" spans="1:4" ht="15.75" customHeight="1">
      <c r="A56" s="16">
        <v>40431</v>
      </c>
      <c r="B56" s="17">
        <v>6.1011523999999998E-2</v>
      </c>
      <c r="C56" s="18"/>
      <c r="D56" s="19"/>
    </row>
    <row r="57" spans="1:4" ht="15.75" customHeight="1">
      <c r="A57" s="16">
        <v>40432</v>
      </c>
      <c r="B57" s="17">
        <v>6.3620864999999999E-2</v>
      </c>
      <c r="C57" s="18"/>
      <c r="D57" s="19"/>
    </row>
    <row r="58" spans="1:4" ht="15.75" customHeight="1">
      <c r="A58" s="16">
        <v>40433</v>
      </c>
      <c r="B58" s="17">
        <v>6.1499999999999999E-2</v>
      </c>
      <c r="C58" s="18"/>
      <c r="D58" s="19"/>
    </row>
    <row r="59" spans="1:4" ht="15.75" customHeight="1">
      <c r="A59" s="16">
        <v>40434</v>
      </c>
      <c r="B59" s="17">
        <v>6.2179999999999999E-2</v>
      </c>
      <c r="C59" s="18"/>
      <c r="D59" s="19"/>
    </row>
    <row r="60" spans="1:4" ht="15.75" customHeight="1">
      <c r="A60" s="16">
        <v>40435</v>
      </c>
      <c r="B60" s="17">
        <v>6.1990000000000003E-2</v>
      </c>
      <c r="C60" s="18"/>
      <c r="D60" s="19"/>
    </row>
    <row r="61" spans="1:4" ht="15.75" customHeight="1">
      <c r="A61" s="16">
        <v>40436</v>
      </c>
      <c r="B61" s="17">
        <v>6.0400000000000002E-2</v>
      </c>
      <c r="C61" s="18"/>
      <c r="D61" s="19"/>
    </row>
    <row r="62" spans="1:4" ht="14">
      <c r="A62" s="16">
        <v>40437</v>
      </c>
      <c r="B62" s="17">
        <v>6.1899999999999997E-2</v>
      </c>
      <c r="C62" s="18"/>
      <c r="D62" s="19"/>
    </row>
    <row r="63" spans="1:4" ht="14">
      <c r="A63" s="16">
        <v>40438</v>
      </c>
      <c r="B63" s="17">
        <v>6.0000525999999998E-2</v>
      </c>
      <c r="C63" s="18"/>
      <c r="D63" s="19"/>
    </row>
    <row r="64" spans="1:4" ht="14">
      <c r="A64" s="16">
        <v>40439</v>
      </c>
      <c r="B64" s="17">
        <v>6.0999999999999999E-2</v>
      </c>
      <c r="C64" s="18"/>
      <c r="D64" s="19"/>
    </row>
    <row r="65" spans="1:4" ht="14">
      <c r="A65" s="16">
        <v>40440</v>
      </c>
      <c r="B65" s="17">
        <v>6.2700000000000006E-2</v>
      </c>
      <c r="C65" s="18"/>
      <c r="D65" s="19"/>
    </row>
    <row r="66" spans="1:4" ht="14">
      <c r="A66" s="16">
        <v>40441</v>
      </c>
      <c r="B66" s="17">
        <v>6.2101735999999998E-2</v>
      </c>
      <c r="C66" s="18"/>
      <c r="D66" s="19"/>
    </row>
    <row r="67" spans="1:4" ht="14">
      <c r="A67" s="16">
        <v>40442</v>
      </c>
      <c r="B67" s="17">
        <v>6.2649999999999997E-2</v>
      </c>
      <c r="C67" s="18"/>
      <c r="D67" s="19"/>
    </row>
    <row r="68" spans="1:4" ht="14">
      <c r="A68" s="16">
        <v>40443</v>
      </c>
      <c r="B68" s="17">
        <v>6.1881869999999999E-2</v>
      </c>
      <c r="C68" s="18"/>
      <c r="D68" s="19"/>
    </row>
    <row r="69" spans="1:4" ht="14">
      <c r="A69" s="16">
        <v>40444</v>
      </c>
      <c r="B69" s="17">
        <v>6.2153513000000001E-2</v>
      </c>
      <c r="C69" s="18"/>
      <c r="D69" s="19"/>
    </row>
    <row r="70" spans="1:4" ht="14">
      <c r="A70" s="16">
        <v>40445</v>
      </c>
      <c r="B70" s="17">
        <v>6.2199999999999998E-2</v>
      </c>
      <c r="C70" s="18"/>
      <c r="D70" s="19"/>
    </row>
    <row r="71" spans="1:4" ht="14">
      <c r="A71" s="16">
        <v>40446</v>
      </c>
      <c r="B71" s="17">
        <v>6.2019999999999999E-2</v>
      </c>
      <c r="C71" s="18"/>
      <c r="D71" s="19"/>
    </row>
    <row r="72" spans="1:4" ht="14">
      <c r="A72" s="16">
        <v>40447</v>
      </c>
      <c r="B72" s="17">
        <v>6.2E-2</v>
      </c>
      <c r="C72" s="18"/>
      <c r="D72" s="19"/>
    </row>
    <row r="73" spans="1:4" ht="14">
      <c r="A73" s="16">
        <v>40448</v>
      </c>
      <c r="B73" s="17">
        <v>6.2200442000000002E-2</v>
      </c>
      <c r="C73" s="18"/>
      <c r="D73" s="19"/>
    </row>
    <row r="74" spans="1:4" ht="14">
      <c r="A74" s="16">
        <v>40449</v>
      </c>
      <c r="B74" s="17">
        <v>6.1903897999999999E-2</v>
      </c>
      <c r="C74" s="18"/>
      <c r="D74" s="19"/>
    </row>
    <row r="75" spans="1:4" ht="14">
      <c r="A75" s="16">
        <v>40450</v>
      </c>
      <c r="B75" s="17">
        <v>6.191E-2</v>
      </c>
      <c r="C75" s="18"/>
      <c r="D75" s="19"/>
    </row>
    <row r="76" spans="1:4" ht="14">
      <c r="A76" s="16">
        <v>40451</v>
      </c>
      <c r="B76" s="17">
        <v>6.1899999999999997E-2</v>
      </c>
      <c r="C76" s="18"/>
      <c r="D76" s="19"/>
    </row>
    <row r="77" spans="1:4" ht="14">
      <c r="A77" s="16">
        <v>40452</v>
      </c>
      <c r="B77" s="17">
        <v>6.1973314000000002E-2</v>
      </c>
      <c r="C77" s="18"/>
      <c r="D77" s="19"/>
    </row>
    <row r="78" spans="1:4" ht="14">
      <c r="A78" s="16">
        <v>40453</v>
      </c>
      <c r="B78" s="17">
        <v>6.1400000000000003E-2</v>
      </c>
      <c r="C78" s="18"/>
      <c r="D78" s="19"/>
    </row>
    <row r="79" spans="1:4" ht="14">
      <c r="A79" s="16">
        <v>40454</v>
      </c>
      <c r="B79" s="17">
        <v>6.1064868000000001E-2</v>
      </c>
      <c r="C79" s="18"/>
      <c r="D79" s="19"/>
    </row>
    <row r="80" spans="1:4" ht="14">
      <c r="A80" s="16">
        <v>40455</v>
      </c>
      <c r="B80" s="17">
        <v>6.1294477E-2</v>
      </c>
      <c r="C80" s="18"/>
      <c r="D80" s="19"/>
    </row>
    <row r="81" spans="1:4" ht="14">
      <c r="A81" s="16">
        <v>40456</v>
      </c>
      <c r="B81" s="17">
        <v>6.1400000000000003E-2</v>
      </c>
      <c r="C81" s="18"/>
      <c r="D81" s="19"/>
    </row>
    <row r="82" spans="1:4" ht="14">
      <c r="A82" s="16">
        <v>40457</v>
      </c>
      <c r="B82" s="17">
        <v>6.2810000000000005E-2</v>
      </c>
      <c r="C82" s="18"/>
      <c r="D82" s="19"/>
    </row>
    <row r="83" spans="1:4" ht="14">
      <c r="A83" s="16">
        <v>40458</v>
      </c>
      <c r="B83" s="17">
        <v>6.7000000000000004E-2</v>
      </c>
      <c r="C83" s="18"/>
      <c r="D83" s="19"/>
    </row>
    <row r="84" spans="1:4" ht="14">
      <c r="A84" s="16">
        <v>40459</v>
      </c>
      <c r="B84" s="17">
        <v>8.4453107999999999E-2</v>
      </c>
      <c r="C84" s="18"/>
      <c r="D84" s="19"/>
    </row>
    <row r="85" spans="1:4" ht="14">
      <c r="A85" s="16">
        <v>40460</v>
      </c>
      <c r="B85" s="17">
        <v>9.3799999999999994E-2</v>
      </c>
      <c r="C85" s="18"/>
      <c r="D85" s="19"/>
    </row>
    <row r="86" spans="1:4" ht="14">
      <c r="A86" s="16">
        <v>40461</v>
      </c>
      <c r="B86" s="17">
        <v>9.7146201000000001E-2</v>
      </c>
      <c r="C86" s="18"/>
      <c r="D86" s="19"/>
    </row>
    <row r="87" spans="1:4" ht="14">
      <c r="A87" s="16">
        <v>40462</v>
      </c>
      <c r="B87" s="17">
        <v>9.5000000000000001E-2</v>
      </c>
      <c r="C87" s="18"/>
      <c r="D87" s="19"/>
    </row>
    <row r="88" spans="1:4" ht="14">
      <c r="A88" s="16">
        <v>40463</v>
      </c>
      <c r="B88" s="17">
        <v>9.4899999999999998E-2</v>
      </c>
      <c r="C88" s="18"/>
      <c r="D88" s="19"/>
    </row>
    <row r="89" spans="1:4" ht="14">
      <c r="A89" s="16">
        <v>40464</v>
      </c>
      <c r="B89" s="17">
        <v>0.104865589</v>
      </c>
      <c r="C89" s="18"/>
      <c r="D89" s="19"/>
    </row>
    <row r="90" spans="1:4" ht="14">
      <c r="A90" s="16">
        <v>40465</v>
      </c>
      <c r="B90" s="17">
        <v>0.10199999999999999</v>
      </c>
      <c r="C90" s="18"/>
      <c r="D90" s="19"/>
    </row>
    <row r="91" spans="1:4" ht="14">
      <c r="A91" s="16">
        <v>40466</v>
      </c>
      <c r="B91" s="17">
        <v>0.105</v>
      </c>
      <c r="C91" s="18"/>
      <c r="D91" s="19"/>
    </row>
    <row r="92" spans="1:4" ht="14">
      <c r="A92" s="16">
        <v>40467</v>
      </c>
      <c r="B92" s="17">
        <v>0.10100000000000001</v>
      </c>
      <c r="C92" s="18"/>
      <c r="D92" s="19"/>
    </row>
    <row r="93" spans="1:4" ht="14">
      <c r="A93" s="16">
        <v>40468</v>
      </c>
      <c r="B93" s="17">
        <v>0.10199999999999999</v>
      </c>
      <c r="C93" s="18"/>
      <c r="D93" s="19"/>
    </row>
    <row r="94" spans="1:4" ht="14">
      <c r="A94" s="16">
        <v>40469</v>
      </c>
      <c r="B94" s="17">
        <v>0.1024</v>
      </c>
      <c r="C94" s="18"/>
      <c r="D94" s="19"/>
    </row>
    <row r="95" spans="1:4" ht="14">
      <c r="A95" s="16">
        <v>40470</v>
      </c>
      <c r="B95" s="17">
        <v>9.7544891999999994E-2</v>
      </c>
      <c r="C95" s="18"/>
      <c r="D95" s="19"/>
    </row>
    <row r="96" spans="1:4" ht="14">
      <c r="A96" s="16">
        <v>40471</v>
      </c>
      <c r="B96" s="17">
        <v>9.9000000000000005E-2</v>
      </c>
      <c r="C96" s="18"/>
      <c r="D96" s="19"/>
    </row>
    <row r="97" spans="1:4" ht="14">
      <c r="A97" s="16">
        <v>40472</v>
      </c>
      <c r="B97" s="17">
        <v>0.107</v>
      </c>
      <c r="C97" s="18"/>
      <c r="D97" s="19"/>
    </row>
    <row r="98" spans="1:4" ht="14">
      <c r="A98" s="16">
        <v>40473</v>
      </c>
      <c r="B98" s="17">
        <v>0.10249999999999999</v>
      </c>
      <c r="C98" s="18"/>
      <c r="D98" s="19"/>
    </row>
    <row r="99" spans="1:4" ht="14">
      <c r="A99" s="16">
        <v>40474</v>
      </c>
      <c r="B99" s="17">
        <v>0.104556424</v>
      </c>
      <c r="C99" s="18"/>
      <c r="D99" s="19"/>
    </row>
    <row r="100" spans="1:4" ht="14">
      <c r="A100" s="16">
        <v>40475</v>
      </c>
      <c r="B100" s="17">
        <v>0.11501</v>
      </c>
      <c r="C100" s="18"/>
      <c r="D100" s="19"/>
    </row>
    <row r="101" spans="1:4" ht="14">
      <c r="A101" s="16">
        <v>40476</v>
      </c>
      <c r="B101" s="17">
        <v>0.13911855300000001</v>
      </c>
      <c r="C101" s="18"/>
      <c r="D101" s="19"/>
    </row>
    <row r="102" spans="1:4" ht="14">
      <c r="A102" s="16">
        <v>40477</v>
      </c>
      <c r="B102" s="17">
        <v>0.151</v>
      </c>
      <c r="C102" s="18"/>
      <c r="D102" s="19"/>
    </row>
    <row r="103" spans="1:4" ht="14">
      <c r="A103" s="16">
        <v>40478</v>
      </c>
      <c r="B103" s="17">
        <v>0.18770000000000001</v>
      </c>
      <c r="C103" s="18"/>
      <c r="D103" s="19"/>
    </row>
    <row r="104" spans="1:4" ht="14">
      <c r="A104" s="16">
        <v>40479</v>
      </c>
      <c r="B104" s="17">
        <v>0.1731</v>
      </c>
      <c r="C104" s="18"/>
      <c r="D104" s="19"/>
    </row>
    <row r="105" spans="1:4" ht="14">
      <c r="A105" s="16">
        <v>40480</v>
      </c>
      <c r="B105" s="17">
        <v>0.19</v>
      </c>
      <c r="C105" s="18"/>
      <c r="D105" s="19"/>
    </row>
    <row r="106" spans="1:4" ht="14">
      <c r="A106" s="16">
        <v>40481</v>
      </c>
      <c r="B106" s="17">
        <v>0.197610544</v>
      </c>
      <c r="C106" s="18"/>
      <c r="D106" s="19"/>
    </row>
    <row r="107" spans="1:4" ht="14">
      <c r="A107" s="16">
        <v>40482</v>
      </c>
      <c r="B107" s="17">
        <v>0.1925</v>
      </c>
      <c r="C107" s="18"/>
      <c r="D107" s="19"/>
    </row>
    <row r="108" spans="1:4" ht="14">
      <c r="A108" s="16">
        <v>40483</v>
      </c>
      <c r="B108" s="17">
        <v>0.194525061</v>
      </c>
      <c r="C108" s="18"/>
      <c r="D108" s="19"/>
    </row>
    <row r="109" spans="1:4" ht="14">
      <c r="A109" s="16">
        <v>40484</v>
      </c>
      <c r="B109" s="17">
        <v>0.1938</v>
      </c>
      <c r="C109" s="18"/>
      <c r="D109" s="19"/>
    </row>
    <row r="110" spans="1:4" ht="14">
      <c r="A110" s="16">
        <v>40485</v>
      </c>
      <c r="B110" s="17">
        <v>0.19309999999999999</v>
      </c>
      <c r="C110" s="18"/>
      <c r="D110" s="19"/>
    </row>
    <row r="111" spans="1:4" ht="14">
      <c r="A111" s="16">
        <v>40486</v>
      </c>
      <c r="B111" s="17">
        <v>0.22927516100000001</v>
      </c>
      <c r="C111" s="18"/>
      <c r="D111" s="19"/>
    </row>
    <row r="112" spans="1:4" ht="14">
      <c r="A112" s="16">
        <v>40487</v>
      </c>
      <c r="B112" s="17">
        <v>0.25911241400000001</v>
      </c>
      <c r="C112" s="18"/>
      <c r="D112" s="19"/>
    </row>
    <row r="113" spans="1:4" ht="14">
      <c r="A113" s="16">
        <v>40488</v>
      </c>
      <c r="B113" s="17">
        <v>0.40098230299999998</v>
      </c>
      <c r="C113" s="18"/>
      <c r="D113" s="19"/>
    </row>
    <row r="114" spans="1:4" ht="14">
      <c r="A114" s="16">
        <v>40489</v>
      </c>
      <c r="B114" s="17">
        <v>0.34</v>
      </c>
      <c r="C114" s="18"/>
      <c r="D114" s="19"/>
    </row>
    <row r="115" spans="1:4" ht="14">
      <c r="A115" s="16">
        <v>40490</v>
      </c>
      <c r="B115" s="17">
        <v>0.24318462900000001</v>
      </c>
      <c r="C115" s="18"/>
      <c r="D115" s="19"/>
    </row>
    <row r="116" spans="1:4" ht="14">
      <c r="A116" s="16">
        <v>40491</v>
      </c>
      <c r="B116" s="17">
        <v>0.21727269399999999</v>
      </c>
      <c r="C116" s="18"/>
      <c r="D116" s="19"/>
    </row>
    <row r="117" spans="1:4" ht="14">
      <c r="A117" s="16">
        <v>40492</v>
      </c>
      <c r="B117" s="17">
        <v>0.22954973100000001</v>
      </c>
      <c r="C117" s="18"/>
      <c r="D117" s="19"/>
    </row>
    <row r="118" spans="1:4" ht="14">
      <c r="A118" s="16">
        <v>40493</v>
      </c>
      <c r="B118" s="17">
        <v>0.22309999999999999</v>
      </c>
      <c r="C118" s="18"/>
      <c r="D118" s="19"/>
    </row>
    <row r="119" spans="1:4" ht="14">
      <c r="A119" s="16">
        <v>40494</v>
      </c>
      <c r="B119" s="17">
        <v>0.26819999999999999</v>
      </c>
      <c r="C119" s="18"/>
      <c r="D119" s="19"/>
    </row>
    <row r="120" spans="1:4" ht="14">
      <c r="A120" s="16">
        <v>40495</v>
      </c>
      <c r="B120" s="17">
        <v>0.27600000000000002</v>
      </c>
      <c r="C120" s="18"/>
      <c r="D120" s="19"/>
    </row>
    <row r="121" spans="1:4" ht="14">
      <c r="A121" s="16">
        <v>40496</v>
      </c>
      <c r="B121" s="17">
        <v>0.27904000000000001</v>
      </c>
      <c r="C121" s="18"/>
      <c r="D121" s="19"/>
    </row>
    <row r="122" spans="1:4" ht="14">
      <c r="A122" s="16">
        <v>40497</v>
      </c>
      <c r="B122" s="17">
        <v>0.26846455600000002</v>
      </c>
      <c r="C122" s="18"/>
      <c r="D122" s="19"/>
    </row>
    <row r="123" spans="1:4" ht="14">
      <c r="A123" s="16">
        <v>40498</v>
      </c>
      <c r="B123" s="17">
        <v>0.22500000000000001</v>
      </c>
      <c r="C123" s="18"/>
      <c r="D123" s="19"/>
    </row>
    <row r="124" spans="1:4" ht="14">
      <c r="A124" s="16">
        <v>40499</v>
      </c>
      <c r="B124" s="17">
        <v>0.24193933400000001</v>
      </c>
      <c r="C124" s="18"/>
      <c r="D124" s="19"/>
    </row>
    <row r="125" spans="1:4" ht="14">
      <c r="A125" s="16">
        <v>40500</v>
      </c>
      <c r="B125" s="17">
        <v>0.26905779099999999</v>
      </c>
      <c r="C125" s="18"/>
      <c r="D125" s="19"/>
    </row>
    <row r="126" spans="1:4" ht="14">
      <c r="A126" s="16">
        <v>40501</v>
      </c>
      <c r="B126" s="17">
        <v>0.27828999999999998</v>
      </c>
      <c r="C126" s="18"/>
      <c r="D126" s="19"/>
    </row>
    <row r="127" spans="1:4" ht="14">
      <c r="A127" s="16">
        <v>40502</v>
      </c>
      <c r="B127" s="17">
        <v>0.28301596499999998</v>
      </c>
      <c r="C127" s="18"/>
      <c r="D127" s="19"/>
    </row>
    <row r="128" spans="1:4" ht="14">
      <c r="A128" s="16">
        <v>40503</v>
      </c>
      <c r="B128" s="17">
        <v>0.27675</v>
      </c>
      <c r="C128" s="18"/>
      <c r="D128" s="19"/>
    </row>
    <row r="129" spans="1:4" ht="14">
      <c r="A129" s="16">
        <v>40504</v>
      </c>
      <c r="B129" s="17">
        <v>0.28499999999999998</v>
      </c>
      <c r="C129" s="18"/>
      <c r="D129" s="19"/>
    </row>
    <row r="130" spans="1:4" ht="14">
      <c r="A130" s="16">
        <v>40505</v>
      </c>
      <c r="B130" s="17">
        <v>0.28294999999999998</v>
      </c>
      <c r="C130" s="18"/>
      <c r="D130" s="19"/>
    </row>
    <row r="131" spans="1:4" ht="14">
      <c r="A131" s="16">
        <v>40506</v>
      </c>
      <c r="B131" s="17">
        <v>0.28290573600000002</v>
      </c>
      <c r="C131" s="18"/>
      <c r="D131" s="19"/>
    </row>
    <row r="132" spans="1:4" ht="14">
      <c r="A132" s="16">
        <v>40507</v>
      </c>
      <c r="B132" s="17">
        <v>0.28000000000000003</v>
      </c>
      <c r="C132" s="18"/>
      <c r="D132" s="19"/>
    </row>
    <row r="133" spans="1:4" ht="14">
      <c r="A133" s="16">
        <v>40508</v>
      </c>
      <c r="B133" s="17">
        <v>0.28439999999999999</v>
      </c>
      <c r="C133" s="18"/>
      <c r="D133" s="19"/>
    </row>
    <row r="134" spans="1:4" ht="14">
      <c r="A134" s="16">
        <v>40509</v>
      </c>
      <c r="B134" s="17">
        <v>0.28299999999999997</v>
      </c>
      <c r="C134" s="18"/>
      <c r="D134" s="19"/>
    </row>
    <row r="135" spans="1:4" ht="14">
      <c r="A135" s="16">
        <v>40510</v>
      </c>
      <c r="B135" s="17">
        <v>0.27135867899999999</v>
      </c>
      <c r="C135" s="18"/>
      <c r="D135" s="19"/>
    </row>
    <row r="136" spans="1:4" ht="14">
      <c r="A136" s="16">
        <v>40511</v>
      </c>
      <c r="B136" s="17">
        <v>0.230559456</v>
      </c>
      <c r="C136" s="18"/>
      <c r="D136" s="19"/>
    </row>
    <row r="137" spans="1:4" ht="14">
      <c r="A137" s="16">
        <v>40512</v>
      </c>
      <c r="B137" s="17">
        <v>0.2082</v>
      </c>
      <c r="C137" s="18"/>
      <c r="D137" s="19"/>
    </row>
    <row r="138" spans="1:4" ht="14">
      <c r="A138" s="16">
        <v>40513</v>
      </c>
      <c r="B138" s="17">
        <v>0.22750000000000001</v>
      </c>
      <c r="C138" s="18"/>
      <c r="D138" s="19"/>
    </row>
    <row r="139" spans="1:4" ht="14">
      <c r="A139" s="16">
        <v>40514</v>
      </c>
      <c r="B139" s="17">
        <v>0.255</v>
      </c>
      <c r="C139" s="18"/>
      <c r="D139" s="19"/>
    </row>
    <row r="140" spans="1:4" ht="14">
      <c r="A140" s="16">
        <v>40515</v>
      </c>
      <c r="B140" s="17">
        <v>0.25106008400000002</v>
      </c>
      <c r="C140" s="18"/>
      <c r="D140" s="19"/>
    </row>
    <row r="141" spans="1:4" ht="14">
      <c r="A141" s="16">
        <v>40516</v>
      </c>
      <c r="B141" s="17">
        <v>0.20500052599999999</v>
      </c>
      <c r="C141" s="18"/>
      <c r="D141" s="19"/>
    </row>
    <row r="142" spans="1:4" ht="14">
      <c r="A142" s="16">
        <v>40517</v>
      </c>
      <c r="B142" s="17">
        <v>0.20285001799999999</v>
      </c>
      <c r="C142" s="18"/>
      <c r="D142" s="19"/>
    </row>
    <row r="143" spans="1:4" ht="14">
      <c r="A143" s="16">
        <v>40518</v>
      </c>
      <c r="B143" s="17">
        <v>0.20399999999999999</v>
      </c>
      <c r="C143" s="18"/>
      <c r="D143" s="19"/>
    </row>
    <row r="144" spans="1:4" ht="14">
      <c r="A144" s="16">
        <v>40519</v>
      </c>
      <c r="B144" s="17">
        <v>0.23342038600000001</v>
      </c>
      <c r="C144" s="18"/>
      <c r="D144" s="19"/>
    </row>
    <row r="145" spans="1:4" ht="14">
      <c r="A145" s="16">
        <v>40520</v>
      </c>
      <c r="B145" s="17">
        <v>0.23880000000000001</v>
      </c>
      <c r="C145" s="18"/>
      <c r="D145" s="19"/>
    </row>
    <row r="146" spans="1:4" ht="14">
      <c r="A146" s="16">
        <v>40521</v>
      </c>
      <c r="B146" s="17">
        <v>0.199991694</v>
      </c>
      <c r="C146" s="18"/>
      <c r="D146" s="19"/>
    </row>
    <row r="147" spans="1:4" ht="14">
      <c r="A147" s="16">
        <v>40522</v>
      </c>
      <c r="B147" s="17">
        <v>0.20399999999999999</v>
      </c>
      <c r="C147" s="18"/>
      <c r="D147" s="19"/>
    </row>
    <row r="148" spans="1:4" ht="14">
      <c r="A148" s="16">
        <v>40523</v>
      </c>
      <c r="B148" s="17">
        <v>0.22800000000000001</v>
      </c>
      <c r="C148" s="18"/>
      <c r="D148" s="19"/>
    </row>
    <row r="149" spans="1:4" ht="14">
      <c r="A149" s="16">
        <v>40524</v>
      </c>
      <c r="B149" s="17">
        <v>0.219853612</v>
      </c>
      <c r="C149" s="18"/>
      <c r="D149" s="19"/>
    </row>
    <row r="150" spans="1:4" ht="14">
      <c r="A150" s="16">
        <v>40525</v>
      </c>
      <c r="B150" s="17">
        <v>0.22760523699999999</v>
      </c>
      <c r="C150" s="18"/>
      <c r="D150" s="19"/>
    </row>
    <row r="151" spans="1:4" ht="14">
      <c r="A151" s="16">
        <v>40526</v>
      </c>
      <c r="B151" s="17">
        <v>0.24668999999999999</v>
      </c>
      <c r="C151" s="18"/>
      <c r="D151" s="19"/>
    </row>
    <row r="152" spans="1:4" ht="14">
      <c r="A152" s="16">
        <v>40527</v>
      </c>
      <c r="B152" s="17">
        <v>0.24</v>
      </c>
      <c r="C152" s="18"/>
      <c r="D152" s="19"/>
    </row>
    <row r="153" spans="1:4" ht="14">
      <c r="A153" s="16">
        <v>40528</v>
      </c>
      <c r="B153" s="17">
        <v>0.24995999999999999</v>
      </c>
      <c r="C153" s="18"/>
      <c r="D153" s="19"/>
    </row>
    <row r="154" spans="1:4" ht="14">
      <c r="A154" s="16">
        <v>40529</v>
      </c>
      <c r="B154" s="17">
        <v>0.242655815</v>
      </c>
      <c r="C154" s="18"/>
      <c r="D154" s="19"/>
    </row>
    <row r="155" spans="1:4" ht="14">
      <c r="A155" s="16">
        <v>40530</v>
      </c>
      <c r="B155" s="17">
        <v>0.24099999999999999</v>
      </c>
      <c r="C155" s="18"/>
      <c r="D155" s="19"/>
    </row>
    <row r="156" spans="1:4" ht="14">
      <c r="A156" s="16">
        <v>40531</v>
      </c>
      <c r="B156" s="17">
        <v>0.24010000000000001</v>
      </c>
      <c r="C156" s="18"/>
      <c r="D156" s="19"/>
    </row>
    <row r="157" spans="1:4" ht="14">
      <c r="A157" s="16">
        <v>40532</v>
      </c>
      <c r="B157" s="17">
        <v>0.26700000000000002</v>
      </c>
      <c r="C157" s="18"/>
      <c r="D157" s="19"/>
    </row>
    <row r="158" spans="1:4" ht="14">
      <c r="A158" s="16">
        <v>40533</v>
      </c>
      <c r="B158" s="17">
        <v>0.24143600200000001</v>
      </c>
      <c r="C158" s="18"/>
      <c r="D158" s="19"/>
    </row>
    <row r="159" spans="1:4" ht="14">
      <c r="A159" s="16">
        <v>40534</v>
      </c>
      <c r="B159" s="17">
        <v>0.25</v>
      </c>
      <c r="C159" s="18"/>
      <c r="D159" s="19"/>
    </row>
    <row r="160" spans="1:4" ht="14">
      <c r="A160" s="16">
        <v>40535</v>
      </c>
      <c r="B160" s="17">
        <v>0.24997012800000001</v>
      </c>
      <c r="C160" s="18"/>
      <c r="D160" s="19"/>
    </row>
    <row r="161" spans="1:4" ht="14">
      <c r="A161" s="16">
        <v>40536</v>
      </c>
      <c r="B161" s="17">
        <v>0.248</v>
      </c>
      <c r="C161" s="18"/>
      <c r="D161" s="19"/>
    </row>
    <row r="162" spans="1:4" ht="14">
      <c r="A162" s="16">
        <v>40537</v>
      </c>
      <c r="B162" s="17">
        <v>0.24990000000000001</v>
      </c>
      <c r="C162" s="18"/>
      <c r="D162" s="19"/>
    </row>
    <row r="163" spans="1:4" ht="14">
      <c r="A163" s="16">
        <v>40538</v>
      </c>
      <c r="B163" s="17">
        <v>0.26496212699999999</v>
      </c>
      <c r="C163" s="18"/>
      <c r="D163" s="19"/>
    </row>
    <row r="164" spans="1:4" ht="14">
      <c r="A164" s="16">
        <v>40539</v>
      </c>
      <c r="B164" s="17">
        <v>0.26478538899999998</v>
      </c>
      <c r="C164" s="18"/>
      <c r="D164" s="19"/>
    </row>
    <row r="165" spans="1:4" ht="14">
      <c r="A165" s="16">
        <v>40540</v>
      </c>
      <c r="B165" s="17">
        <v>0.28100000000000003</v>
      </c>
      <c r="C165" s="18"/>
      <c r="D165" s="19"/>
    </row>
    <row r="166" spans="1:4" ht="14">
      <c r="A166" s="16">
        <v>40541</v>
      </c>
      <c r="B166" s="20">
        <v>0.3</v>
      </c>
      <c r="C166" s="18"/>
      <c r="D166" s="19"/>
    </row>
    <row r="167" spans="1:4" ht="14">
      <c r="A167" s="16">
        <v>40542</v>
      </c>
      <c r="B167" s="20">
        <v>0.3</v>
      </c>
      <c r="C167" s="18"/>
      <c r="D167" s="19"/>
    </row>
    <row r="168" spans="1:4" ht="14">
      <c r="A168" s="16">
        <v>40543</v>
      </c>
      <c r="B168" s="20">
        <v>0.3</v>
      </c>
      <c r="C168" s="18"/>
      <c r="D168" s="19"/>
    </row>
    <row r="169" spans="1:4" ht="14">
      <c r="A169" s="16">
        <v>40544</v>
      </c>
      <c r="B169" s="17">
        <v>0.3</v>
      </c>
      <c r="C169" s="18"/>
      <c r="D169" s="19"/>
    </row>
    <row r="170" spans="1:4" ht="14">
      <c r="A170" s="16">
        <v>40545</v>
      </c>
      <c r="B170" s="17">
        <v>0.29997000000000001</v>
      </c>
      <c r="C170" s="18"/>
      <c r="D170" s="19"/>
    </row>
    <row r="171" spans="1:4" ht="14">
      <c r="A171" s="16">
        <v>40546</v>
      </c>
      <c r="B171" s="17">
        <v>0.29499999999999998</v>
      </c>
      <c r="C171" s="18"/>
      <c r="D171" s="19"/>
    </row>
    <row r="172" spans="1:4" ht="14">
      <c r="A172" s="16">
        <v>40547</v>
      </c>
      <c r="B172" s="17">
        <v>0.29894999999999999</v>
      </c>
      <c r="C172" s="18"/>
      <c r="D172" s="19"/>
    </row>
    <row r="173" spans="1:4" ht="14">
      <c r="A173" s="16">
        <v>40548</v>
      </c>
      <c r="B173" s="17">
        <v>0.29891630200000002</v>
      </c>
      <c r="C173" s="18"/>
      <c r="D173" s="19"/>
    </row>
    <row r="174" spans="1:4" ht="14">
      <c r="A174" s="16">
        <v>40549</v>
      </c>
      <c r="B174" s="17">
        <v>0.29799999999999999</v>
      </c>
      <c r="C174" s="18"/>
      <c r="D174" s="19"/>
    </row>
    <row r="175" spans="1:4" ht="14">
      <c r="A175" s="16">
        <v>40550</v>
      </c>
      <c r="B175" s="17">
        <v>0.32</v>
      </c>
      <c r="C175" s="18"/>
      <c r="D175" s="19"/>
    </row>
    <row r="176" spans="1:4" ht="14">
      <c r="A176" s="16">
        <v>40551</v>
      </c>
      <c r="B176" s="17">
        <v>0.32290000000000002</v>
      </c>
      <c r="C176" s="18"/>
      <c r="D176" s="19"/>
    </row>
    <row r="177" spans="1:4" ht="14">
      <c r="A177" s="16">
        <v>40552</v>
      </c>
      <c r="B177" s="17">
        <v>0.32300000000000001</v>
      </c>
      <c r="C177" s="18"/>
      <c r="D177" s="19"/>
    </row>
    <row r="178" spans="1:4" ht="14">
      <c r="A178" s="16">
        <v>40553</v>
      </c>
      <c r="B178" s="20">
        <v>0.32658999999999999</v>
      </c>
      <c r="C178" s="18"/>
      <c r="D178" s="19"/>
    </row>
    <row r="179" spans="1:4" ht="14">
      <c r="A179" s="16">
        <v>40554</v>
      </c>
      <c r="B179" s="17">
        <v>0.32658999999999999</v>
      </c>
      <c r="C179" s="18"/>
      <c r="D179" s="19"/>
    </row>
    <row r="180" spans="1:4" ht="14">
      <c r="A180" s="16">
        <v>40555</v>
      </c>
      <c r="B180" s="17">
        <v>0.31879962099999998</v>
      </c>
      <c r="C180" s="18"/>
      <c r="D180" s="19"/>
    </row>
    <row r="181" spans="1:4" ht="14">
      <c r="A181" s="16">
        <v>40556</v>
      </c>
      <c r="B181" s="17">
        <v>0.31759999999999999</v>
      </c>
      <c r="C181" s="18"/>
      <c r="D181" s="19"/>
    </row>
    <row r="182" spans="1:4" ht="14">
      <c r="A182" s="16">
        <v>40557</v>
      </c>
      <c r="B182" s="17">
        <v>0.39999000600000001</v>
      </c>
      <c r="C182" s="18"/>
      <c r="D182" s="19"/>
    </row>
    <row r="183" spans="1:4" ht="14">
      <c r="A183" s="16">
        <v>40558</v>
      </c>
      <c r="B183" s="17">
        <v>0.38600000000000001</v>
      </c>
      <c r="C183" s="18"/>
      <c r="D183" s="19"/>
    </row>
    <row r="184" spans="1:4" ht="14">
      <c r="A184" s="16">
        <v>40559</v>
      </c>
      <c r="B184" s="17">
        <v>0.38679000000000002</v>
      </c>
      <c r="C184" s="18"/>
      <c r="D184" s="19"/>
    </row>
    <row r="185" spans="1:4" ht="14">
      <c r="A185" s="16">
        <v>40560</v>
      </c>
      <c r="B185" s="17">
        <v>0.34949999999999998</v>
      </c>
      <c r="C185" s="18"/>
      <c r="D185" s="19"/>
    </row>
    <row r="186" spans="1:4" ht="14">
      <c r="A186" s="16">
        <v>40561</v>
      </c>
      <c r="B186" s="20">
        <v>0.31298999999999999</v>
      </c>
      <c r="C186" s="18"/>
      <c r="D186" s="19"/>
    </row>
    <row r="187" spans="1:4" ht="14">
      <c r="A187" s="16">
        <v>40562</v>
      </c>
      <c r="B187" s="17">
        <v>0.31298999999999999</v>
      </c>
      <c r="C187" s="18"/>
      <c r="D187" s="19"/>
    </row>
    <row r="188" spans="1:4" ht="14">
      <c r="A188" s="16">
        <v>40563</v>
      </c>
      <c r="B188" s="17">
        <v>0.39</v>
      </c>
      <c r="C188" s="18"/>
      <c r="D188" s="19"/>
    </row>
    <row r="189" spans="1:4" ht="14">
      <c r="A189" s="16">
        <v>40564</v>
      </c>
      <c r="B189" s="17">
        <v>0.41991000000000001</v>
      </c>
      <c r="C189" s="18"/>
      <c r="D189" s="19"/>
    </row>
    <row r="190" spans="1:4" ht="14">
      <c r="A190" s="16">
        <v>40565</v>
      </c>
      <c r="B190" s="17">
        <v>0.44003552899999998</v>
      </c>
      <c r="C190" s="18"/>
      <c r="D190" s="19"/>
    </row>
    <row r="191" spans="1:4" ht="14">
      <c r="A191" s="16">
        <v>40566</v>
      </c>
      <c r="B191" s="17">
        <v>0.44240000000000002</v>
      </c>
      <c r="C191" s="18"/>
      <c r="D191" s="19"/>
    </row>
    <row r="192" spans="1:4" ht="14">
      <c r="A192" s="16">
        <v>40567</v>
      </c>
      <c r="B192" s="17">
        <v>0.4199</v>
      </c>
      <c r="C192" s="18"/>
      <c r="D192" s="19"/>
    </row>
    <row r="193" spans="1:4" ht="14">
      <c r="A193" s="16">
        <v>40568</v>
      </c>
      <c r="B193" s="17">
        <v>0.41</v>
      </c>
      <c r="C193" s="18"/>
      <c r="D193" s="19"/>
    </row>
    <row r="194" spans="1:4" ht="14">
      <c r="A194" s="16">
        <v>40569</v>
      </c>
      <c r="B194" s="17">
        <v>0.41508513000000002</v>
      </c>
      <c r="C194" s="18"/>
      <c r="D194" s="19"/>
    </row>
    <row r="195" spans="1:4" ht="14">
      <c r="A195" s="16">
        <v>40570</v>
      </c>
      <c r="B195" s="17">
        <v>0.42120000000000002</v>
      </c>
      <c r="C195" s="18"/>
      <c r="D195" s="19"/>
    </row>
    <row r="196" spans="1:4" ht="14">
      <c r="A196" s="16">
        <v>40571</v>
      </c>
      <c r="B196" s="17">
        <v>0.44448404400000002</v>
      </c>
      <c r="C196" s="18"/>
      <c r="D196" s="19"/>
    </row>
    <row r="197" spans="1:4" ht="14">
      <c r="A197" s="16">
        <v>40572</v>
      </c>
      <c r="B197" s="17">
        <v>0.439</v>
      </c>
      <c r="C197" s="18"/>
      <c r="D197" s="19"/>
    </row>
    <row r="198" spans="1:4" ht="14">
      <c r="A198" s="16">
        <v>40573</v>
      </c>
      <c r="B198" s="17">
        <v>0.47714203399999999</v>
      </c>
      <c r="C198" s="18"/>
      <c r="D198" s="19"/>
    </row>
    <row r="199" spans="1:4" ht="14">
      <c r="A199" s="16">
        <v>40574</v>
      </c>
      <c r="B199" s="17">
        <v>0.52513686999999998</v>
      </c>
      <c r="C199" s="18"/>
      <c r="D199" s="19"/>
    </row>
    <row r="200" spans="1:4" ht="14">
      <c r="A200" s="16">
        <v>40575</v>
      </c>
      <c r="B200" s="17">
        <v>0.70751011699999999</v>
      </c>
      <c r="C200" s="18"/>
      <c r="D200" s="19"/>
    </row>
    <row r="201" spans="1:4" ht="14">
      <c r="A201" s="16">
        <v>40576</v>
      </c>
      <c r="B201" s="17">
        <v>0.72543482199999998</v>
      </c>
      <c r="C201" s="18"/>
      <c r="D201" s="19"/>
    </row>
    <row r="202" spans="1:4" ht="14">
      <c r="A202" s="16">
        <v>40577</v>
      </c>
      <c r="B202" s="17">
        <v>0.69389836800000004</v>
      </c>
      <c r="C202" s="18"/>
      <c r="D202" s="19"/>
    </row>
    <row r="203" spans="1:4" ht="14">
      <c r="A203" s="16">
        <v>40578</v>
      </c>
      <c r="B203" s="17">
        <v>0.81095897100000003</v>
      </c>
      <c r="C203" s="18"/>
      <c r="D203" s="19"/>
    </row>
    <row r="204" spans="1:4" ht="14">
      <c r="A204" s="16">
        <v>40579</v>
      </c>
      <c r="B204" s="17">
        <v>0.91167147699999995</v>
      </c>
      <c r="C204" s="18"/>
      <c r="D204" s="19"/>
    </row>
    <row r="205" spans="1:4" ht="14">
      <c r="A205" s="16">
        <v>40580</v>
      </c>
      <c r="B205" s="17">
        <v>0.89800000000000002</v>
      </c>
      <c r="C205" s="18"/>
      <c r="D205" s="19"/>
    </row>
    <row r="206" spans="1:4" ht="14">
      <c r="A206" s="16">
        <v>40581</v>
      </c>
      <c r="B206" s="17">
        <v>0.88942136999999999</v>
      </c>
      <c r="C206" s="18"/>
      <c r="D206" s="19"/>
    </row>
    <row r="207" spans="1:4" ht="14">
      <c r="A207" s="16">
        <v>40582</v>
      </c>
      <c r="B207" s="17">
        <v>0.91800000000000004</v>
      </c>
      <c r="C207" s="18"/>
      <c r="D207" s="19"/>
    </row>
    <row r="208" spans="1:4" ht="14">
      <c r="A208" s="16">
        <v>40583</v>
      </c>
      <c r="B208" s="17">
        <v>1.016050245</v>
      </c>
      <c r="C208" s="18"/>
      <c r="D208" s="19"/>
    </row>
    <row r="209" spans="1:4" ht="14">
      <c r="A209" s="16">
        <v>40584</v>
      </c>
      <c r="B209" s="17">
        <v>0.97965296300000004</v>
      </c>
      <c r="C209" s="18"/>
      <c r="D209" s="19"/>
    </row>
    <row r="210" spans="1:4" ht="14">
      <c r="A210" s="16">
        <v>40585</v>
      </c>
      <c r="B210" s="17">
        <v>1.054069454</v>
      </c>
      <c r="C210" s="18"/>
      <c r="D210" s="19"/>
    </row>
    <row r="211" spans="1:4" ht="14">
      <c r="A211" s="16">
        <v>40586</v>
      </c>
      <c r="B211" s="17">
        <v>1.0787032839999999</v>
      </c>
      <c r="C211" s="18"/>
      <c r="D211" s="19"/>
    </row>
    <row r="212" spans="1:4" ht="14">
      <c r="A212" s="16">
        <v>40587</v>
      </c>
      <c r="B212" s="17">
        <v>1.05</v>
      </c>
      <c r="C212" s="18"/>
      <c r="D212" s="19"/>
    </row>
    <row r="213" spans="1:4" ht="14">
      <c r="A213" s="16">
        <v>40588</v>
      </c>
      <c r="B213" s="17">
        <v>1.0700126240000001</v>
      </c>
      <c r="C213" s="18"/>
      <c r="D213" s="19"/>
    </row>
    <row r="214" spans="1:4" ht="14">
      <c r="A214" s="16">
        <v>40589</v>
      </c>
      <c r="B214" s="17">
        <v>1.05</v>
      </c>
      <c r="C214" s="18"/>
      <c r="D214" s="19"/>
    </row>
    <row r="215" spans="1:4" ht="14">
      <c r="A215" s="16">
        <v>40590</v>
      </c>
      <c r="B215" s="17">
        <v>1.0316876290000001</v>
      </c>
      <c r="C215" s="18"/>
      <c r="D215" s="19"/>
    </row>
    <row r="216" spans="1:4" ht="14">
      <c r="A216" s="16">
        <v>40591</v>
      </c>
      <c r="B216" s="17">
        <v>1.0399231980000001</v>
      </c>
      <c r="C216" s="18"/>
      <c r="D216" s="19"/>
    </row>
    <row r="217" spans="1:4" ht="14">
      <c r="A217" s="16">
        <v>40592</v>
      </c>
      <c r="B217" s="17">
        <v>0.89895591500000005</v>
      </c>
      <c r="C217" s="18"/>
      <c r="D217" s="19"/>
    </row>
    <row r="218" spans="1:4" ht="14">
      <c r="A218" s="16">
        <v>40593</v>
      </c>
      <c r="B218" s="17">
        <v>0.944028117</v>
      </c>
      <c r="C218" s="18"/>
      <c r="D218" s="19"/>
    </row>
    <row r="219" spans="1:4" ht="14">
      <c r="A219" s="16">
        <v>40594</v>
      </c>
      <c r="B219" s="17">
        <v>0.86499999999999999</v>
      </c>
      <c r="C219" s="18"/>
      <c r="D219" s="19"/>
    </row>
    <row r="220" spans="1:4" ht="14">
      <c r="A220" s="16">
        <v>40595</v>
      </c>
      <c r="B220" s="17">
        <v>0.83574742800000001</v>
      </c>
      <c r="C220" s="18"/>
      <c r="D220" s="19"/>
    </row>
    <row r="221" spans="1:4" ht="14">
      <c r="A221" s="16">
        <v>40596</v>
      </c>
      <c r="B221" s="17">
        <v>0.87704177999999999</v>
      </c>
      <c r="C221" s="18"/>
      <c r="D221" s="19"/>
    </row>
    <row r="222" spans="1:4" ht="14">
      <c r="A222" s="16">
        <v>40597</v>
      </c>
      <c r="B222" s="17">
        <v>0.9</v>
      </c>
      <c r="C222" s="18"/>
      <c r="D222" s="19"/>
    </row>
    <row r="223" spans="1:4" ht="14">
      <c r="A223" s="16">
        <v>40598</v>
      </c>
      <c r="B223" s="17">
        <v>0.98909526599999997</v>
      </c>
      <c r="C223" s="18"/>
      <c r="D223" s="19"/>
    </row>
    <row r="224" spans="1:4" ht="14">
      <c r="A224" s="16">
        <v>40599</v>
      </c>
      <c r="B224" s="17">
        <v>0.91465200199999996</v>
      </c>
      <c r="C224" s="18"/>
      <c r="D224" s="19"/>
    </row>
    <row r="225" spans="1:4" ht="14">
      <c r="A225" s="16">
        <v>40600</v>
      </c>
      <c r="B225" s="17">
        <v>0.95799999999999996</v>
      </c>
      <c r="C225" s="18"/>
      <c r="D225" s="19"/>
    </row>
    <row r="226" spans="1:4" ht="14">
      <c r="A226" s="16">
        <v>40601</v>
      </c>
      <c r="B226" s="17">
        <v>0.89503311500000005</v>
      </c>
      <c r="C226" s="18"/>
      <c r="D226" s="19"/>
    </row>
    <row r="227" spans="1:4" ht="14">
      <c r="A227" s="16">
        <v>40602</v>
      </c>
      <c r="B227" s="17">
        <v>0.86022092299999997</v>
      </c>
      <c r="C227" s="18"/>
      <c r="D227" s="19"/>
    </row>
    <row r="228" spans="1:4" ht="14">
      <c r="A228" s="16">
        <v>40603</v>
      </c>
      <c r="B228" s="17">
        <v>0.921096892</v>
      </c>
      <c r="C228" s="18"/>
      <c r="D228" s="19"/>
    </row>
    <row r="229" spans="1:4" ht="14">
      <c r="A229" s="16">
        <v>40604</v>
      </c>
      <c r="B229" s="17">
        <v>0.93989999999999996</v>
      </c>
      <c r="C229" s="18"/>
      <c r="D229" s="19"/>
    </row>
    <row r="230" spans="1:4" ht="14">
      <c r="A230" s="16">
        <v>40605</v>
      </c>
      <c r="B230" s="17">
        <v>0.93907338299999998</v>
      </c>
      <c r="C230" s="18"/>
      <c r="D230" s="19"/>
    </row>
    <row r="231" spans="1:4" ht="14">
      <c r="A231" s="16">
        <v>40606</v>
      </c>
      <c r="B231" s="17">
        <v>0.90110000000000001</v>
      </c>
      <c r="C231" s="18"/>
      <c r="D231" s="19"/>
    </row>
    <row r="232" spans="1:4" ht="14">
      <c r="A232" s="16">
        <v>40607</v>
      </c>
      <c r="B232" s="17">
        <v>0.90784060700000002</v>
      </c>
      <c r="C232" s="18"/>
      <c r="D232" s="19"/>
    </row>
    <row r="233" spans="1:4" ht="14">
      <c r="A233" s="16">
        <v>40608</v>
      </c>
      <c r="B233" s="17">
        <v>0.88477097299999996</v>
      </c>
      <c r="C233" s="18"/>
      <c r="D233" s="19"/>
    </row>
    <row r="234" spans="1:4" ht="14">
      <c r="A234" s="16">
        <v>40609</v>
      </c>
      <c r="B234" s="17">
        <v>0.87758386399999999</v>
      </c>
      <c r="C234" s="18"/>
      <c r="D234" s="19"/>
    </row>
    <row r="235" spans="1:4" ht="14">
      <c r="A235" s="16">
        <v>40610</v>
      </c>
      <c r="B235" s="17">
        <v>0.86607159099999997</v>
      </c>
      <c r="C235" s="18"/>
      <c r="D235" s="19"/>
    </row>
    <row r="236" spans="1:4" ht="14">
      <c r="A236" s="16">
        <v>40611</v>
      </c>
      <c r="B236" s="17">
        <v>0.86</v>
      </c>
      <c r="C236" s="18"/>
      <c r="D236" s="19"/>
    </row>
    <row r="237" spans="1:4" ht="14">
      <c r="A237" s="16">
        <v>40612</v>
      </c>
      <c r="B237" s="17">
        <v>0.92067030999999999</v>
      </c>
      <c r="C237" s="18"/>
      <c r="D237" s="19"/>
    </row>
    <row r="238" spans="1:4" ht="14">
      <c r="A238" s="16">
        <v>40613</v>
      </c>
      <c r="B238" s="17">
        <v>0.88</v>
      </c>
      <c r="C238" s="18"/>
      <c r="D238" s="19"/>
    </row>
    <row r="239" spans="1:4" ht="14">
      <c r="A239" s="16">
        <v>40614</v>
      </c>
      <c r="B239" s="17">
        <v>0.91781551299999997</v>
      </c>
      <c r="C239" s="18"/>
      <c r="D239" s="19"/>
    </row>
    <row r="240" spans="1:4" ht="14">
      <c r="A240" s="16">
        <v>40615</v>
      </c>
      <c r="B240" s="17">
        <v>0.89249000000000001</v>
      </c>
      <c r="C240" s="18"/>
      <c r="D240" s="19"/>
    </row>
    <row r="241" spans="1:4" ht="14">
      <c r="A241" s="16">
        <v>40616</v>
      </c>
      <c r="B241" s="17">
        <v>0.89392492300000004</v>
      </c>
      <c r="C241" s="18"/>
      <c r="D241" s="19"/>
    </row>
    <row r="242" spans="1:4" ht="14">
      <c r="A242" s="16">
        <v>40617</v>
      </c>
      <c r="B242" s="17">
        <v>0.87224000000000002</v>
      </c>
      <c r="C242" s="18"/>
      <c r="D242" s="19"/>
    </row>
    <row r="243" spans="1:4" ht="14">
      <c r="A243" s="16">
        <v>40618</v>
      </c>
      <c r="B243" s="17">
        <v>0.85121166599999998</v>
      </c>
      <c r="C243" s="18"/>
      <c r="D243" s="19"/>
    </row>
    <row r="244" spans="1:4" ht="14">
      <c r="A244" s="16">
        <v>40619</v>
      </c>
      <c r="B244" s="17">
        <v>0.82542000000000004</v>
      </c>
      <c r="C244" s="18"/>
      <c r="D244" s="19"/>
    </row>
    <row r="245" spans="1:4" ht="14">
      <c r="A245" s="16">
        <v>40620</v>
      </c>
      <c r="B245" s="17">
        <v>0.80195920799999998</v>
      </c>
      <c r="C245" s="18"/>
      <c r="D245" s="19"/>
    </row>
    <row r="246" spans="1:4" ht="14">
      <c r="A246" s="16">
        <v>40621</v>
      </c>
      <c r="B246" s="17">
        <v>0.76500000000000001</v>
      </c>
      <c r="C246" s="18"/>
      <c r="D246" s="19"/>
    </row>
    <row r="247" spans="1:4" ht="14">
      <c r="A247" s="16">
        <v>40622</v>
      </c>
      <c r="B247" s="17">
        <v>0.74150000000000005</v>
      </c>
      <c r="C247" s="18"/>
      <c r="D247" s="19"/>
    </row>
    <row r="248" spans="1:4" ht="14">
      <c r="A248" s="16">
        <v>40623</v>
      </c>
      <c r="B248" s="17">
        <v>0.75897000000000003</v>
      </c>
      <c r="C248" s="18"/>
      <c r="D248" s="19"/>
    </row>
    <row r="249" spans="1:4" ht="14">
      <c r="A249" s="16">
        <v>40624</v>
      </c>
      <c r="B249" s="17">
        <v>0.80913029299999994</v>
      </c>
      <c r="C249" s="18"/>
      <c r="D249" s="19"/>
    </row>
    <row r="250" spans="1:4" ht="14">
      <c r="A250" s="16">
        <v>40625</v>
      </c>
      <c r="B250" s="17">
        <v>0.84970999999999997</v>
      </c>
      <c r="C250" s="18"/>
      <c r="D250" s="19"/>
    </row>
    <row r="251" spans="1:4" ht="14">
      <c r="A251" s="16">
        <v>40626</v>
      </c>
      <c r="B251" s="17">
        <v>0.87237436599999996</v>
      </c>
      <c r="C251" s="18"/>
      <c r="D251" s="19"/>
    </row>
    <row r="252" spans="1:4" ht="14">
      <c r="A252" s="16">
        <v>40627</v>
      </c>
      <c r="B252" s="17">
        <v>0.88376999999999994</v>
      </c>
      <c r="C252" s="18"/>
      <c r="D252" s="19"/>
    </row>
    <row r="253" spans="1:4" ht="14">
      <c r="A253" s="16">
        <v>40628</v>
      </c>
      <c r="B253" s="17">
        <v>0.85519999999999996</v>
      </c>
      <c r="C253" s="18"/>
      <c r="D253" s="19"/>
    </row>
    <row r="254" spans="1:4" ht="14">
      <c r="A254" s="16">
        <v>40629</v>
      </c>
      <c r="B254" s="17">
        <v>0.82199999999999995</v>
      </c>
      <c r="C254" s="18"/>
      <c r="D254" s="19"/>
    </row>
    <row r="255" spans="1:4" ht="14">
      <c r="A255" s="16">
        <v>40630</v>
      </c>
      <c r="B255" s="17">
        <v>0.79474049999999996</v>
      </c>
      <c r="C255" s="18"/>
      <c r="D255" s="19"/>
    </row>
    <row r="256" spans="1:4" ht="14">
      <c r="A256" s="16">
        <v>40631</v>
      </c>
      <c r="B256" s="17">
        <v>0.79250994200000002</v>
      </c>
      <c r="C256" s="18"/>
      <c r="D256" s="19"/>
    </row>
    <row r="257" spans="1:4" ht="14">
      <c r="A257" s="16">
        <v>40632</v>
      </c>
      <c r="B257" s="17">
        <v>0.78970631199999997</v>
      </c>
      <c r="C257" s="18"/>
      <c r="D257" s="19"/>
    </row>
    <row r="258" spans="1:4" ht="14">
      <c r="A258" s="16">
        <v>40633</v>
      </c>
      <c r="B258" s="17">
        <v>0.78461000000000003</v>
      </c>
      <c r="C258" s="18"/>
      <c r="D258" s="19"/>
    </row>
    <row r="259" spans="1:4" ht="14">
      <c r="A259" s="16">
        <v>40634</v>
      </c>
      <c r="B259" s="17">
        <v>0.77410999999999996</v>
      </c>
      <c r="C259" s="18"/>
      <c r="D259" s="19"/>
    </row>
    <row r="260" spans="1:4" ht="14">
      <c r="A260" s="16">
        <v>40635</v>
      </c>
      <c r="B260" s="17">
        <v>0.78198999999999996</v>
      </c>
      <c r="C260" s="18"/>
      <c r="D260" s="19"/>
    </row>
    <row r="261" spans="1:4" ht="14">
      <c r="A261" s="16">
        <v>40636</v>
      </c>
      <c r="B261" s="17">
        <v>0.77900000000000003</v>
      </c>
      <c r="C261" s="18"/>
      <c r="D261" s="19"/>
    </row>
    <row r="262" spans="1:4" ht="14">
      <c r="A262" s="16">
        <v>40637</v>
      </c>
      <c r="B262" s="17">
        <v>0.68</v>
      </c>
      <c r="C262" s="18"/>
      <c r="D262" s="19"/>
    </row>
    <row r="263" spans="1:4" ht="14">
      <c r="A263" s="16">
        <v>40638</v>
      </c>
      <c r="B263" s="17">
        <v>0.715691835</v>
      </c>
      <c r="C263" s="18"/>
      <c r="D263" s="19"/>
    </row>
    <row r="264" spans="1:4" ht="14">
      <c r="A264" s="16">
        <v>40639</v>
      </c>
      <c r="B264" s="17">
        <v>0.74</v>
      </c>
      <c r="C264" s="18"/>
      <c r="D264" s="19"/>
    </row>
    <row r="265" spans="1:4" ht="14">
      <c r="A265" s="16">
        <v>40640</v>
      </c>
      <c r="B265" s="17">
        <v>0.75380000000000003</v>
      </c>
      <c r="C265" s="18"/>
      <c r="D265" s="19"/>
    </row>
    <row r="266" spans="1:4" ht="14">
      <c r="A266" s="16">
        <v>40641</v>
      </c>
      <c r="B266" s="17">
        <v>0.74999000000000005</v>
      </c>
      <c r="C266" s="18"/>
      <c r="D266" s="19"/>
    </row>
    <row r="267" spans="1:4" ht="14">
      <c r="A267" s="16">
        <v>40642</v>
      </c>
      <c r="B267" s="17">
        <v>0.73406051699999997</v>
      </c>
      <c r="C267" s="18"/>
      <c r="D267" s="19"/>
    </row>
    <row r="268" spans="1:4" ht="14">
      <c r="A268" s="16">
        <v>40643</v>
      </c>
      <c r="B268" s="17">
        <v>0.73315682100000001</v>
      </c>
      <c r="C268" s="18"/>
      <c r="D268" s="19"/>
    </row>
    <row r="269" spans="1:4" ht="14">
      <c r="A269" s="16">
        <v>40644</v>
      </c>
      <c r="B269" s="17">
        <v>0.77011393299999997</v>
      </c>
      <c r="C269" s="18"/>
      <c r="D269" s="19"/>
    </row>
    <row r="270" spans="1:4" ht="14">
      <c r="A270" s="16">
        <v>40645</v>
      </c>
      <c r="B270" s="17">
        <v>0.86138160799999997</v>
      </c>
      <c r="C270" s="18"/>
      <c r="D270" s="19"/>
    </row>
    <row r="271" spans="1:4" ht="14">
      <c r="A271" s="16">
        <v>40646</v>
      </c>
      <c r="B271" s="17">
        <v>0.93032005799999995</v>
      </c>
      <c r="C271" s="18"/>
      <c r="D271" s="19"/>
    </row>
    <row r="272" spans="1:4" ht="14">
      <c r="A272" s="16">
        <v>40647</v>
      </c>
      <c r="B272" s="17">
        <v>0.99862976599999997</v>
      </c>
      <c r="C272" s="18"/>
      <c r="D272" s="19"/>
    </row>
    <row r="273" spans="1:4" ht="14">
      <c r="A273" s="16">
        <v>40648</v>
      </c>
      <c r="B273" s="17">
        <v>0.98367313700000003</v>
      </c>
      <c r="C273" s="18"/>
      <c r="D273" s="19"/>
    </row>
    <row r="274" spans="1:4" ht="14">
      <c r="A274" s="16">
        <v>40649</v>
      </c>
      <c r="B274" s="17">
        <v>1.0466328579999999</v>
      </c>
      <c r="C274" s="18"/>
      <c r="D274" s="19"/>
    </row>
    <row r="275" spans="1:4" ht="14">
      <c r="A275" s="16">
        <v>40650</v>
      </c>
      <c r="B275" s="17">
        <v>1.0981220979999999</v>
      </c>
      <c r="C275" s="18"/>
      <c r="D275" s="19"/>
    </row>
    <row r="276" spans="1:4" ht="14">
      <c r="A276" s="16">
        <v>40651</v>
      </c>
      <c r="B276" s="17">
        <v>1.149433312</v>
      </c>
      <c r="C276" s="18"/>
      <c r="D276" s="19"/>
    </row>
    <row r="277" spans="1:4" ht="14">
      <c r="A277" s="16">
        <v>40652</v>
      </c>
      <c r="B277" s="17">
        <v>1.1851622209999999</v>
      </c>
      <c r="C277" s="18"/>
      <c r="D277" s="19"/>
    </row>
    <row r="278" spans="1:4" ht="14">
      <c r="A278" s="16">
        <v>40653</v>
      </c>
      <c r="B278" s="17">
        <v>1.1421259850000001</v>
      </c>
      <c r="C278" s="18"/>
      <c r="D278" s="19"/>
    </row>
    <row r="279" spans="1:4" ht="14">
      <c r="A279" s="16">
        <v>40654</v>
      </c>
      <c r="B279" s="17">
        <v>1.207338872</v>
      </c>
      <c r="C279" s="18"/>
      <c r="D279" s="19"/>
    </row>
    <row r="280" spans="1:4" ht="14">
      <c r="A280" s="16">
        <v>40655</v>
      </c>
      <c r="B280" s="17">
        <v>1.404505082</v>
      </c>
      <c r="C280" s="18"/>
      <c r="D280" s="19"/>
    </row>
    <row r="281" spans="1:4" ht="14">
      <c r="A281" s="16">
        <v>40656</v>
      </c>
      <c r="B281" s="17">
        <v>1.828852301</v>
      </c>
      <c r="C281" s="18"/>
      <c r="D281" s="19"/>
    </row>
    <row r="282" spans="1:4" ht="14">
      <c r="A282" s="16">
        <v>40657</v>
      </c>
      <c r="B282" s="17">
        <v>1.6319842200000001</v>
      </c>
      <c r="C282" s="18"/>
      <c r="D282" s="19"/>
    </row>
    <row r="283" spans="1:4" ht="14">
      <c r="A283" s="16">
        <v>40658</v>
      </c>
      <c r="B283" s="17">
        <v>1.564483635</v>
      </c>
      <c r="C283" s="18"/>
      <c r="D283" s="19"/>
    </row>
    <row r="284" spans="1:4" ht="14">
      <c r="A284" s="16">
        <v>40659</v>
      </c>
      <c r="B284" s="17">
        <v>1.7708408899999999</v>
      </c>
      <c r="C284" s="18"/>
      <c r="D284" s="19"/>
    </row>
    <row r="285" spans="1:4" ht="14">
      <c r="A285" s="16">
        <v>40660</v>
      </c>
      <c r="B285" s="17">
        <v>1.9031759589999999</v>
      </c>
      <c r="C285" s="18"/>
      <c r="D285" s="19"/>
    </row>
    <row r="286" spans="1:4" ht="14">
      <c r="A286" s="16">
        <v>40661</v>
      </c>
      <c r="B286" s="17">
        <v>2.2857444660000001</v>
      </c>
      <c r="C286" s="18"/>
      <c r="D286" s="19"/>
    </row>
    <row r="287" spans="1:4" ht="14">
      <c r="A287" s="16">
        <v>40662</v>
      </c>
      <c r="B287" s="17">
        <v>2.8506050900000002</v>
      </c>
      <c r="C287" s="18"/>
      <c r="D287" s="19"/>
    </row>
    <row r="288" spans="1:4" ht="14">
      <c r="A288" s="16">
        <v>40663</v>
      </c>
      <c r="B288" s="17">
        <v>3.5</v>
      </c>
      <c r="C288" s="18"/>
      <c r="D288" s="19"/>
    </row>
    <row r="289" spans="1:4" ht="14">
      <c r="A289" s="16">
        <v>40664</v>
      </c>
      <c r="B289" s="17">
        <v>3.0942275530000001</v>
      </c>
      <c r="C289" s="18"/>
      <c r="D289" s="19"/>
    </row>
    <row r="290" spans="1:4" ht="14">
      <c r="A290" s="16">
        <v>40665</v>
      </c>
      <c r="B290" s="17">
        <v>3.2</v>
      </c>
      <c r="C290" s="18"/>
      <c r="D290" s="19"/>
    </row>
    <row r="291" spans="1:4" ht="14">
      <c r="A291" s="16">
        <v>40666</v>
      </c>
      <c r="B291" s="17">
        <v>3.360585704</v>
      </c>
      <c r="C291" s="18"/>
      <c r="D291" s="19"/>
    </row>
    <row r="292" spans="1:4" ht="14">
      <c r="A292" s="16">
        <v>40667</v>
      </c>
      <c r="B292" s="17">
        <v>3.4086730470000002</v>
      </c>
      <c r="C292" s="18"/>
      <c r="D292" s="19"/>
    </row>
    <row r="293" spans="1:4" ht="14">
      <c r="A293" s="16">
        <v>40668</v>
      </c>
      <c r="B293" s="17">
        <v>3.343736684</v>
      </c>
      <c r="C293" s="18"/>
      <c r="D293" s="19"/>
    </row>
    <row r="294" spans="1:4" ht="14">
      <c r="A294" s="16">
        <v>40669</v>
      </c>
      <c r="B294" s="17">
        <v>3.4550755839999998</v>
      </c>
      <c r="C294" s="18"/>
      <c r="D294" s="19"/>
    </row>
    <row r="295" spans="1:4" ht="14">
      <c r="A295" s="16">
        <v>40670</v>
      </c>
      <c r="B295" s="17">
        <v>3.6412629779999999</v>
      </c>
      <c r="C295" s="18"/>
      <c r="D295" s="19"/>
    </row>
    <row r="296" spans="1:4" ht="14">
      <c r="A296" s="16">
        <v>40671</v>
      </c>
      <c r="B296" s="17">
        <v>3.8486683770000001</v>
      </c>
      <c r="C296" s="18"/>
      <c r="D296" s="19"/>
    </row>
    <row r="297" spans="1:4" ht="14">
      <c r="A297" s="16">
        <v>40672</v>
      </c>
      <c r="B297" s="17">
        <v>3.804089582</v>
      </c>
      <c r="C297" s="18"/>
      <c r="D297" s="19"/>
    </row>
    <row r="298" spans="1:4" ht="14">
      <c r="A298" s="16">
        <v>40673</v>
      </c>
      <c r="B298" s="17">
        <v>5.6516670019999999</v>
      </c>
      <c r="C298" s="18"/>
      <c r="D298" s="19"/>
    </row>
    <row r="299" spans="1:4" ht="14">
      <c r="A299" s="16">
        <v>40674</v>
      </c>
      <c r="B299" s="17">
        <v>5.4397510440000003</v>
      </c>
      <c r="C299" s="18"/>
      <c r="D299" s="19"/>
    </row>
    <row r="300" spans="1:4" ht="14">
      <c r="A300" s="16">
        <v>40675</v>
      </c>
      <c r="B300" s="17">
        <v>6.3348786940000004</v>
      </c>
      <c r="C300" s="18"/>
      <c r="D300" s="19"/>
    </row>
    <row r="301" spans="1:4" ht="14">
      <c r="A301" s="16">
        <v>40676</v>
      </c>
      <c r="B301" s="17">
        <v>8.1390348669999995</v>
      </c>
      <c r="C301" s="18"/>
      <c r="D301" s="19"/>
    </row>
    <row r="302" spans="1:4" ht="14">
      <c r="A302" s="16">
        <v>40677</v>
      </c>
      <c r="B302" s="17">
        <v>7.0072438290000001</v>
      </c>
      <c r="C302" s="18"/>
      <c r="D302" s="19"/>
    </row>
    <row r="303" spans="1:4" ht="14">
      <c r="A303" s="16">
        <v>40678</v>
      </c>
      <c r="B303" s="17">
        <v>6.9249248449999996</v>
      </c>
      <c r="C303" s="18"/>
      <c r="D303" s="19"/>
    </row>
    <row r="304" spans="1:4" ht="14">
      <c r="A304" s="16">
        <v>40679</v>
      </c>
      <c r="B304" s="17">
        <v>7.8851407450000002</v>
      </c>
      <c r="C304" s="18"/>
      <c r="D304" s="19"/>
    </row>
    <row r="305" spans="1:4" ht="14">
      <c r="A305" s="16">
        <v>40680</v>
      </c>
      <c r="B305" s="17">
        <v>7.2571995410000003</v>
      </c>
      <c r="C305" s="18"/>
      <c r="D305" s="19"/>
    </row>
    <row r="306" spans="1:4" ht="14">
      <c r="A306" s="16">
        <v>40681</v>
      </c>
      <c r="B306" s="17">
        <v>6.7631633620000002</v>
      </c>
      <c r="C306" s="18"/>
      <c r="D306" s="19"/>
    </row>
    <row r="307" spans="1:4" ht="14">
      <c r="A307" s="16">
        <v>40682</v>
      </c>
      <c r="B307" s="17">
        <v>6.890143632</v>
      </c>
      <c r="C307" s="18"/>
      <c r="D307" s="19"/>
    </row>
    <row r="308" spans="1:4" ht="14">
      <c r="A308" s="16">
        <v>40683</v>
      </c>
      <c r="B308" s="17">
        <v>5.6180962189999999</v>
      </c>
      <c r="C308" s="18"/>
      <c r="D308" s="19"/>
    </row>
    <row r="309" spans="1:4" ht="14">
      <c r="A309" s="16">
        <v>40684</v>
      </c>
      <c r="B309" s="17">
        <v>6.0848006669999997</v>
      </c>
      <c r="C309" s="18"/>
      <c r="D309" s="19"/>
    </row>
    <row r="310" spans="1:4" ht="14">
      <c r="A310" s="16">
        <v>40685</v>
      </c>
      <c r="B310" s="17">
        <v>6.7119560399999996</v>
      </c>
      <c r="C310" s="18"/>
      <c r="D310" s="19"/>
    </row>
    <row r="311" spans="1:4" ht="14">
      <c r="A311" s="16">
        <v>40686</v>
      </c>
      <c r="B311" s="17">
        <v>7.0652567839999998</v>
      </c>
      <c r="C311" s="18"/>
      <c r="D311" s="19"/>
    </row>
    <row r="312" spans="1:4" ht="14">
      <c r="A312" s="16">
        <v>40687</v>
      </c>
      <c r="B312" s="17">
        <v>7.4026605820000002</v>
      </c>
      <c r="C312" s="18"/>
      <c r="D312" s="19"/>
    </row>
    <row r="313" spans="1:4" ht="14">
      <c r="A313" s="16">
        <v>40688</v>
      </c>
      <c r="B313" s="17">
        <v>8.5692896370000007</v>
      </c>
      <c r="C313" s="18"/>
      <c r="D313" s="19"/>
    </row>
    <row r="314" spans="1:4" ht="14">
      <c r="A314" s="16">
        <v>40689</v>
      </c>
      <c r="B314" s="17">
        <v>8.7821554339999999</v>
      </c>
      <c r="C314" s="18"/>
      <c r="D314" s="19"/>
    </row>
    <row r="315" spans="1:4" ht="14">
      <c r="A315" s="16">
        <v>40690</v>
      </c>
      <c r="B315" s="17">
        <v>8.5286584679999997</v>
      </c>
      <c r="C315" s="18"/>
      <c r="D315" s="19"/>
    </row>
    <row r="316" spans="1:4" ht="14">
      <c r="A316" s="16">
        <v>40691</v>
      </c>
      <c r="B316" s="17">
        <v>8.3492691200000007</v>
      </c>
      <c r="C316" s="18"/>
      <c r="D316" s="19"/>
    </row>
    <row r="317" spans="1:4" ht="14">
      <c r="A317" s="16">
        <v>40692</v>
      </c>
      <c r="B317" s="17">
        <v>8.4009534719999994</v>
      </c>
      <c r="C317" s="18"/>
      <c r="D317" s="19"/>
    </row>
    <row r="318" spans="1:4" ht="14">
      <c r="A318" s="16">
        <v>40693</v>
      </c>
      <c r="B318" s="17">
        <v>8.7793424649999992</v>
      </c>
      <c r="C318" s="18"/>
      <c r="D318" s="19"/>
    </row>
    <row r="319" spans="1:4" ht="14">
      <c r="A319" s="16">
        <v>40694</v>
      </c>
      <c r="B319" s="17">
        <v>8.7215764220000001</v>
      </c>
      <c r="C319" s="18"/>
      <c r="D319" s="19"/>
    </row>
    <row r="320" spans="1:4" ht="14">
      <c r="A320" s="16">
        <v>40695</v>
      </c>
      <c r="B320" s="17">
        <v>9.6237772320000001</v>
      </c>
      <c r="C320" s="18"/>
      <c r="D320" s="19"/>
    </row>
    <row r="321" spans="1:4" ht="14">
      <c r="A321" s="16">
        <v>40696</v>
      </c>
      <c r="B321" s="17">
        <v>10.702760230000001</v>
      </c>
      <c r="C321" s="18"/>
      <c r="D321" s="19"/>
    </row>
    <row r="322" spans="1:4" ht="14">
      <c r="A322" s="16">
        <v>40697</v>
      </c>
      <c r="B322" s="17">
        <v>14.264646770000001</v>
      </c>
      <c r="C322" s="18"/>
      <c r="D322" s="19"/>
    </row>
    <row r="323" spans="1:4" ht="14">
      <c r="A323" s="16">
        <v>40698</v>
      </c>
      <c r="B323" s="17">
        <v>18.31273873</v>
      </c>
      <c r="C323" s="18"/>
      <c r="D323" s="19"/>
    </row>
    <row r="324" spans="1:4" ht="14">
      <c r="A324" s="16">
        <v>40699</v>
      </c>
      <c r="B324" s="17">
        <v>16.5433424</v>
      </c>
      <c r="C324" s="18"/>
      <c r="D324" s="19"/>
    </row>
    <row r="325" spans="1:4" ht="14">
      <c r="A325" s="16">
        <v>40700</v>
      </c>
      <c r="B325" s="17">
        <v>18.402098639999998</v>
      </c>
      <c r="C325" s="18"/>
      <c r="D325" s="19"/>
    </row>
    <row r="326" spans="1:4" ht="14">
      <c r="A326" s="16">
        <v>40701</v>
      </c>
      <c r="B326" s="17">
        <v>23.237878460000001</v>
      </c>
      <c r="C326" s="18"/>
      <c r="D326" s="19"/>
    </row>
    <row r="327" spans="1:4" ht="14">
      <c r="A327" s="16">
        <v>40702</v>
      </c>
      <c r="B327" s="17">
        <v>29.029921330000001</v>
      </c>
      <c r="C327" s="18"/>
      <c r="D327" s="19"/>
    </row>
    <row r="328" spans="1:4" ht="14">
      <c r="A328" s="16">
        <v>40703</v>
      </c>
      <c r="B328" s="17">
        <v>28.790544019999999</v>
      </c>
      <c r="C328" s="18"/>
      <c r="D328" s="19"/>
    </row>
    <row r="329" spans="1:4" ht="14">
      <c r="A329" s="16">
        <v>40704</v>
      </c>
      <c r="B329" s="17">
        <v>24.049399229999999</v>
      </c>
      <c r="C329" s="18"/>
      <c r="D329" s="19"/>
    </row>
    <row r="330" spans="1:4" ht="14">
      <c r="A330" s="16">
        <v>40705</v>
      </c>
      <c r="B330" s="17">
        <v>14.749746630000001</v>
      </c>
      <c r="C330" s="18"/>
      <c r="D330" s="19"/>
    </row>
    <row r="331" spans="1:4" ht="14">
      <c r="A331" s="16">
        <v>40706</v>
      </c>
      <c r="B331" s="17">
        <v>18.85014473</v>
      </c>
      <c r="C331" s="18"/>
      <c r="D331" s="19"/>
    </row>
    <row r="332" spans="1:4" ht="14">
      <c r="A332" s="16">
        <v>40707</v>
      </c>
      <c r="B332" s="17">
        <v>19.542329110000001</v>
      </c>
      <c r="C332" s="18"/>
      <c r="D332" s="19"/>
    </row>
    <row r="333" spans="1:4" ht="14">
      <c r="A333" s="16">
        <v>40708</v>
      </c>
      <c r="B333" s="17">
        <v>19.25773551</v>
      </c>
      <c r="C333" s="18"/>
      <c r="D333" s="19"/>
    </row>
    <row r="334" spans="1:4" ht="14">
      <c r="A334" s="16">
        <v>40709</v>
      </c>
      <c r="B334" s="17">
        <v>19.464142620000001</v>
      </c>
      <c r="C334" s="18"/>
      <c r="D334" s="19"/>
    </row>
    <row r="335" spans="1:4" ht="14">
      <c r="A335" s="16">
        <v>40710</v>
      </c>
      <c r="B335" s="17">
        <v>17.92936254</v>
      </c>
      <c r="C335" s="18"/>
      <c r="D335" s="19"/>
    </row>
    <row r="336" spans="1:4" ht="14">
      <c r="A336" s="16">
        <v>40711</v>
      </c>
      <c r="B336" s="17">
        <v>15.436368910000001</v>
      </c>
      <c r="C336" s="18"/>
      <c r="D336" s="19"/>
    </row>
    <row r="337" spans="1:4" ht="14">
      <c r="A337" s="16">
        <v>40712</v>
      </c>
      <c r="B337" s="17">
        <v>16.875404540000002</v>
      </c>
      <c r="C337" s="18"/>
      <c r="D337" s="19"/>
    </row>
    <row r="338" spans="1:4" ht="14">
      <c r="A338" s="16">
        <v>40713</v>
      </c>
      <c r="B338" s="20">
        <v>17.51071679</v>
      </c>
      <c r="C338" s="18"/>
      <c r="D338" s="19"/>
    </row>
    <row r="339" spans="1:4" ht="14">
      <c r="A339" s="16">
        <v>40714</v>
      </c>
      <c r="B339" s="20">
        <v>17.51071679</v>
      </c>
      <c r="C339" s="18"/>
      <c r="D339" s="19"/>
    </row>
    <row r="340" spans="1:4" ht="14">
      <c r="A340" s="16">
        <v>40715</v>
      </c>
      <c r="B340" s="20">
        <v>17.51071679</v>
      </c>
      <c r="C340" s="18"/>
      <c r="D340" s="19"/>
    </row>
    <row r="341" spans="1:4" ht="14">
      <c r="A341" s="16">
        <v>40716</v>
      </c>
      <c r="B341" s="20">
        <v>17.51071679</v>
      </c>
      <c r="C341" s="18"/>
      <c r="D341" s="19"/>
    </row>
    <row r="342" spans="1:4" ht="14">
      <c r="A342" s="16">
        <v>40717</v>
      </c>
      <c r="B342" s="20">
        <v>17.51071679</v>
      </c>
      <c r="C342" s="18"/>
      <c r="D342" s="19"/>
    </row>
    <row r="343" spans="1:4" ht="14">
      <c r="A343" s="16">
        <v>40718</v>
      </c>
      <c r="B343" s="20">
        <v>17.51071679</v>
      </c>
      <c r="C343" s="18"/>
      <c r="D343" s="19"/>
    </row>
    <row r="344" spans="1:4" ht="14">
      <c r="A344" s="16">
        <v>40719</v>
      </c>
      <c r="B344" s="17">
        <v>17.51071679</v>
      </c>
      <c r="C344" s="18"/>
      <c r="D344" s="19"/>
    </row>
    <row r="345" spans="1:4" ht="14">
      <c r="A345" s="16">
        <v>40720</v>
      </c>
      <c r="B345" s="17">
        <v>16.361342019999999</v>
      </c>
      <c r="C345" s="18"/>
      <c r="D345" s="19"/>
    </row>
    <row r="346" spans="1:4" ht="14">
      <c r="A346" s="16">
        <v>40721</v>
      </c>
      <c r="B346" s="17">
        <v>16.75228581</v>
      </c>
      <c r="C346" s="18"/>
      <c r="D346" s="19"/>
    </row>
    <row r="347" spans="1:4" ht="14">
      <c r="A347" s="16">
        <v>40722</v>
      </c>
      <c r="B347" s="17">
        <v>16.961835310000001</v>
      </c>
      <c r="C347" s="18"/>
      <c r="D347" s="19"/>
    </row>
    <row r="348" spans="1:4" ht="14">
      <c r="A348" s="16">
        <v>40723</v>
      </c>
      <c r="B348" s="17">
        <v>16.854568319999998</v>
      </c>
      <c r="C348" s="18"/>
      <c r="D348" s="19"/>
    </row>
    <row r="349" spans="1:4" ht="14">
      <c r="A349" s="16">
        <v>40724</v>
      </c>
      <c r="B349" s="17">
        <v>16.185262779999999</v>
      </c>
      <c r="C349" s="18"/>
      <c r="D349" s="19"/>
    </row>
    <row r="350" spans="1:4" ht="14">
      <c r="A350" s="16">
        <v>40725</v>
      </c>
      <c r="B350" s="17">
        <v>15.4203574</v>
      </c>
      <c r="C350" s="18"/>
      <c r="D350" s="19"/>
    </row>
    <row r="351" spans="1:4" ht="14">
      <c r="A351" s="16">
        <v>40726</v>
      </c>
      <c r="B351" s="17">
        <v>15.382844070000001</v>
      </c>
      <c r="C351" s="18"/>
      <c r="D351" s="19"/>
    </row>
    <row r="352" spans="1:4" ht="14">
      <c r="A352" s="16">
        <v>40727</v>
      </c>
      <c r="B352" s="17">
        <v>15.45755056</v>
      </c>
      <c r="C352" s="18"/>
      <c r="D352" s="19"/>
    </row>
    <row r="353" spans="1:4" ht="14">
      <c r="A353" s="16">
        <v>40728</v>
      </c>
      <c r="B353" s="17">
        <v>13.852796809999999</v>
      </c>
      <c r="C353" s="18"/>
      <c r="D353" s="19"/>
    </row>
    <row r="354" spans="1:4" ht="14">
      <c r="A354" s="16">
        <v>40729</v>
      </c>
      <c r="B354" s="17">
        <v>12.96481771</v>
      </c>
      <c r="C354" s="18"/>
      <c r="D354" s="19"/>
    </row>
    <row r="355" spans="1:4" ht="14">
      <c r="A355" s="16">
        <v>40730</v>
      </c>
      <c r="B355" s="17">
        <v>14.714783580000001</v>
      </c>
      <c r="C355" s="18"/>
      <c r="D355" s="19"/>
    </row>
    <row r="356" spans="1:4" ht="14">
      <c r="A356" s="16">
        <v>40731</v>
      </c>
      <c r="B356" s="17">
        <v>14.79728916</v>
      </c>
      <c r="C356" s="18"/>
      <c r="D356" s="19"/>
    </row>
    <row r="357" spans="1:4" ht="14">
      <c r="A357" s="16">
        <v>40732</v>
      </c>
      <c r="B357" s="17">
        <v>14.2990377</v>
      </c>
      <c r="C357" s="18"/>
      <c r="D357" s="19"/>
    </row>
    <row r="358" spans="1:4" ht="14">
      <c r="A358" s="16">
        <v>40733</v>
      </c>
      <c r="B358" s="17">
        <v>14.381500669999999</v>
      </c>
      <c r="C358" s="18"/>
      <c r="D358" s="19"/>
    </row>
    <row r="359" spans="1:4" ht="14">
      <c r="A359" s="16">
        <v>40734</v>
      </c>
      <c r="B359" s="17">
        <v>14.62293755</v>
      </c>
      <c r="C359" s="18"/>
      <c r="D359" s="19"/>
    </row>
    <row r="360" spans="1:4" ht="14">
      <c r="A360" s="16">
        <v>40735</v>
      </c>
      <c r="B360" s="17">
        <v>14.31015543</v>
      </c>
      <c r="C360" s="18"/>
      <c r="D360" s="19"/>
    </row>
    <row r="361" spans="1:4" ht="14">
      <c r="A361" s="16">
        <v>40736</v>
      </c>
      <c r="B361" s="17">
        <v>14.02127262</v>
      </c>
      <c r="C361" s="18"/>
      <c r="D361" s="19"/>
    </row>
    <row r="362" spans="1:4" ht="14">
      <c r="A362" s="16">
        <v>40737</v>
      </c>
      <c r="B362" s="17">
        <v>13.97145452</v>
      </c>
      <c r="C362" s="18"/>
      <c r="D362" s="19"/>
    </row>
    <row r="363" spans="1:4" ht="14">
      <c r="A363" s="16">
        <v>40738</v>
      </c>
      <c r="B363" s="17">
        <v>13.99797455</v>
      </c>
      <c r="C363" s="18"/>
      <c r="D363" s="19"/>
    </row>
    <row r="364" spans="1:4" ht="14">
      <c r="A364" s="16">
        <v>40739</v>
      </c>
      <c r="B364" s="17">
        <v>13.806390410000001</v>
      </c>
      <c r="C364" s="18"/>
      <c r="D364" s="19"/>
    </row>
    <row r="365" spans="1:4" ht="14">
      <c r="A365" s="16">
        <v>40740</v>
      </c>
      <c r="B365" s="17">
        <v>13.7130793</v>
      </c>
      <c r="C365" s="18"/>
      <c r="D365" s="19"/>
    </row>
    <row r="366" spans="1:4" ht="14">
      <c r="A366" s="16">
        <v>40741</v>
      </c>
      <c r="B366" s="17">
        <v>13.25813531</v>
      </c>
      <c r="C366" s="18"/>
      <c r="D366" s="19"/>
    </row>
    <row r="367" spans="1:4" ht="14">
      <c r="A367" s="16">
        <v>40742</v>
      </c>
      <c r="B367" s="17">
        <v>13.630521249999999</v>
      </c>
      <c r="C367" s="18"/>
      <c r="D367" s="19"/>
    </row>
    <row r="368" spans="1:4" ht="14">
      <c r="A368" s="16">
        <v>40743</v>
      </c>
      <c r="B368" s="17">
        <v>13.824794839999999</v>
      </c>
      <c r="C368" s="18"/>
      <c r="D368" s="19"/>
    </row>
    <row r="369" spans="1:4" ht="14">
      <c r="A369" s="16">
        <v>40744</v>
      </c>
      <c r="B369" s="17">
        <v>13.67833059</v>
      </c>
      <c r="C369" s="18"/>
      <c r="D369" s="19"/>
    </row>
    <row r="370" spans="1:4" ht="14">
      <c r="A370" s="16">
        <v>40745</v>
      </c>
      <c r="B370" s="17">
        <v>13.611808440000001</v>
      </c>
      <c r="C370" s="18"/>
      <c r="D370" s="19"/>
    </row>
    <row r="371" spans="1:4" ht="14">
      <c r="A371" s="16">
        <v>40746</v>
      </c>
      <c r="B371" s="17">
        <v>13.69854733</v>
      </c>
      <c r="C371" s="18"/>
      <c r="D371" s="19"/>
    </row>
    <row r="372" spans="1:4" ht="14">
      <c r="A372" s="16">
        <v>40747</v>
      </c>
      <c r="B372" s="17">
        <v>13.68171834</v>
      </c>
      <c r="C372" s="18"/>
      <c r="D372" s="19"/>
    </row>
    <row r="373" spans="1:4" ht="14">
      <c r="A373" s="16">
        <v>40748</v>
      </c>
      <c r="B373" s="17">
        <v>13.99251518</v>
      </c>
      <c r="C373" s="18"/>
      <c r="D373" s="19"/>
    </row>
    <row r="374" spans="1:4" ht="14">
      <c r="A374" s="16">
        <v>40749</v>
      </c>
      <c r="B374" s="17">
        <v>14.033425380000001</v>
      </c>
      <c r="C374" s="18"/>
      <c r="D374" s="19"/>
    </row>
    <row r="375" spans="1:4" ht="14">
      <c r="A375" s="16">
        <v>40750</v>
      </c>
      <c r="B375" s="17">
        <v>13.878032320000001</v>
      </c>
      <c r="C375" s="18"/>
      <c r="D375" s="19"/>
    </row>
    <row r="376" spans="1:4" ht="14">
      <c r="A376" s="16">
        <v>40751</v>
      </c>
      <c r="B376" s="17">
        <v>13.87822476</v>
      </c>
      <c r="C376" s="18"/>
      <c r="D376" s="19"/>
    </row>
    <row r="377" spans="1:4" ht="14">
      <c r="A377" s="16">
        <v>40752</v>
      </c>
      <c r="B377" s="17">
        <v>13.491591079999999</v>
      </c>
      <c r="C377" s="18"/>
      <c r="D377" s="19"/>
    </row>
    <row r="378" spans="1:4" ht="14">
      <c r="A378" s="16">
        <v>40753</v>
      </c>
      <c r="B378" s="17">
        <v>13.512316390000001</v>
      </c>
      <c r="C378" s="18"/>
      <c r="D378" s="19"/>
    </row>
    <row r="379" spans="1:4" ht="14">
      <c r="A379" s="16">
        <v>40754</v>
      </c>
      <c r="B379" s="17">
        <v>13.54028067</v>
      </c>
      <c r="C379" s="18"/>
      <c r="D379" s="19"/>
    </row>
    <row r="380" spans="1:4" ht="14">
      <c r="A380" s="16">
        <v>40755</v>
      </c>
      <c r="B380" s="17">
        <v>13.3729061</v>
      </c>
      <c r="C380" s="18"/>
      <c r="D380" s="19"/>
    </row>
    <row r="381" spans="1:4" ht="14">
      <c r="A381" s="16">
        <v>40756</v>
      </c>
      <c r="B381" s="17">
        <v>13.01911385</v>
      </c>
      <c r="C381" s="18"/>
      <c r="D381" s="19"/>
    </row>
    <row r="382" spans="1:4" ht="14">
      <c r="A382" s="16">
        <v>40757</v>
      </c>
      <c r="B382" s="17">
        <v>12.21415644</v>
      </c>
      <c r="C382" s="18"/>
      <c r="D382" s="19"/>
    </row>
    <row r="383" spans="1:4" ht="14">
      <c r="A383" s="16">
        <v>40758</v>
      </c>
      <c r="B383" s="17">
        <v>9.2863569140000006</v>
      </c>
      <c r="C383" s="18"/>
      <c r="D383" s="19"/>
    </row>
    <row r="384" spans="1:4" ht="14">
      <c r="A384" s="16">
        <v>40759</v>
      </c>
      <c r="B384" s="17">
        <v>10.768503750000001</v>
      </c>
      <c r="C384" s="18"/>
      <c r="D384" s="19"/>
    </row>
    <row r="385" spans="1:4" ht="14">
      <c r="A385" s="16">
        <v>40760</v>
      </c>
      <c r="B385" s="17">
        <v>9.7301539600000009</v>
      </c>
      <c r="C385" s="18"/>
      <c r="D385" s="19"/>
    </row>
    <row r="386" spans="1:4" ht="14">
      <c r="A386" s="16">
        <v>40761</v>
      </c>
      <c r="B386" s="17">
        <v>6.9641697359999997</v>
      </c>
      <c r="C386" s="18"/>
      <c r="D386" s="19"/>
    </row>
    <row r="387" spans="1:4" ht="14">
      <c r="A387" s="16">
        <v>40762</v>
      </c>
      <c r="B387" s="17">
        <v>8.5017932920000003</v>
      </c>
      <c r="C387" s="18"/>
      <c r="D387" s="19"/>
    </row>
    <row r="388" spans="1:4" ht="14">
      <c r="A388" s="16">
        <v>40763</v>
      </c>
      <c r="B388" s="17">
        <v>7.7753376379999999</v>
      </c>
      <c r="C388" s="18"/>
      <c r="D388" s="19"/>
    </row>
    <row r="389" spans="1:4" ht="14">
      <c r="A389" s="16">
        <v>40764</v>
      </c>
      <c r="B389" s="17">
        <v>9.8024994809999999</v>
      </c>
      <c r="C389" s="18"/>
      <c r="D389" s="19"/>
    </row>
    <row r="390" spans="1:4" ht="14">
      <c r="A390" s="16">
        <v>40765</v>
      </c>
      <c r="B390" s="17">
        <v>10.051253129999999</v>
      </c>
      <c r="C390" s="18"/>
      <c r="D390" s="19"/>
    </row>
    <row r="391" spans="1:4" ht="14">
      <c r="A391" s="16">
        <v>40766</v>
      </c>
      <c r="B391" s="17">
        <v>9.4384129950000002</v>
      </c>
      <c r="C391" s="18"/>
      <c r="D391" s="19"/>
    </row>
    <row r="392" spans="1:4" ht="14">
      <c r="A392" s="16">
        <v>40767</v>
      </c>
      <c r="B392" s="17">
        <v>9.4529932849999998</v>
      </c>
      <c r="C392" s="18"/>
      <c r="D392" s="19"/>
    </row>
    <row r="393" spans="1:4" ht="14">
      <c r="A393" s="16">
        <v>40768</v>
      </c>
      <c r="B393" s="17">
        <v>10.00402474</v>
      </c>
      <c r="C393" s="18"/>
      <c r="D393" s="19"/>
    </row>
    <row r="394" spans="1:4" ht="14">
      <c r="A394" s="16">
        <v>40769</v>
      </c>
      <c r="B394" s="17">
        <v>10.80682077</v>
      </c>
      <c r="C394" s="18"/>
      <c r="D394" s="19"/>
    </row>
    <row r="395" spans="1:4" ht="14">
      <c r="A395" s="16">
        <v>40770</v>
      </c>
      <c r="B395" s="17">
        <v>11.13069655</v>
      </c>
      <c r="C395" s="18"/>
      <c r="D395" s="19"/>
    </row>
    <row r="396" spans="1:4" ht="14">
      <c r="A396" s="16">
        <v>40771</v>
      </c>
      <c r="B396" s="17">
        <v>10.99196557</v>
      </c>
      <c r="C396" s="18"/>
      <c r="D396" s="19"/>
    </row>
    <row r="397" spans="1:4" ht="14">
      <c r="A397" s="16">
        <v>40772</v>
      </c>
      <c r="B397" s="17">
        <v>10.96396406</v>
      </c>
      <c r="C397" s="18"/>
      <c r="D397" s="19"/>
    </row>
    <row r="398" spans="1:4" ht="14">
      <c r="A398" s="16">
        <v>40773</v>
      </c>
      <c r="B398" s="17">
        <v>10.858471460000001</v>
      </c>
      <c r="C398" s="18"/>
      <c r="D398" s="19"/>
    </row>
    <row r="399" spans="1:4" ht="14">
      <c r="A399" s="16">
        <v>40774</v>
      </c>
      <c r="B399" s="17">
        <v>11.670473039999999</v>
      </c>
      <c r="C399" s="18"/>
      <c r="D399" s="19"/>
    </row>
    <row r="400" spans="1:4" ht="14">
      <c r="A400" s="16">
        <v>40775</v>
      </c>
      <c r="B400" s="17">
        <v>11.45973174</v>
      </c>
      <c r="C400" s="18"/>
      <c r="D400" s="19"/>
    </row>
    <row r="401" spans="1:4" ht="14">
      <c r="A401" s="16">
        <v>40776</v>
      </c>
      <c r="B401" s="17">
        <v>11.35448134</v>
      </c>
      <c r="C401" s="18"/>
      <c r="D401" s="19"/>
    </row>
    <row r="402" spans="1:4" ht="14">
      <c r="A402" s="16">
        <v>40777</v>
      </c>
      <c r="B402" s="17">
        <v>10.92089582</v>
      </c>
      <c r="C402" s="18"/>
      <c r="D402" s="19"/>
    </row>
    <row r="403" spans="1:4" ht="14">
      <c r="A403" s="16">
        <v>40778</v>
      </c>
      <c r="B403" s="17">
        <v>10.91724505</v>
      </c>
      <c r="C403" s="18"/>
      <c r="D403" s="19"/>
    </row>
    <row r="404" spans="1:4" ht="14">
      <c r="A404" s="16">
        <v>40779</v>
      </c>
      <c r="B404" s="17">
        <v>10.87044429</v>
      </c>
      <c r="C404" s="18"/>
      <c r="D404" s="19"/>
    </row>
    <row r="405" spans="1:4" ht="14">
      <c r="A405" s="16">
        <v>40780</v>
      </c>
      <c r="B405" s="17">
        <v>9.5460936739999998</v>
      </c>
      <c r="C405" s="18"/>
      <c r="D405" s="19"/>
    </row>
    <row r="406" spans="1:4" ht="14">
      <c r="A406" s="16">
        <v>40781</v>
      </c>
      <c r="B406" s="17">
        <v>8.1269201629999994</v>
      </c>
      <c r="C406" s="18"/>
      <c r="D406" s="19"/>
    </row>
    <row r="407" spans="1:4" ht="14">
      <c r="A407" s="16">
        <v>40782</v>
      </c>
      <c r="B407" s="17">
        <v>8.5964976069999999</v>
      </c>
      <c r="C407" s="18"/>
      <c r="D407" s="19"/>
    </row>
    <row r="408" spans="1:4" ht="14">
      <c r="A408" s="16">
        <v>40783</v>
      </c>
      <c r="B408" s="17">
        <v>9.0308664000000007</v>
      </c>
      <c r="C408" s="18"/>
      <c r="D408" s="19"/>
    </row>
    <row r="409" spans="1:4" ht="14">
      <c r="A409" s="16">
        <v>40784</v>
      </c>
      <c r="B409" s="17">
        <v>8.9611572709999994</v>
      </c>
      <c r="C409" s="18"/>
      <c r="D409" s="19"/>
    </row>
    <row r="410" spans="1:4" ht="14">
      <c r="A410" s="16">
        <v>40785</v>
      </c>
      <c r="B410" s="17">
        <v>8.8099487379999992</v>
      </c>
      <c r="C410" s="18"/>
      <c r="D410" s="19"/>
    </row>
    <row r="411" spans="1:4" ht="14">
      <c r="A411" s="16">
        <v>40786</v>
      </c>
      <c r="B411" s="17">
        <v>8.1991517639999998</v>
      </c>
      <c r="C411" s="18"/>
      <c r="D411" s="19"/>
    </row>
    <row r="412" spans="1:4" ht="14">
      <c r="A412" s="16">
        <v>40787</v>
      </c>
      <c r="B412" s="17">
        <v>8.2342816649999993</v>
      </c>
      <c r="C412" s="18"/>
      <c r="D412" s="19"/>
    </row>
    <row r="413" spans="1:4" ht="14">
      <c r="A413" s="16">
        <v>40788</v>
      </c>
      <c r="B413" s="17">
        <v>8.621424438</v>
      </c>
      <c r="C413" s="18"/>
      <c r="D413" s="19"/>
    </row>
    <row r="414" spans="1:4" ht="14">
      <c r="A414" s="16">
        <v>40789</v>
      </c>
      <c r="B414" s="17">
        <v>8.4496534410000006</v>
      </c>
      <c r="C414" s="18"/>
      <c r="D414" s="19"/>
    </row>
    <row r="415" spans="1:4" ht="14">
      <c r="A415" s="16">
        <v>40790</v>
      </c>
      <c r="B415" s="17">
        <v>8.2034706019999994</v>
      </c>
      <c r="C415" s="18"/>
      <c r="D415" s="19"/>
    </row>
    <row r="416" spans="1:4" ht="14">
      <c r="A416" s="16">
        <v>40791</v>
      </c>
      <c r="B416" s="17">
        <v>7.5973325249999997</v>
      </c>
      <c r="C416" s="18"/>
      <c r="D416" s="19"/>
    </row>
    <row r="417" spans="1:4" ht="14">
      <c r="A417" s="16">
        <v>40792</v>
      </c>
      <c r="B417" s="17">
        <v>6.8465300290000002</v>
      </c>
      <c r="C417" s="18"/>
      <c r="D417" s="19"/>
    </row>
    <row r="418" spans="1:4" ht="14">
      <c r="A418" s="16">
        <v>40793</v>
      </c>
      <c r="B418" s="17">
        <v>7.1629702740000001</v>
      </c>
      <c r="C418" s="18"/>
      <c r="D418" s="19"/>
    </row>
    <row r="419" spans="1:4" ht="14">
      <c r="A419" s="16">
        <v>40794</v>
      </c>
      <c r="B419" s="17">
        <v>6.6781800000000002</v>
      </c>
      <c r="C419" s="18"/>
      <c r="D419" s="19"/>
    </row>
    <row r="420" spans="1:4" ht="14">
      <c r="A420" s="16">
        <v>40795</v>
      </c>
      <c r="B420" s="17">
        <v>4.9867770419999999</v>
      </c>
      <c r="C420" s="18"/>
      <c r="D420" s="19"/>
    </row>
    <row r="421" spans="1:4" ht="14">
      <c r="A421" s="16">
        <v>40796</v>
      </c>
      <c r="B421" s="17">
        <v>4.7428466550000001</v>
      </c>
      <c r="C421" s="18"/>
      <c r="D421" s="19"/>
    </row>
    <row r="422" spans="1:4" ht="14">
      <c r="A422" s="16">
        <v>40797</v>
      </c>
      <c r="B422" s="17">
        <v>5.8529039730000001</v>
      </c>
      <c r="C422" s="18"/>
      <c r="D422" s="19"/>
    </row>
    <row r="423" spans="1:4" ht="14">
      <c r="A423" s="16">
        <v>40798</v>
      </c>
      <c r="B423" s="17">
        <v>6.0906294719999998</v>
      </c>
      <c r="C423" s="18"/>
      <c r="D423" s="19"/>
    </row>
    <row r="424" spans="1:4" ht="14">
      <c r="A424" s="16">
        <v>40799</v>
      </c>
      <c r="B424" s="17">
        <v>5.8025232769999997</v>
      </c>
      <c r="C424" s="18"/>
      <c r="D424" s="19"/>
    </row>
    <row r="425" spans="1:4" ht="14">
      <c r="A425" s="16">
        <v>40800</v>
      </c>
      <c r="B425" s="17">
        <v>5.5974326100000003</v>
      </c>
      <c r="C425" s="18"/>
      <c r="D425" s="19"/>
    </row>
    <row r="426" spans="1:4" ht="14">
      <c r="A426" s="16">
        <v>40801</v>
      </c>
      <c r="B426" s="17">
        <v>4.867755185</v>
      </c>
      <c r="C426" s="18"/>
      <c r="D426" s="19"/>
    </row>
    <row r="427" spans="1:4" ht="14">
      <c r="A427" s="16">
        <v>40802</v>
      </c>
      <c r="B427" s="17">
        <v>4.8311681010000003</v>
      </c>
      <c r="C427" s="18"/>
      <c r="D427" s="19"/>
    </row>
    <row r="428" spans="1:4" ht="14">
      <c r="A428" s="16">
        <v>40803</v>
      </c>
      <c r="B428" s="17">
        <v>4.7752856350000004</v>
      </c>
      <c r="C428" s="18"/>
      <c r="D428" s="19"/>
    </row>
    <row r="429" spans="1:4" ht="14">
      <c r="A429" s="16">
        <v>40804</v>
      </c>
      <c r="B429" s="17">
        <v>5.2367322779999999</v>
      </c>
      <c r="C429" s="18"/>
      <c r="D429" s="19"/>
    </row>
    <row r="430" spans="1:4" ht="14">
      <c r="A430" s="16">
        <v>40805</v>
      </c>
      <c r="B430" s="17">
        <v>5.5203766920000001</v>
      </c>
      <c r="C430" s="18"/>
      <c r="D430" s="19"/>
    </row>
    <row r="431" spans="1:4" ht="14">
      <c r="A431" s="16">
        <v>40806</v>
      </c>
      <c r="B431" s="17">
        <v>6.146665552</v>
      </c>
      <c r="C431" s="18"/>
      <c r="D431" s="19"/>
    </row>
    <row r="432" spans="1:4" ht="14">
      <c r="A432" s="16">
        <v>40807</v>
      </c>
      <c r="B432" s="17">
        <v>5.5970674980000004</v>
      </c>
      <c r="C432" s="18"/>
      <c r="D432" s="19"/>
    </row>
    <row r="433" spans="1:4" ht="14">
      <c r="A433" s="16">
        <v>40808</v>
      </c>
      <c r="B433" s="17">
        <v>5.4750487769999996</v>
      </c>
      <c r="C433" s="18"/>
      <c r="D433" s="19"/>
    </row>
    <row r="434" spans="1:4" ht="14">
      <c r="A434" s="16">
        <v>40809</v>
      </c>
      <c r="B434" s="17">
        <v>5.5634214200000001</v>
      </c>
      <c r="C434" s="18"/>
      <c r="D434" s="19"/>
    </row>
    <row r="435" spans="1:4" ht="14">
      <c r="A435" s="16">
        <v>40810</v>
      </c>
      <c r="B435" s="17">
        <v>5.4578896869999998</v>
      </c>
      <c r="C435" s="18"/>
      <c r="D435" s="19"/>
    </row>
    <row r="436" spans="1:4" ht="14">
      <c r="A436" s="16">
        <v>40811</v>
      </c>
      <c r="B436" s="17">
        <v>5.3411548809999996</v>
      </c>
      <c r="C436" s="18"/>
      <c r="D436" s="19"/>
    </row>
    <row r="437" spans="1:4" ht="14">
      <c r="A437" s="16">
        <v>40812</v>
      </c>
      <c r="B437" s="17">
        <v>4.8738260809999998</v>
      </c>
      <c r="C437" s="18"/>
      <c r="D437" s="19"/>
    </row>
    <row r="438" spans="1:4" ht="14">
      <c r="A438" s="16">
        <v>40813</v>
      </c>
      <c r="B438" s="17">
        <v>4.9111577930000001</v>
      </c>
      <c r="C438" s="18"/>
      <c r="D438" s="19"/>
    </row>
    <row r="439" spans="1:4" ht="14">
      <c r="A439" s="16">
        <v>40814</v>
      </c>
      <c r="B439" s="17">
        <v>4.7634153210000001</v>
      </c>
      <c r="C439" s="18"/>
      <c r="D439" s="19"/>
    </row>
    <row r="440" spans="1:4" ht="14">
      <c r="A440" s="16">
        <v>40815</v>
      </c>
      <c r="B440" s="17">
        <v>4.7776609780000001</v>
      </c>
      <c r="C440" s="18"/>
      <c r="D440" s="19"/>
    </row>
    <row r="441" spans="1:4" ht="14">
      <c r="A441" s="16">
        <v>40816</v>
      </c>
      <c r="B441" s="17">
        <v>5.1436859100000003</v>
      </c>
      <c r="C441" s="18"/>
      <c r="D441" s="19"/>
    </row>
    <row r="442" spans="1:4" ht="14">
      <c r="A442" s="16">
        <v>40817</v>
      </c>
      <c r="B442" s="17">
        <v>5.0340705449999996</v>
      </c>
      <c r="C442" s="18"/>
      <c r="D442" s="19"/>
    </row>
    <row r="443" spans="1:4" ht="14">
      <c r="A443" s="16">
        <v>40818</v>
      </c>
      <c r="B443" s="17">
        <v>5.007062597</v>
      </c>
      <c r="C443" s="18"/>
      <c r="D443" s="19"/>
    </row>
    <row r="444" spans="1:4" ht="14">
      <c r="A444" s="16">
        <v>40819</v>
      </c>
      <c r="B444" s="17">
        <v>5.0228448600000002</v>
      </c>
      <c r="C444" s="18"/>
      <c r="D444" s="19"/>
    </row>
    <row r="445" spans="1:4" ht="14">
      <c r="A445" s="16">
        <v>40820</v>
      </c>
      <c r="B445" s="17">
        <v>4.956805621</v>
      </c>
      <c r="C445" s="18"/>
      <c r="D445" s="19"/>
    </row>
    <row r="446" spans="1:4" ht="14">
      <c r="A446" s="16">
        <v>40821</v>
      </c>
      <c r="B446" s="17">
        <v>4.8850671309999996</v>
      </c>
      <c r="C446" s="18"/>
      <c r="D446" s="19"/>
    </row>
    <row r="447" spans="1:4" ht="14">
      <c r="A447" s="16">
        <v>40822</v>
      </c>
      <c r="B447" s="17">
        <v>4.7301662960000002</v>
      </c>
      <c r="C447" s="18"/>
      <c r="D447" s="19"/>
    </row>
    <row r="448" spans="1:4" ht="14">
      <c r="A448" s="16">
        <v>40823</v>
      </c>
      <c r="B448" s="17">
        <v>4.2760357569999998</v>
      </c>
      <c r="C448" s="18"/>
      <c r="D448" s="19"/>
    </row>
    <row r="449" spans="1:4" ht="14">
      <c r="A449" s="16">
        <v>40824</v>
      </c>
      <c r="B449" s="17">
        <v>3.9812529940000001</v>
      </c>
      <c r="C449" s="18"/>
      <c r="D449" s="19"/>
    </row>
    <row r="450" spans="1:4" ht="14">
      <c r="A450" s="16">
        <v>40825</v>
      </c>
      <c r="B450" s="17">
        <v>4.1116346430000004</v>
      </c>
      <c r="C450" s="18"/>
      <c r="D450" s="19"/>
    </row>
    <row r="451" spans="1:4" ht="14">
      <c r="A451" s="16">
        <v>40826</v>
      </c>
      <c r="B451" s="17">
        <v>4.0749624840000003</v>
      </c>
      <c r="C451" s="18"/>
      <c r="D451" s="19"/>
    </row>
    <row r="452" spans="1:4" ht="14">
      <c r="A452" s="16">
        <v>40827</v>
      </c>
      <c r="B452" s="17">
        <v>4.0089244959999997</v>
      </c>
      <c r="C452" s="18"/>
      <c r="D452" s="19"/>
    </row>
    <row r="453" spans="1:4" ht="14">
      <c r="A453" s="16">
        <v>40828</v>
      </c>
      <c r="B453" s="17">
        <v>4.1662353420000002</v>
      </c>
      <c r="C453" s="18"/>
      <c r="D453" s="19"/>
    </row>
    <row r="454" spans="1:4" ht="14">
      <c r="A454" s="16">
        <v>40829</v>
      </c>
      <c r="B454" s="17">
        <v>4.0369810900000003</v>
      </c>
      <c r="C454" s="18"/>
      <c r="D454" s="19"/>
    </row>
    <row r="455" spans="1:4" ht="14">
      <c r="A455" s="16">
        <v>40830</v>
      </c>
      <c r="B455" s="17">
        <v>3.9862808850000002</v>
      </c>
      <c r="C455" s="18"/>
      <c r="D455" s="19"/>
    </row>
    <row r="456" spans="1:4" ht="14">
      <c r="A456" s="16">
        <v>40831</v>
      </c>
      <c r="B456" s="17">
        <v>3.8373385600000001</v>
      </c>
      <c r="C456" s="18"/>
      <c r="D456" s="19"/>
    </row>
    <row r="457" spans="1:4" ht="14">
      <c r="A457" s="16">
        <v>40832</v>
      </c>
      <c r="B457" s="17">
        <v>3.6097417169999999</v>
      </c>
      <c r="C457" s="18"/>
      <c r="D457" s="19"/>
    </row>
    <row r="458" spans="1:4" ht="14">
      <c r="A458" s="16">
        <v>40833</v>
      </c>
      <c r="B458" s="17">
        <v>2.5812467219999999</v>
      </c>
      <c r="C458" s="18"/>
      <c r="D458" s="19"/>
    </row>
    <row r="459" spans="1:4" ht="14">
      <c r="A459" s="16">
        <v>40834</v>
      </c>
      <c r="B459" s="17">
        <v>2.422274738</v>
      </c>
      <c r="C459" s="18"/>
      <c r="D459" s="19"/>
    </row>
    <row r="460" spans="1:4" ht="14">
      <c r="A460" s="16">
        <v>40835</v>
      </c>
      <c r="B460" s="17">
        <v>2.217254713</v>
      </c>
      <c r="C460" s="18"/>
      <c r="D460" s="19"/>
    </row>
    <row r="461" spans="1:4" ht="14">
      <c r="A461" s="16">
        <v>40836</v>
      </c>
      <c r="B461" s="17">
        <v>2.356123508</v>
      </c>
      <c r="C461" s="18"/>
      <c r="D461" s="19"/>
    </row>
    <row r="462" spans="1:4" ht="14">
      <c r="A462" s="16">
        <v>40837</v>
      </c>
      <c r="B462" s="17">
        <v>2.5700923050000002</v>
      </c>
      <c r="C462" s="18"/>
      <c r="D462" s="19"/>
    </row>
    <row r="463" spans="1:4" ht="14">
      <c r="A463" s="16">
        <v>40838</v>
      </c>
      <c r="B463" s="17">
        <v>3.1554861390000002</v>
      </c>
      <c r="C463" s="18"/>
      <c r="D463" s="19"/>
    </row>
    <row r="464" spans="1:4" ht="14">
      <c r="A464" s="16">
        <v>40839</v>
      </c>
      <c r="B464" s="17">
        <v>3.1477509299999999</v>
      </c>
      <c r="C464" s="18"/>
      <c r="D464" s="19"/>
    </row>
    <row r="465" spans="1:4" ht="14">
      <c r="A465" s="16">
        <v>40840</v>
      </c>
      <c r="B465" s="17">
        <v>2.5229359979999999</v>
      </c>
      <c r="C465" s="18"/>
      <c r="D465" s="19"/>
    </row>
    <row r="466" spans="1:4" ht="14">
      <c r="A466" s="16">
        <v>40841</v>
      </c>
      <c r="B466" s="17">
        <v>2.8019238309999999</v>
      </c>
      <c r="C466" s="18"/>
      <c r="D466" s="19"/>
    </row>
    <row r="467" spans="1:4" ht="14">
      <c r="A467" s="16">
        <v>40842</v>
      </c>
      <c r="B467" s="17">
        <v>2.7775052389999999</v>
      </c>
      <c r="C467" s="18"/>
      <c r="D467" s="19"/>
    </row>
    <row r="468" spans="1:4" ht="14">
      <c r="A468" s="16">
        <v>40843</v>
      </c>
      <c r="B468" s="17">
        <v>3.0454078280000001</v>
      </c>
      <c r="C468" s="18"/>
      <c r="D468" s="19"/>
    </row>
    <row r="469" spans="1:4" ht="14">
      <c r="A469" s="16">
        <v>40844</v>
      </c>
      <c r="B469" s="17">
        <v>3.1796394370000001</v>
      </c>
      <c r="C469" s="18"/>
      <c r="D469" s="19"/>
    </row>
    <row r="470" spans="1:4" ht="14">
      <c r="A470" s="16">
        <v>40845</v>
      </c>
      <c r="B470" s="17">
        <v>3.5691889689999998</v>
      </c>
      <c r="C470" s="18"/>
      <c r="D470" s="19"/>
    </row>
    <row r="471" spans="1:4" ht="14">
      <c r="A471" s="16">
        <v>40846</v>
      </c>
      <c r="B471" s="17">
        <v>3.2574037229999999</v>
      </c>
      <c r="C471" s="18"/>
      <c r="D471" s="19"/>
    </row>
    <row r="472" spans="1:4" ht="14">
      <c r="A472" s="16">
        <v>40847</v>
      </c>
      <c r="B472" s="17">
        <v>3.2650982129999999</v>
      </c>
      <c r="C472" s="18"/>
      <c r="D472" s="19"/>
    </row>
    <row r="473" spans="1:4" ht="14">
      <c r="A473" s="16">
        <v>40848</v>
      </c>
      <c r="B473" s="17">
        <v>3.1710077430000001</v>
      </c>
      <c r="C473" s="18"/>
      <c r="D473" s="19"/>
    </row>
    <row r="474" spans="1:4" ht="14">
      <c r="A474" s="16">
        <v>40849</v>
      </c>
      <c r="B474" s="17">
        <v>3.2558005670000001</v>
      </c>
      <c r="C474" s="18"/>
      <c r="D474" s="19"/>
    </row>
    <row r="475" spans="1:4" ht="14">
      <c r="A475" s="16">
        <v>40850</v>
      </c>
      <c r="B475" s="17">
        <v>3.1683163849999998</v>
      </c>
      <c r="C475" s="18"/>
      <c r="D475" s="19"/>
    </row>
    <row r="476" spans="1:4" ht="14">
      <c r="A476" s="16">
        <v>40851</v>
      </c>
      <c r="B476" s="17">
        <v>3.1201181720000002</v>
      </c>
      <c r="C476" s="18"/>
      <c r="D476" s="19"/>
    </row>
    <row r="477" spans="1:4" ht="14">
      <c r="A477" s="16">
        <v>40852</v>
      </c>
      <c r="B477" s="17">
        <v>2.9778175980000001</v>
      </c>
      <c r="C477" s="18"/>
      <c r="D477" s="19"/>
    </row>
    <row r="478" spans="1:4" ht="14">
      <c r="A478" s="16">
        <v>40853</v>
      </c>
      <c r="B478" s="17">
        <v>2.9627205769999998</v>
      </c>
      <c r="C478" s="18"/>
      <c r="D478" s="19"/>
    </row>
    <row r="479" spans="1:4" ht="14">
      <c r="A479" s="16">
        <v>40854</v>
      </c>
      <c r="B479" s="17">
        <v>3.017757687</v>
      </c>
      <c r="C479" s="18"/>
      <c r="D479" s="19"/>
    </row>
    <row r="480" spans="1:4" ht="14">
      <c r="A480" s="16">
        <v>40855</v>
      </c>
      <c r="B480" s="17">
        <v>3.0565671110000001</v>
      </c>
      <c r="C480" s="18"/>
      <c r="D480" s="19"/>
    </row>
    <row r="481" spans="1:4" ht="14">
      <c r="A481" s="16">
        <v>40856</v>
      </c>
      <c r="B481" s="17">
        <v>2.9195672240000001</v>
      </c>
      <c r="C481" s="18"/>
      <c r="D481" s="19"/>
    </row>
    <row r="482" spans="1:4" ht="14">
      <c r="A482" s="16">
        <v>40857</v>
      </c>
      <c r="B482" s="17">
        <v>2.8567020849999998</v>
      </c>
      <c r="C482" s="18"/>
      <c r="D482" s="19"/>
    </row>
    <row r="483" spans="1:4" ht="14">
      <c r="A483" s="16">
        <v>40858</v>
      </c>
      <c r="B483" s="17">
        <v>3.067861733</v>
      </c>
      <c r="C483" s="18"/>
      <c r="D483" s="19"/>
    </row>
    <row r="484" spans="1:4" ht="14">
      <c r="A484" s="16">
        <v>40859</v>
      </c>
      <c r="B484" s="17">
        <v>3.0255229959999999</v>
      </c>
      <c r="C484" s="18"/>
      <c r="D484" s="19"/>
    </row>
    <row r="485" spans="1:4" ht="14">
      <c r="A485" s="16">
        <v>40860</v>
      </c>
      <c r="B485" s="17">
        <v>2.9863733030000001</v>
      </c>
      <c r="C485" s="18"/>
      <c r="D485" s="19"/>
    </row>
    <row r="486" spans="1:4" ht="14">
      <c r="A486" s="16">
        <v>40861</v>
      </c>
      <c r="B486" s="17">
        <v>2.2242244640000002</v>
      </c>
      <c r="C486" s="18"/>
      <c r="D486" s="19"/>
    </row>
    <row r="487" spans="1:4" ht="14">
      <c r="A487" s="16">
        <v>40862</v>
      </c>
      <c r="B487" s="17">
        <v>2.3223841159999998</v>
      </c>
      <c r="C487" s="18"/>
      <c r="D487" s="19"/>
    </row>
    <row r="488" spans="1:4" ht="14">
      <c r="A488" s="16">
        <v>40863</v>
      </c>
      <c r="B488" s="17">
        <v>2.5467809309999998</v>
      </c>
      <c r="C488" s="18"/>
      <c r="D488" s="19"/>
    </row>
    <row r="489" spans="1:4" ht="14">
      <c r="A489" s="16">
        <v>40864</v>
      </c>
      <c r="B489" s="17">
        <v>2.2790958360000002</v>
      </c>
      <c r="C489" s="18"/>
      <c r="D489" s="19"/>
    </row>
    <row r="490" spans="1:4" ht="14">
      <c r="A490" s="16">
        <v>40865</v>
      </c>
      <c r="B490" s="17">
        <v>2.1050660030000001</v>
      </c>
      <c r="C490" s="18"/>
      <c r="D490" s="19"/>
    </row>
    <row r="491" spans="1:4" ht="14">
      <c r="A491" s="16">
        <v>40866</v>
      </c>
      <c r="B491" s="17">
        <v>2.2034567219999999</v>
      </c>
      <c r="C491" s="18"/>
      <c r="D491" s="19"/>
    </row>
    <row r="492" spans="1:4" ht="14">
      <c r="A492" s="16">
        <v>40867</v>
      </c>
      <c r="B492" s="17">
        <v>2.2019895100000002</v>
      </c>
      <c r="C492" s="18"/>
      <c r="D492" s="19"/>
    </row>
    <row r="493" spans="1:4" ht="14">
      <c r="A493" s="16">
        <v>40868</v>
      </c>
      <c r="B493" s="17">
        <v>2.2798791650000001</v>
      </c>
      <c r="C493" s="18"/>
      <c r="D493" s="19"/>
    </row>
    <row r="494" spans="1:4" ht="14">
      <c r="A494" s="16">
        <v>40869</v>
      </c>
      <c r="B494" s="17">
        <v>2.3224585960000002</v>
      </c>
      <c r="C494" s="18"/>
      <c r="D494" s="19"/>
    </row>
    <row r="495" spans="1:4" ht="14">
      <c r="A495" s="16">
        <v>40870</v>
      </c>
      <c r="B495" s="17">
        <v>2.3303235679999998</v>
      </c>
      <c r="C495" s="18"/>
      <c r="D495" s="19"/>
    </row>
    <row r="496" spans="1:4" ht="14">
      <c r="A496" s="16">
        <v>40871</v>
      </c>
      <c r="B496" s="17">
        <v>2.438879</v>
      </c>
      <c r="C496" s="18"/>
      <c r="D496" s="19"/>
    </row>
    <row r="497" spans="1:4" ht="14">
      <c r="A497" s="16">
        <v>40872</v>
      </c>
      <c r="B497" s="17">
        <v>2.4961610030000001</v>
      </c>
      <c r="C497" s="18"/>
      <c r="D497" s="19"/>
    </row>
    <row r="498" spans="1:4" ht="14">
      <c r="A498" s="16">
        <v>40873</v>
      </c>
      <c r="B498" s="17">
        <v>2.4717999690000001</v>
      </c>
      <c r="C498" s="18"/>
      <c r="D498" s="19"/>
    </row>
    <row r="499" spans="1:4" ht="14">
      <c r="A499" s="16">
        <v>40874</v>
      </c>
      <c r="B499" s="17">
        <v>2.4775649510000002</v>
      </c>
      <c r="C499" s="18"/>
      <c r="D499" s="19"/>
    </row>
    <row r="500" spans="1:4" ht="14">
      <c r="A500" s="16">
        <v>40875</v>
      </c>
      <c r="B500" s="17">
        <v>2.5412402520000001</v>
      </c>
      <c r="C500" s="18"/>
      <c r="D500" s="19"/>
    </row>
    <row r="501" spans="1:4" ht="14">
      <c r="A501" s="16">
        <v>40876</v>
      </c>
      <c r="B501" s="17">
        <v>2.757698483</v>
      </c>
      <c r="C501" s="18"/>
      <c r="D501" s="19"/>
    </row>
    <row r="502" spans="1:4" ht="14">
      <c r="A502" s="16">
        <v>40877</v>
      </c>
      <c r="B502" s="17">
        <v>2.966041546</v>
      </c>
      <c r="C502" s="18"/>
      <c r="D502" s="19"/>
    </row>
    <row r="503" spans="1:4" ht="14">
      <c r="A503" s="16">
        <v>40878</v>
      </c>
      <c r="B503" s="17">
        <v>3.08258945</v>
      </c>
      <c r="C503" s="18"/>
      <c r="D503" s="19"/>
    </row>
    <row r="504" spans="1:4" ht="14">
      <c r="A504" s="16">
        <v>40879</v>
      </c>
      <c r="B504" s="17">
        <v>3.1004023329999999</v>
      </c>
      <c r="C504" s="18"/>
      <c r="D504" s="19"/>
    </row>
    <row r="505" spans="1:4" ht="14">
      <c r="A505" s="16">
        <v>40880</v>
      </c>
      <c r="B505" s="17">
        <v>2.8038561849999999</v>
      </c>
      <c r="C505" s="18"/>
      <c r="D505" s="19"/>
    </row>
    <row r="506" spans="1:4" ht="14">
      <c r="A506" s="16">
        <v>40881</v>
      </c>
      <c r="B506" s="17">
        <v>2.8196939759999999</v>
      </c>
      <c r="C506" s="18"/>
      <c r="D506" s="19"/>
    </row>
    <row r="507" spans="1:4" ht="14">
      <c r="A507" s="16">
        <v>40882</v>
      </c>
      <c r="B507" s="17">
        <v>2.874796227</v>
      </c>
      <c r="C507" s="18"/>
      <c r="D507" s="19"/>
    </row>
    <row r="508" spans="1:4" ht="14">
      <c r="A508" s="16">
        <v>40883</v>
      </c>
      <c r="B508" s="17">
        <v>3.0253604510000001</v>
      </c>
      <c r="C508" s="18"/>
      <c r="D508" s="19"/>
    </row>
    <row r="509" spans="1:4" ht="14">
      <c r="A509" s="16">
        <v>40884</v>
      </c>
      <c r="B509" s="17">
        <v>2.9855024210000001</v>
      </c>
      <c r="C509" s="18"/>
      <c r="D509" s="19"/>
    </row>
    <row r="510" spans="1:4" ht="14">
      <c r="A510" s="16">
        <v>40885</v>
      </c>
      <c r="B510" s="17">
        <v>2.9918804830000001</v>
      </c>
      <c r="C510" s="18"/>
      <c r="D510" s="19"/>
    </row>
    <row r="511" spans="1:4" ht="14">
      <c r="A511" s="16">
        <v>40886</v>
      </c>
      <c r="B511" s="17">
        <v>2.9557919519999998</v>
      </c>
      <c r="C511" s="18"/>
      <c r="D511" s="19"/>
    </row>
    <row r="512" spans="1:4" ht="14">
      <c r="A512" s="16">
        <v>40887</v>
      </c>
      <c r="B512" s="17">
        <v>3.0689752669999999</v>
      </c>
      <c r="C512" s="18"/>
      <c r="D512" s="19"/>
    </row>
    <row r="513" spans="1:4" ht="14">
      <c r="A513" s="16">
        <v>40888</v>
      </c>
      <c r="B513" s="17">
        <v>3.2492688470000002</v>
      </c>
      <c r="C513" s="18"/>
      <c r="D513" s="19"/>
    </row>
    <row r="514" spans="1:4" ht="14">
      <c r="A514" s="16">
        <v>40889</v>
      </c>
      <c r="B514" s="17">
        <v>3.1873353569999998</v>
      </c>
      <c r="C514" s="18"/>
      <c r="D514" s="19"/>
    </row>
    <row r="515" spans="1:4" ht="14">
      <c r="A515" s="16">
        <v>40890</v>
      </c>
      <c r="B515" s="17">
        <v>3.2410884090000001</v>
      </c>
      <c r="C515" s="18"/>
      <c r="D515" s="19"/>
    </row>
    <row r="516" spans="1:4" ht="14">
      <c r="A516" s="16">
        <v>40891</v>
      </c>
      <c r="B516" s="17">
        <v>3.1550865039999998</v>
      </c>
      <c r="C516" s="18"/>
      <c r="D516" s="19"/>
    </row>
    <row r="517" spans="1:4" ht="14">
      <c r="A517" s="16">
        <v>40892</v>
      </c>
      <c r="B517" s="17">
        <v>3.203138541</v>
      </c>
      <c r="C517" s="18"/>
      <c r="D517" s="19"/>
    </row>
    <row r="518" spans="1:4" ht="14">
      <c r="A518" s="16">
        <v>40893</v>
      </c>
      <c r="B518" s="17">
        <v>3.209137777</v>
      </c>
      <c r="C518" s="18"/>
      <c r="D518" s="19"/>
    </row>
    <row r="519" spans="1:4" ht="14">
      <c r="A519" s="16">
        <v>40894</v>
      </c>
      <c r="B519" s="17">
        <v>3.1925417039999999</v>
      </c>
      <c r="C519" s="18"/>
      <c r="D519" s="19"/>
    </row>
    <row r="520" spans="1:4" ht="14">
      <c r="A520" s="16">
        <v>40895</v>
      </c>
      <c r="B520" s="17">
        <v>3.1940108089999999</v>
      </c>
      <c r="C520" s="18"/>
      <c r="D520" s="19"/>
    </row>
    <row r="521" spans="1:4" ht="14">
      <c r="A521" s="16">
        <v>40896</v>
      </c>
      <c r="B521" s="17">
        <v>3.5257739190000001</v>
      </c>
      <c r="C521" s="18"/>
      <c r="D521" s="19"/>
    </row>
    <row r="522" spans="1:4" ht="14">
      <c r="A522" s="16">
        <v>40897</v>
      </c>
      <c r="B522" s="17">
        <v>3.952550827</v>
      </c>
      <c r="C522" s="18"/>
      <c r="D522" s="19"/>
    </row>
    <row r="523" spans="1:4" ht="14">
      <c r="A523" s="16">
        <v>40898</v>
      </c>
      <c r="B523" s="17">
        <v>3.888993251</v>
      </c>
      <c r="C523" s="18"/>
      <c r="D523" s="19"/>
    </row>
    <row r="524" spans="1:4" ht="14">
      <c r="A524" s="16">
        <v>40899</v>
      </c>
      <c r="B524" s="17">
        <v>3.9030604210000002</v>
      </c>
      <c r="C524" s="18"/>
      <c r="D524" s="19"/>
    </row>
    <row r="525" spans="1:4" ht="14">
      <c r="A525" s="16">
        <v>40900</v>
      </c>
      <c r="B525" s="17">
        <v>3.9379650759999998</v>
      </c>
      <c r="C525" s="18"/>
      <c r="D525" s="19"/>
    </row>
    <row r="526" spans="1:4" ht="14">
      <c r="A526" s="16">
        <v>40901</v>
      </c>
      <c r="B526" s="17">
        <v>3.9394191190000001</v>
      </c>
      <c r="C526" s="18"/>
      <c r="D526" s="19"/>
    </row>
    <row r="527" spans="1:4" ht="14">
      <c r="A527" s="16">
        <v>40902</v>
      </c>
      <c r="B527" s="17">
        <v>4.2338668779999997</v>
      </c>
      <c r="C527" s="18"/>
      <c r="D527" s="19"/>
    </row>
    <row r="528" spans="1:4" ht="14">
      <c r="A528" s="16">
        <v>40903</v>
      </c>
      <c r="B528" s="17">
        <v>3.999121964</v>
      </c>
      <c r="C528" s="18"/>
      <c r="D528" s="19"/>
    </row>
    <row r="529" spans="1:4" ht="14">
      <c r="A529" s="16">
        <v>40904</v>
      </c>
      <c r="B529" s="17">
        <v>4.0955185460000001</v>
      </c>
      <c r="C529" s="18"/>
      <c r="D529" s="19"/>
    </row>
    <row r="530" spans="1:4" ht="14">
      <c r="A530" s="16">
        <v>40905</v>
      </c>
      <c r="B530" s="17">
        <v>4.2072958759999999</v>
      </c>
      <c r="C530" s="18"/>
      <c r="D530" s="19"/>
    </row>
    <row r="531" spans="1:4" ht="14">
      <c r="A531" s="16">
        <v>40906</v>
      </c>
      <c r="B531" s="17">
        <v>4.1733522269999996</v>
      </c>
      <c r="C531" s="18"/>
      <c r="D531" s="19"/>
    </row>
    <row r="532" spans="1:4" ht="14">
      <c r="A532" s="16">
        <v>40907</v>
      </c>
      <c r="B532" s="17">
        <v>4.3106350899999999</v>
      </c>
      <c r="C532" s="18"/>
      <c r="D532" s="19"/>
    </row>
    <row r="533" spans="1:4" ht="14">
      <c r="A533" s="16">
        <v>40908</v>
      </c>
      <c r="B533" s="17">
        <v>4.7143063310000004</v>
      </c>
      <c r="C533" s="18"/>
      <c r="D533" s="19"/>
    </row>
    <row r="534" spans="1:4" ht="14">
      <c r="A534" s="16">
        <v>40909</v>
      </c>
      <c r="B534" s="17">
        <v>5.2948427770000004</v>
      </c>
      <c r="C534" s="18"/>
      <c r="D534" s="19"/>
    </row>
    <row r="535" spans="1:4" ht="14">
      <c r="A535" s="16">
        <v>40910</v>
      </c>
      <c r="B535" s="17">
        <v>5.2048778919999998</v>
      </c>
      <c r="C535" s="18"/>
      <c r="D535" s="19"/>
    </row>
    <row r="536" spans="1:4" ht="14">
      <c r="A536" s="16">
        <v>40911</v>
      </c>
      <c r="B536" s="17">
        <v>4.8705088290000003</v>
      </c>
      <c r="C536" s="18"/>
      <c r="D536" s="19"/>
    </row>
    <row r="537" spans="1:4" ht="14">
      <c r="A537" s="16">
        <v>40912</v>
      </c>
      <c r="B537" s="17">
        <v>5.5857062669999999</v>
      </c>
      <c r="C537" s="18"/>
      <c r="D537" s="19"/>
    </row>
    <row r="538" spans="1:4" ht="14">
      <c r="A538" s="16">
        <v>40913</v>
      </c>
      <c r="B538" s="17">
        <v>6.8740008770000003</v>
      </c>
      <c r="C538" s="18"/>
      <c r="D538" s="19"/>
    </row>
    <row r="539" spans="1:4" ht="14">
      <c r="A539" s="16">
        <v>40914</v>
      </c>
      <c r="B539" s="17">
        <v>6.6833166400000001</v>
      </c>
      <c r="C539" s="18"/>
      <c r="D539" s="19"/>
    </row>
    <row r="540" spans="1:4" ht="14">
      <c r="A540" s="16">
        <v>40915</v>
      </c>
      <c r="B540" s="17">
        <v>6.7962279810000004</v>
      </c>
      <c r="C540" s="18"/>
      <c r="D540" s="19"/>
    </row>
    <row r="541" spans="1:4" ht="14">
      <c r="A541" s="16">
        <v>40916</v>
      </c>
      <c r="B541" s="17">
        <v>7.0966505660000001</v>
      </c>
      <c r="C541" s="18"/>
      <c r="D541" s="19"/>
    </row>
    <row r="542" spans="1:4" ht="14">
      <c r="A542" s="16">
        <v>40917</v>
      </c>
      <c r="B542" s="17">
        <v>6.2885383419999998</v>
      </c>
      <c r="C542" s="18"/>
      <c r="D542" s="19"/>
    </row>
    <row r="543" spans="1:4" ht="14">
      <c r="A543" s="16">
        <v>40918</v>
      </c>
      <c r="B543" s="17">
        <v>6.5284745549999998</v>
      </c>
      <c r="C543" s="18"/>
      <c r="D543" s="19"/>
    </row>
    <row r="544" spans="1:4" ht="14">
      <c r="A544" s="16">
        <v>40919</v>
      </c>
      <c r="B544" s="17">
        <v>6.8891277210000004</v>
      </c>
      <c r="C544" s="18"/>
      <c r="D544" s="19"/>
    </row>
    <row r="545" spans="1:4" ht="14">
      <c r="A545" s="16">
        <v>40920</v>
      </c>
      <c r="B545" s="17">
        <v>6.7735641959999997</v>
      </c>
      <c r="C545" s="18"/>
      <c r="D545" s="19"/>
    </row>
    <row r="546" spans="1:4" ht="14">
      <c r="A546" s="16">
        <v>40921</v>
      </c>
      <c r="B546" s="17">
        <v>6.4543688899999996</v>
      </c>
      <c r="C546" s="18"/>
      <c r="D546" s="19"/>
    </row>
    <row r="547" spans="1:4" ht="14">
      <c r="A547" s="16">
        <v>40922</v>
      </c>
      <c r="B547" s="17">
        <v>6.7617271429999999</v>
      </c>
      <c r="C547" s="18"/>
      <c r="D547" s="19"/>
    </row>
    <row r="548" spans="1:4" ht="14">
      <c r="A548" s="16">
        <v>40923</v>
      </c>
      <c r="B548" s="17">
        <v>7.0469225580000003</v>
      </c>
      <c r="C548" s="18"/>
      <c r="D548" s="19"/>
    </row>
    <row r="549" spans="1:4" ht="14">
      <c r="A549" s="16">
        <v>40924</v>
      </c>
      <c r="B549" s="17">
        <v>6.7156076669999996</v>
      </c>
      <c r="C549" s="18"/>
      <c r="D549" s="19"/>
    </row>
    <row r="550" spans="1:4" ht="14">
      <c r="A550" s="16">
        <v>40925</v>
      </c>
      <c r="B550" s="17">
        <v>5.5996219500000004</v>
      </c>
      <c r="C550" s="18"/>
      <c r="D550" s="19"/>
    </row>
    <row r="551" spans="1:4" ht="14">
      <c r="A551" s="16">
        <v>40926</v>
      </c>
      <c r="B551" s="17">
        <v>5.9002312879999996</v>
      </c>
      <c r="C551" s="18"/>
      <c r="D551" s="19"/>
    </row>
    <row r="552" spans="1:4" ht="14">
      <c r="A552" s="16">
        <v>40927</v>
      </c>
      <c r="B552" s="17">
        <v>6.3157063420000004</v>
      </c>
      <c r="C552" s="18"/>
      <c r="D552" s="19"/>
    </row>
    <row r="553" spans="1:4" ht="14">
      <c r="A553" s="16">
        <v>40928</v>
      </c>
      <c r="B553" s="17">
        <v>6.5014919879999997</v>
      </c>
      <c r="C553" s="18"/>
      <c r="D553" s="19"/>
    </row>
    <row r="554" spans="1:4" ht="14">
      <c r="A554" s="16">
        <v>40929</v>
      </c>
      <c r="B554" s="17">
        <v>6.1805683260000004</v>
      </c>
      <c r="C554" s="18"/>
      <c r="D554" s="19"/>
    </row>
    <row r="555" spans="1:4" ht="14">
      <c r="A555" s="16">
        <v>40930</v>
      </c>
      <c r="B555" s="17">
        <v>6.3029672269999999</v>
      </c>
      <c r="C555" s="18"/>
      <c r="D555" s="19"/>
    </row>
    <row r="556" spans="1:4" ht="14">
      <c r="A556" s="16">
        <v>40931</v>
      </c>
      <c r="B556" s="17">
        <v>6.3748760769999997</v>
      </c>
      <c r="C556" s="18"/>
      <c r="D556" s="19"/>
    </row>
    <row r="557" spans="1:4" ht="14">
      <c r="A557" s="16">
        <v>40932</v>
      </c>
      <c r="B557" s="17">
        <v>6.2744764760000002</v>
      </c>
      <c r="C557" s="18"/>
      <c r="D557" s="19"/>
    </row>
    <row r="558" spans="1:4" ht="14">
      <c r="A558" s="16">
        <v>40933</v>
      </c>
      <c r="B558" s="17">
        <v>5.8104650720000004</v>
      </c>
      <c r="C558" s="18"/>
      <c r="D558" s="19"/>
    </row>
    <row r="559" spans="1:4" ht="14">
      <c r="A559" s="16">
        <v>40934</v>
      </c>
      <c r="B559" s="17">
        <v>5.3672269540000004</v>
      </c>
      <c r="C559" s="18"/>
      <c r="D559" s="19"/>
    </row>
    <row r="560" spans="1:4" ht="14">
      <c r="A560" s="16">
        <v>40935</v>
      </c>
      <c r="B560" s="17">
        <v>5.3031371969999999</v>
      </c>
      <c r="C560" s="18"/>
      <c r="D560" s="19"/>
    </row>
    <row r="561" spans="1:4" ht="14">
      <c r="A561" s="16">
        <v>40936</v>
      </c>
      <c r="B561" s="17">
        <v>5.6597967750000002</v>
      </c>
      <c r="C561" s="18"/>
      <c r="D561" s="19"/>
    </row>
    <row r="562" spans="1:4" ht="14">
      <c r="A562" s="16">
        <v>40937</v>
      </c>
      <c r="B562" s="17">
        <v>5.3914294570000001</v>
      </c>
      <c r="C562" s="18"/>
      <c r="D562" s="19"/>
    </row>
    <row r="563" spans="1:4" ht="14">
      <c r="A563" s="16">
        <v>40938</v>
      </c>
      <c r="B563" s="17">
        <v>5.5034819390000003</v>
      </c>
      <c r="C563" s="18"/>
      <c r="D563" s="19"/>
    </row>
    <row r="564" spans="1:4" ht="14">
      <c r="A564" s="16">
        <v>40939</v>
      </c>
      <c r="B564" s="17">
        <v>5.5382202960000004</v>
      </c>
      <c r="C564" s="18"/>
      <c r="D564" s="19"/>
    </row>
    <row r="565" spans="1:4" ht="14">
      <c r="A565" s="16">
        <v>40940</v>
      </c>
      <c r="B565" s="17">
        <v>6.0752326520000004</v>
      </c>
      <c r="C565" s="18"/>
      <c r="D565" s="19"/>
    </row>
    <row r="566" spans="1:4" ht="14">
      <c r="A566" s="16">
        <v>40941</v>
      </c>
      <c r="B566" s="17">
        <v>6.0995729130000003</v>
      </c>
      <c r="C566" s="18"/>
      <c r="D566" s="19"/>
    </row>
    <row r="567" spans="1:4" ht="14">
      <c r="A567" s="16">
        <v>40942</v>
      </c>
      <c r="B567" s="17">
        <v>5.951610928</v>
      </c>
      <c r="C567" s="18"/>
      <c r="D567" s="19"/>
    </row>
    <row r="568" spans="1:4" ht="14">
      <c r="A568" s="16">
        <v>40943</v>
      </c>
      <c r="B568" s="17">
        <v>5.8954132389999998</v>
      </c>
      <c r="C568" s="18"/>
      <c r="D568" s="19"/>
    </row>
    <row r="569" spans="1:4" ht="14">
      <c r="A569" s="16">
        <v>40944</v>
      </c>
      <c r="B569" s="17">
        <v>5.6781157169999998</v>
      </c>
      <c r="C569" s="18"/>
      <c r="D569" s="19"/>
    </row>
    <row r="570" spans="1:4" ht="14">
      <c r="A570" s="16">
        <v>40945</v>
      </c>
      <c r="B570" s="17">
        <v>5.4826640580000001</v>
      </c>
      <c r="C570" s="18"/>
      <c r="D570" s="19"/>
    </row>
    <row r="571" spans="1:4" ht="14">
      <c r="A571" s="16">
        <v>40946</v>
      </c>
      <c r="B571" s="17">
        <v>5.6620277000000003</v>
      </c>
      <c r="C571" s="18"/>
      <c r="D571" s="19"/>
    </row>
    <row r="572" spans="1:4" ht="14">
      <c r="A572" s="16">
        <v>40947</v>
      </c>
      <c r="B572" s="17">
        <v>5.6185281900000001</v>
      </c>
      <c r="C572" s="18"/>
      <c r="D572" s="19"/>
    </row>
    <row r="573" spans="1:4" ht="14">
      <c r="A573" s="16">
        <v>40948</v>
      </c>
      <c r="B573" s="17">
        <v>5.8356998539999996</v>
      </c>
      <c r="C573" s="18"/>
      <c r="D573" s="19"/>
    </row>
    <row r="574" spans="1:4" ht="14">
      <c r="A574" s="16">
        <v>40949</v>
      </c>
      <c r="B574" s="17">
        <v>5.937834155</v>
      </c>
      <c r="C574" s="18"/>
      <c r="D574" s="19"/>
    </row>
    <row r="575" spans="1:4" ht="14">
      <c r="A575" s="16">
        <v>40950</v>
      </c>
      <c r="B575" s="17">
        <v>5.6121328530000003</v>
      </c>
      <c r="C575" s="18"/>
      <c r="D575" s="19"/>
    </row>
    <row r="576" spans="1:4" ht="14">
      <c r="A576" s="16">
        <v>40951</v>
      </c>
      <c r="B576" s="17">
        <v>5.5190971690000001</v>
      </c>
      <c r="C576" s="18"/>
      <c r="D576" s="19"/>
    </row>
    <row r="577" spans="1:4" ht="14">
      <c r="A577" s="16">
        <v>40952</v>
      </c>
      <c r="B577" s="17">
        <v>5.3483545589999997</v>
      </c>
      <c r="C577" s="18"/>
      <c r="D577" s="19"/>
    </row>
    <row r="578" spans="1:4" ht="14">
      <c r="A578" s="16">
        <v>40953</v>
      </c>
      <c r="B578" s="17">
        <v>4.4836540920000001</v>
      </c>
      <c r="C578" s="18"/>
      <c r="D578" s="19"/>
    </row>
    <row r="579" spans="1:4" ht="14">
      <c r="A579" s="16">
        <v>40954</v>
      </c>
      <c r="B579" s="17">
        <v>4.325520322</v>
      </c>
      <c r="C579" s="18"/>
      <c r="D579" s="19"/>
    </row>
    <row r="580" spans="1:4" ht="14">
      <c r="A580" s="16">
        <v>40955</v>
      </c>
      <c r="B580" s="17">
        <v>4.2552390449999997</v>
      </c>
      <c r="C580" s="18"/>
      <c r="D580" s="19"/>
    </row>
    <row r="581" spans="1:4" ht="14">
      <c r="A581" s="16">
        <v>40956</v>
      </c>
      <c r="B581" s="17">
        <v>4.3915383730000004</v>
      </c>
      <c r="C581" s="18"/>
      <c r="D581" s="19"/>
    </row>
    <row r="582" spans="1:4" ht="14">
      <c r="A582" s="16">
        <v>40957</v>
      </c>
      <c r="B582" s="17">
        <v>4.2700812780000001</v>
      </c>
      <c r="C582" s="18"/>
      <c r="D582" s="19"/>
    </row>
    <row r="583" spans="1:4" ht="14">
      <c r="A583" s="16">
        <v>40958</v>
      </c>
      <c r="B583" s="17">
        <v>4.3895514579999997</v>
      </c>
      <c r="C583" s="18"/>
      <c r="D583" s="19"/>
    </row>
    <row r="584" spans="1:4" ht="14">
      <c r="A584" s="16">
        <v>40959</v>
      </c>
      <c r="B584" s="17">
        <v>4.365135939</v>
      </c>
      <c r="C584" s="18"/>
      <c r="D584" s="19"/>
    </row>
    <row r="585" spans="1:4" ht="14">
      <c r="A585" s="16">
        <v>40960</v>
      </c>
      <c r="B585" s="17">
        <v>4.3151156019999997</v>
      </c>
      <c r="C585" s="18"/>
      <c r="D585" s="19"/>
    </row>
    <row r="586" spans="1:4" ht="14">
      <c r="A586" s="16">
        <v>40961</v>
      </c>
      <c r="B586" s="17">
        <v>4.4193102880000001</v>
      </c>
      <c r="C586" s="18"/>
      <c r="D586" s="19"/>
    </row>
    <row r="587" spans="1:4" ht="14">
      <c r="A587" s="16">
        <v>40962</v>
      </c>
      <c r="B587" s="17">
        <v>5.0395151179999997</v>
      </c>
      <c r="C587" s="18"/>
      <c r="D587" s="19"/>
    </row>
    <row r="588" spans="1:4" ht="14">
      <c r="A588" s="16">
        <v>40963</v>
      </c>
      <c r="B588" s="17">
        <v>5.0256087589999998</v>
      </c>
      <c r="C588" s="18"/>
      <c r="D588" s="19"/>
    </row>
    <row r="589" spans="1:4" ht="14">
      <c r="A589" s="16">
        <v>40964</v>
      </c>
      <c r="B589" s="17">
        <v>4.772567381</v>
      </c>
      <c r="C589" s="18"/>
      <c r="D589" s="19"/>
    </row>
    <row r="590" spans="1:4" ht="14">
      <c r="A590" s="16">
        <v>40965</v>
      </c>
      <c r="B590" s="17">
        <v>4.9264208519999997</v>
      </c>
      <c r="C590" s="18"/>
      <c r="D590" s="19"/>
    </row>
    <row r="591" spans="1:4" ht="14">
      <c r="A591" s="16">
        <v>40966</v>
      </c>
      <c r="B591" s="17">
        <v>4.9525157560000004</v>
      </c>
      <c r="C591" s="18"/>
      <c r="D591" s="19"/>
    </row>
    <row r="592" spans="1:4" ht="14">
      <c r="A592" s="16">
        <v>40967</v>
      </c>
      <c r="B592" s="17">
        <v>4.857257776</v>
      </c>
      <c r="C592" s="18"/>
      <c r="D592" s="19"/>
    </row>
    <row r="593" spans="1:4" ht="14">
      <c r="A593" s="16">
        <v>40968</v>
      </c>
      <c r="B593" s="17">
        <v>4.872748756</v>
      </c>
      <c r="C593" s="18"/>
      <c r="D593" s="19"/>
    </row>
    <row r="594" spans="1:4" ht="14">
      <c r="A594" s="16">
        <v>40969</v>
      </c>
      <c r="B594" s="17">
        <v>4.9220721239999996</v>
      </c>
      <c r="C594" s="18"/>
      <c r="D594" s="19"/>
    </row>
    <row r="595" spans="1:4" ht="14">
      <c r="A595" s="16">
        <v>40970</v>
      </c>
      <c r="B595" s="17">
        <v>4.7148235869999997</v>
      </c>
      <c r="C595" s="18"/>
      <c r="D595" s="19"/>
    </row>
    <row r="596" spans="1:4" ht="14">
      <c r="A596" s="16">
        <v>40971</v>
      </c>
      <c r="B596" s="17">
        <v>4.628193252</v>
      </c>
      <c r="C596" s="18"/>
      <c r="D596" s="19"/>
    </row>
    <row r="597" spans="1:4" ht="14">
      <c r="A597" s="16">
        <v>40972</v>
      </c>
      <c r="B597" s="17">
        <v>4.8341444820000001</v>
      </c>
      <c r="C597" s="18"/>
      <c r="D597" s="19"/>
    </row>
    <row r="598" spans="1:4" ht="14">
      <c r="A598" s="16">
        <v>40973</v>
      </c>
      <c r="B598" s="17">
        <v>4.9823929040000001</v>
      </c>
      <c r="C598" s="18"/>
      <c r="D598" s="19"/>
    </row>
    <row r="599" spans="1:4" ht="14">
      <c r="A599" s="16">
        <v>40974</v>
      </c>
      <c r="B599" s="17">
        <v>4.9878413520000002</v>
      </c>
      <c r="C599" s="18"/>
      <c r="D599" s="19"/>
    </row>
    <row r="600" spans="1:4" ht="14">
      <c r="A600" s="16">
        <v>40975</v>
      </c>
      <c r="B600" s="17">
        <v>4.9491128849999999</v>
      </c>
      <c r="C600" s="18"/>
      <c r="D600" s="19"/>
    </row>
    <row r="601" spans="1:4" ht="14">
      <c r="A601" s="16">
        <v>40976</v>
      </c>
      <c r="B601" s="17">
        <v>4.9349794950000003</v>
      </c>
      <c r="C601" s="18"/>
      <c r="D601" s="19"/>
    </row>
    <row r="602" spans="1:4" ht="14">
      <c r="A602" s="16">
        <v>40977</v>
      </c>
      <c r="B602" s="17">
        <v>4.8722978469999996</v>
      </c>
      <c r="C602" s="18"/>
      <c r="D602" s="19"/>
    </row>
    <row r="603" spans="1:4" ht="14">
      <c r="A603" s="16">
        <v>40978</v>
      </c>
      <c r="B603" s="17">
        <v>4.8414238049999998</v>
      </c>
      <c r="C603" s="18"/>
      <c r="D603" s="19"/>
    </row>
    <row r="604" spans="1:4" ht="14">
      <c r="A604" s="16">
        <v>40979</v>
      </c>
      <c r="B604" s="17">
        <v>4.8920287519999999</v>
      </c>
      <c r="C604" s="18"/>
      <c r="D604" s="19"/>
    </row>
    <row r="605" spans="1:4" ht="14">
      <c r="A605" s="16">
        <v>40980</v>
      </c>
      <c r="B605" s="17">
        <v>4.9108393789999996</v>
      </c>
      <c r="C605" s="18"/>
      <c r="D605" s="19"/>
    </row>
    <row r="606" spans="1:4" ht="14">
      <c r="A606" s="16">
        <v>40981</v>
      </c>
      <c r="B606" s="17">
        <v>5.2908802789999996</v>
      </c>
      <c r="C606" s="18"/>
      <c r="D606" s="19"/>
    </row>
    <row r="607" spans="1:4" ht="14">
      <c r="A607" s="16">
        <v>40982</v>
      </c>
      <c r="B607" s="17">
        <v>5.3905432920000003</v>
      </c>
      <c r="C607" s="18"/>
      <c r="D607" s="19"/>
    </row>
    <row r="608" spans="1:4" ht="14">
      <c r="A608" s="16">
        <v>40983</v>
      </c>
      <c r="B608" s="17">
        <v>5.3408208989999997</v>
      </c>
      <c r="C608" s="18"/>
      <c r="D608" s="19"/>
    </row>
    <row r="609" spans="1:4" ht="14">
      <c r="A609" s="16">
        <v>40984</v>
      </c>
      <c r="B609" s="17">
        <v>5.3395747910000004</v>
      </c>
      <c r="C609" s="18"/>
      <c r="D609" s="19"/>
    </row>
    <row r="610" spans="1:4" ht="14">
      <c r="A610" s="16">
        <v>40985</v>
      </c>
      <c r="B610" s="17">
        <v>5.2360035539999998</v>
      </c>
      <c r="C610" s="18"/>
      <c r="D610" s="19"/>
    </row>
    <row r="611" spans="1:4" ht="14">
      <c r="A611" s="16">
        <v>40986</v>
      </c>
      <c r="B611" s="17">
        <v>5.2701489849999996</v>
      </c>
      <c r="C611" s="18"/>
      <c r="D611" s="19"/>
    </row>
    <row r="612" spans="1:4" ht="14">
      <c r="A612" s="16">
        <v>40987</v>
      </c>
      <c r="B612" s="17">
        <v>4.6786725530000002</v>
      </c>
      <c r="C612" s="18"/>
      <c r="D612" s="19"/>
    </row>
    <row r="613" spans="1:4" ht="14">
      <c r="A613" s="16">
        <v>40988</v>
      </c>
      <c r="B613" s="17">
        <v>4.8308302159999998</v>
      </c>
      <c r="C613" s="18"/>
      <c r="D613" s="19"/>
    </row>
    <row r="614" spans="1:4" ht="14">
      <c r="A614" s="16">
        <v>40989</v>
      </c>
      <c r="B614" s="17">
        <v>4.8172295250000001</v>
      </c>
      <c r="C614" s="18"/>
      <c r="D614" s="19"/>
    </row>
    <row r="615" spans="1:4" ht="14">
      <c r="A615" s="16">
        <v>40990</v>
      </c>
      <c r="B615" s="17">
        <v>4.7296085049999999</v>
      </c>
      <c r="C615" s="18"/>
      <c r="D615" s="19"/>
    </row>
    <row r="616" spans="1:4" ht="14">
      <c r="A616" s="16">
        <v>40991</v>
      </c>
      <c r="B616" s="17">
        <v>4.6916431770000004</v>
      </c>
      <c r="C616" s="18"/>
      <c r="D616" s="19"/>
    </row>
    <row r="617" spans="1:4" ht="14">
      <c r="A617" s="16">
        <v>40992</v>
      </c>
      <c r="B617" s="17">
        <v>4.6519862659999998</v>
      </c>
      <c r="C617" s="18"/>
      <c r="D617" s="19"/>
    </row>
    <row r="618" spans="1:4" ht="14">
      <c r="A618" s="16">
        <v>40993</v>
      </c>
      <c r="B618" s="17">
        <v>4.5522702620000004</v>
      </c>
      <c r="C618" s="18"/>
      <c r="D618" s="19"/>
    </row>
    <row r="619" spans="1:4" ht="14">
      <c r="A619" s="16">
        <v>40994</v>
      </c>
      <c r="B619" s="17">
        <v>4.6327223599999998</v>
      </c>
      <c r="C619" s="18"/>
      <c r="D619" s="19"/>
    </row>
    <row r="620" spans="1:4" ht="14">
      <c r="A620" s="16">
        <v>40995</v>
      </c>
      <c r="B620" s="17">
        <v>4.8113407349999999</v>
      </c>
      <c r="C620" s="18"/>
      <c r="D620" s="19"/>
    </row>
    <row r="621" spans="1:4" ht="14">
      <c r="A621" s="16">
        <v>40996</v>
      </c>
      <c r="B621" s="17">
        <v>4.7905893920000002</v>
      </c>
      <c r="C621" s="18"/>
      <c r="D621" s="19"/>
    </row>
    <row r="622" spans="1:4" ht="14">
      <c r="A622" s="16">
        <v>40997</v>
      </c>
      <c r="B622" s="17">
        <v>4.7940665720000002</v>
      </c>
      <c r="C622" s="18"/>
      <c r="D622" s="19"/>
    </row>
    <row r="623" spans="1:4" ht="14">
      <c r="A623" s="16">
        <v>40998</v>
      </c>
      <c r="B623" s="17">
        <v>4.8614093570000003</v>
      </c>
      <c r="C623" s="18"/>
      <c r="D623" s="19"/>
    </row>
    <row r="624" spans="1:4" ht="14">
      <c r="A624" s="16">
        <v>40999</v>
      </c>
      <c r="B624" s="17">
        <v>4.8897768729999997</v>
      </c>
      <c r="C624" s="18"/>
      <c r="D624" s="19"/>
    </row>
    <row r="625" spans="1:4" ht="14">
      <c r="A625" s="16">
        <v>41000</v>
      </c>
      <c r="B625" s="17">
        <v>4.7933256770000003</v>
      </c>
      <c r="C625" s="18"/>
      <c r="D625" s="19"/>
    </row>
    <row r="626" spans="1:4" ht="14">
      <c r="A626" s="16">
        <v>41001</v>
      </c>
      <c r="B626" s="17">
        <v>4.9830454790000003</v>
      </c>
      <c r="C626" s="18"/>
      <c r="D626" s="19"/>
    </row>
    <row r="627" spans="1:4" ht="14">
      <c r="A627" s="16">
        <v>41002</v>
      </c>
      <c r="B627" s="17">
        <v>4.9562331930000001</v>
      </c>
      <c r="C627" s="18"/>
      <c r="D627" s="19"/>
    </row>
    <row r="628" spans="1:4" ht="14">
      <c r="A628" s="16">
        <v>41003</v>
      </c>
      <c r="B628" s="17">
        <v>4.9178421779999999</v>
      </c>
      <c r="C628" s="18"/>
      <c r="D628" s="19"/>
    </row>
    <row r="629" spans="1:4" ht="14">
      <c r="A629" s="16">
        <v>41004</v>
      </c>
      <c r="B629" s="17">
        <v>4.9208492450000003</v>
      </c>
      <c r="C629" s="18"/>
      <c r="D629" s="19"/>
    </row>
    <row r="630" spans="1:4" ht="14">
      <c r="A630" s="16">
        <v>41005</v>
      </c>
      <c r="B630" s="17">
        <v>4.9491074319999999</v>
      </c>
      <c r="C630" s="18"/>
      <c r="D630" s="19"/>
    </row>
    <row r="631" spans="1:4" ht="14">
      <c r="A631" s="16">
        <v>41006</v>
      </c>
      <c r="B631" s="17">
        <v>4.7097119100000002</v>
      </c>
      <c r="C631" s="18"/>
      <c r="D631" s="19"/>
    </row>
    <row r="632" spans="1:4" ht="14">
      <c r="A632" s="16">
        <v>41007</v>
      </c>
      <c r="B632" s="17">
        <v>4.7788188490000003</v>
      </c>
      <c r="C632" s="18"/>
      <c r="D632" s="19"/>
    </row>
    <row r="633" spans="1:4" ht="14">
      <c r="A633" s="16">
        <v>41008</v>
      </c>
      <c r="B633" s="17">
        <v>4.8525473809999999</v>
      </c>
      <c r="C633" s="18"/>
      <c r="D633" s="19"/>
    </row>
    <row r="634" spans="1:4" ht="14">
      <c r="A634" s="16">
        <v>41009</v>
      </c>
      <c r="B634" s="17">
        <v>4.8414175940000002</v>
      </c>
      <c r="C634" s="18"/>
      <c r="D634" s="19"/>
    </row>
    <row r="635" spans="1:4" ht="14">
      <c r="A635" s="16">
        <v>41010</v>
      </c>
      <c r="B635" s="17">
        <v>4.9152507170000002</v>
      </c>
      <c r="C635" s="18"/>
      <c r="D635" s="19"/>
    </row>
    <row r="636" spans="1:4" ht="14">
      <c r="A636" s="16">
        <v>41011</v>
      </c>
      <c r="B636" s="17">
        <v>4.9011581470000003</v>
      </c>
      <c r="C636" s="18"/>
      <c r="D636" s="19"/>
    </row>
    <row r="637" spans="1:4" ht="14">
      <c r="A637" s="16">
        <v>41012</v>
      </c>
      <c r="B637" s="17">
        <v>4.9344067330000003</v>
      </c>
      <c r="C637" s="18"/>
      <c r="D637" s="19"/>
    </row>
    <row r="638" spans="1:4" ht="14">
      <c r="A638" s="16">
        <v>41013</v>
      </c>
      <c r="B638" s="17">
        <v>4.9563646610000003</v>
      </c>
      <c r="C638" s="18"/>
      <c r="D638" s="19"/>
    </row>
    <row r="639" spans="1:4" ht="14">
      <c r="A639" s="16">
        <v>41014</v>
      </c>
      <c r="B639" s="17">
        <v>4.9616003380000002</v>
      </c>
      <c r="C639" s="18"/>
      <c r="D639" s="19"/>
    </row>
    <row r="640" spans="1:4" ht="14">
      <c r="A640" s="16">
        <v>41015</v>
      </c>
      <c r="B640" s="17">
        <v>4.9507645690000004</v>
      </c>
      <c r="C640" s="18"/>
      <c r="D640" s="19"/>
    </row>
    <row r="641" spans="1:4" ht="14">
      <c r="A641" s="16">
        <v>41016</v>
      </c>
      <c r="B641" s="17">
        <v>4.9687445080000003</v>
      </c>
      <c r="C641" s="18"/>
      <c r="D641" s="19"/>
    </row>
    <row r="642" spans="1:4" ht="14">
      <c r="A642" s="16">
        <v>41017</v>
      </c>
      <c r="B642" s="17">
        <v>5.1243774430000002</v>
      </c>
      <c r="C642" s="18"/>
      <c r="D642" s="19"/>
    </row>
    <row r="643" spans="1:4" ht="14">
      <c r="A643" s="16">
        <v>41018</v>
      </c>
      <c r="B643" s="17">
        <v>5.1309065110000001</v>
      </c>
      <c r="C643" s="18"/>
      <c r="D643" s="19"/>
    </row>
    <row r="644" spans="1:4" ht="14">
      <c r="A644" s="16">
        <v>41019</v>
      </c>
      <c r="B644" s="17">
        <v>5.3665159679999999</v>
      </c>
      <c r="C644" s="18"/>
      <c r="D644" s="19"/>
    </row>
    <row r="645" spans="1:4" ht="14">
      <c r="A645" s="16">
        <v>41020</v>
      </c>
      <c r="B645" s="17">
        <v>5.2825503390000002</v>
      </c>
      <c r="C645" s="18"/>
      <c r="D645" s="19"/>
    </row>
    <row r="646" spans="1:4" ht="14">
      <c r="A646" s="16">
        <v>41021</v>
      </c>
      <c r="B646" s="17">
        <v>5.1956089949999997</v>
      </c>
      <c r="C646" s="18"/>
      <c r="D646" s="19"/>
    </row>
    <row r="647" spans="1:4" ht="14">
      <c r="A647" s="16">
        <v>41022</v>
      </c>
      <c r="B647" s="17">
        <v>5.110888192</v>
      </c>
      <c r="C647" s="18"/>
      <c r="D647" s="19"/>
    </row>
    <row r="648" spans="1:4" ht="14">
      <c r="A648" s="16">
        <v>41023</v>
      </c>
      <c r="B648" s="17">
        <v>5.0878672619999996</v>
      </c>
      <c r="C648" s="18"/>
      <c r="D648" s="19"/>
    </row>
    <row r="649" spans="1:4" ht="14">
      <c r="A649" s="16">
        <v>41024</v>
      </c>
      <c r="B649" s="17">
        <v>5.1488162449999999</v>
      </c>
      <c r="C649" s="18"/>
      <c r="D649" s="19"/>
    </row>
    <row r="650" spans="1:4" ht="14">
      <c r="A650" s="16">
        <v>41025</v>
      </c>
      <c r="B650" s="17">
        <v>5.097419286</v>
      </c>
      <c r="C650" s="18"/>
      <c r="D650" s="19"/>
    </row>
    <row r="651" spans="1:4" ht="14">
      <c r="A651" s="16">
        <v>41026</v>
      </c>
      <c r="B651" s="17">
        <v>5.09588734</v>
      </c>
      <c r="C651" s="18"/>
      <c r="D651" s="19"/>
    </row>
    <row r="652" spans="1:4" ht="14">
      <c r="A652" s="16">
        <v>41027</v>
      </c>
      <c r="B652" s="17">
        <v>4.9707366530000003</v>
      </c>
      <c r="C652" s="18"/>
      <c r="D652" s="19"/>
    </row>
    <row r="653" spans="1:4" ht="14">
      <c r="A653" s="16">
        <v>41028</v>
      </c>
      <c r="B653" s="17">
        <v>4.9026061780000001</v>
      </c>
      <c r="C653" s="18"/>
      <c r="D653" s="19"/>
    </row>
    <row r="654" spans="1:4" ht="14">
      <c r="A654" s="16">
        <v>41029</v>
      </c>
      <c r="B654" s="17">
        <v>4.9421168099999999</v>
      </c>
      <c r="C654" s="18"/>
      <c r="D654" s="19"/>
    </row>
    <row r="655" spans="1:4" ht="14">
      <c r="A655" s="16">
        <v>41030</v>
      </c>
      <c r="B655" s="17">
        <v>4.9871372269999998</v>
      </c>
      <c r="C655" s="18"/>
      <c r="D655" s="19"/>
    </row>
    <row r="656" spans="1:4" ht="14">
      <c r="A656" s="16">
        <v>41031</v>
      </c>
      <c r="B656" s="17">
        <v>5.0534373539999997</v>
      </c>
      <c r="C656" s="18"/>
      <c r="D656" s="19"/>
    </row>
    <row r="657" spans="1:4" ht="14">
      <c r="A657" s="16">
        <v>41032</v>
      </c>
      <c r="B657" s="17">
        <v>5.1188729789999998</v>
      </c>
      <c r="C657" s="18"/>
      <c r="D657" s="19"/>
    </row>
    <row r="658" spans="1:4" ht="14">
      <c r="A658" s="16">
        <v>41033</v>
      </c>
      <c r="B658" s="17">
        <v>5.085507088</v>
      </c>
      <c r="C658" s="18"/>
      <c r="D658" s="19"/>
    </row>
    <row r="659" spans="1:4" ht="14">
      <c r="A659" s="16">
        <v>41034</v>
      </c>
      <c r="B659" s="17">
        <v>5.0566395650000002</v>
      </c>
      <c r="C659" s="18"/>
      <c r="D659" s="19"/>
    </row>
    <row r="660" spans="1:4" ht="14">
      <c r="A660" s="16">
        <v>41035</v>
      </c>
      <c r="B660" s="17">
        <v>5.0478007729999996</v>
      </c>
      <c r="C660" s="18"/>
      <c r="D660" s="19"/>
    </row>
    <row r="661" spans="1:4" ht="14">
      <c r="A661" s="16">
        <v>41036</v>
      </c>
      <c r="B661" s="17">
        <v>5.0675558670000003</v>
      </c>
      <c r="C661" s="18"/>
      <c r="D661" s="19"/>
    </row>
    <row r="662" spans="1:4" ht="14">
      <c r="A662" s="16">
        <v>41037</v>
      </c>
      <c r="B662" s="17">
        <v>5.0234664230000003</v>
      </c>
      <c r="C662" s="18"/>
      <c r="D662" s="19"/>
    </row>
    <row r="663" spans="1:4" ht="14">
      <c r="A663" s="16">
        <v>41038</v>
      </c>
      <c r="B663" s="17">
        <v>5.0413062359999996</v>
      </c>
      <c r="C663" s="18"/>
      <c r="D663" s="19"/>
    </row>
    <row r="664" spans="1:4" ht="14">
      <c r="A664" s="16">
        <v>41039</v>
      </c>
      <c r="B664" s="17">
        <v>4.9274887200000004</v>
      </c>
      <c r="C664" s="18"/>
      <c r="D664" s="19"/>
    </row>
    <row r="665" spans="1:4" ht="14">
      <c r="A665" s="16">
        <v>41040</v>
      </c>
      <c r="B665" s="17">
        <v>4.9637099769999997</v>
      </c>
      <c r="C665" s="18"/>
      <c r="D665" s="19"/>
    </row>
    <row r="666" spans="1:4" ht="14">
      <c r="A666" s="16">
        <v>41041</v>
      </c>
      <c r="B666" s="17">
        <v>4.9465322350000003</v>
      </c>
      <c r="C666" s="18"/>
      <c r="D666" s="19"/>
    </row>
    <row r="667" spans="1:4" ht="14">
      <c r="A667" s="16">
        <v>41042</v>
      </c>
      <c r="B667" s="17">
        <v>4.9447950540000001</v>
      </c>
      <c r="C667" s="18"/>
      <c r="D667" s="19"/>
    </row>
    <row r="668" spans="1:4" ht="14">
      <c r="A668" s="16">
        <v>41043</v>
      </c>
      <c r="B668" s="17">
        <v>5.0114359220000004</v>
      </c>
      <c r="C668" s="18"/>
      <c r="D668" s="19"/>
    </row>
    <row r="669" spans="1:4" ht="14">
      <c r="A669" s="16">
        <v>41044</v>
      </c>
      <c r="B669" s="17">
        <v>5.0336404000000003</v>
      </c>
      <c r="C669" s="18"/>
      <c r="D669" s="19"/>
    </row>
    <row r="670" spans="1:4" ht="14">
      <c r="A670" s="16">
        <v>41045</v>
      </c>
      <c r="B670" s="17">
        <v>5.0877845089999996</v>
      </c>
      <c r="C670" s="18"/>
      <c r="D670" s="19"/>
    </row>
    <row r="671" spans="1:4" ht="14">
      <c r="A671" s="16">
        <v>41046</v>
      </c>
      <c r="B671" s="17">
        <v>5.0896616860000004</v>
      </c>
      <c r="C671" s="18"/>
      <c r="D671" s="19"/>
    </row>
    <row r="672" spans="1:4" ht="14">
      <c r="A672" s="16">
        <v>41047</v>
      </c>
      <c r="B672" s="17">
        <v>5.1183014829999998</v>
      </c>
      <c r="C672" s="18"/>
      <c r="D672" s="19"/>
    </row>
    <row r="673" spans="1:4" ht="14">
      <c r="A673" s="16">
        <v>41048</v>
      </c>
      <c r="B673" s="17">
        <v>5.1125458110000004</v>
      </c>
      <c r="C673" s="18"/>
      <c r="D673" s="19"/>
    </row>
    <row r="674" spans="1:4" ht="14">
      <c r="A674" s="16">
        <v>41049</v>
      </c>
      <c r="B674" s="17">
        <v>5.094200968</v>
      </c>
      <c r="C674" s="18"/>
      <c r="D674" s="19"/>
    </row>
    <row r="675" spans="1:4" ht="14">
      <c r="A675" s="16">
        <v>41050</v>
      </c>
      <c r="B675" s="17">
        <v>5.09422131</v>
      </c>
      <c r="C675" s="18"/>
      <c r="D675" s="19"/>
    </row>
    <row r="676" spans="1:4" ht="14">
      <c r="A676" s="16">
        <v>41051</v>
      </c>
      <c r="B676" s="17">
        <v>5.089139189</v>
      </c>
      <c r="C676" s="18"/>
      <c r="D676" s="19"/>
    </row>
    <row r="677" spans="1:4" ht="14">
      <c r="A677" s="16">
        <v>41052</v>
      </c>
      <c r="B677" s="17">
        <v>5.1288589</v>
      </c>
      <c r="C677" s="18"/>
      <c r="D677" s="19"/>
    </row>
    <row r="678" spans="1:4" ht="14">
      <c r="A678" s="16">
        <v>41053</v>
      </c>
      <c r="B678" s="17">
        <v>5.1191577590000001</v>
      </c>
      <c r="C678" s="18"/>
      <c r="D678" s="19"/>
    </row>
    <row r="679" spans="1:4" ht="14">
      <c r="A679" s="16">
        <v>41054</v>
      </c>
      <c r="B679" s="17">
        <v>5.1372768070000001</v>
      </c>
      <c r="C679" s="18"/>
      <c r="D679" s="19"/>
    </row>
    <row r="680" spans="1:4" ht="14">
      <c r="A680" s="16">
        <v>41055</v>
      </c>
      <c r="B680" s="17">
        <v>5.1039788049999997</v>
      </c>
      <c r="C680" s="18"/>
      <c r="D680" s="19"/>
    </row>
    <row r="681" spans="1:4" ht="14">
      <c r="A681" s="16">
        <v>41056</v>
      </c>
      <c r="B681" s="17">
        <v>5.1346161349999999</v>
      </c>
      <c r="C681" s="18"/>
      <c r="D681" s="19"/>
    </row>
    <row r="682" spans="1:4" ht="14">
      <c r="A682" s="16">
        <v>41057</v>
      </c>
      <c r="B682" s="17">
        <v>5.1363254190000003</v>
      </c>
      <c r="C682" s="18"/>
      <c r="D682" s="19"/>
    </row>
    <row r="683" spans="1:4" ht="14">
      <c r="A683" s="16">
        <v>41058</v>
      </c>
      <c r="B683" s="17">
        <v>5.1484706979999997</v>
      </c>
      <c r="C683" s="18"/>
      <c r="D683" s="19"/>
    </row>
    <row r="684" spans="1:4" ht="14">
      <c r="A684" s="16">
        <v>41059</v>
      </c>
      <c r="B684" s="17">
        <v>5.1382645690000004</v>
      </c>
      <c r="C684" s="18"/>
      <c r="D684" s="19"/>
    </row>
    <row r="685" spans="1:4" ht="14">
      <c r="A685" s="16">
        <v>41060</v>
      </c>
      <c r="B685" s="17">
        <v>5.1816397209999998</v>
      </c>
      <c r="C685" s="18"/>
      <c r="D685" s="19"/>
    </row>
    <row r="686" spans="1:4" ht="14">
      <c r="A686" s="16">
        <v>41061</v>
      </c>
      <c r="B686" s="17">
        <v>5.266943758</v>
      </c>
      <c r="C686" s="18"/>
      <c r="D686" s="19"/>
    </row>
    <row r="687" spans="1:4" ht="14">
      <c r="A687" s="16">
        <v>41062</v>
      </c>
      <c r="B687" s="17">
        <v>5.2436390599999996</v>
      </c>
      <c r="C687" s="18"/>
      <c r="D687" s="19"/>
    </row>
    <row r="688" spans="1:4" ht="14">
      <c r="A688" s="16">
        <v>41063</v>
      </c>
      <c r="B688" s="17">
        <v>5.2127049850000002</v>
      </c>
      <c r="C688" s="18"/>
      <c r="D688" s="19"/>
    </row>
    <row r="689" spans="1:4" ht="14">
      <c r="A689" s="16">
        <v>41064</v>
      </c>
      <c r="B689" s="17">
        <v>5.2587658570000002</v>
      </c>
      <c r="C689" s="18"/>
      <c r="D689" s="19"/>
    </row>
    <row r="690" spans="1:4" ht="14">
      <c r="A690" s="16">
        <v>41065</v>
      </c>
      <c r="B690" s="17">
        <v>5.4260142949999999</v>
      </c>
      <c r="C690" s="18"/>
      <c r="D690" s="19"/>
    </row>
    <row r="691" spans="1:4" ht="14">
      <c r="A691" s="16">
        <v>41066</v>
      </c>
      <c r="B691" s="17">
        <v>5.4461694219999996</v>
      </c>
      <c r="C691" s="18"/>
      <c r="D691" s="19"/>
    </row>
    <row r="692" spans="1:4" ht="14">
      <c r="A692" s="16">
        <v>41067</v>
      </c>
      <c r="B692" s="17">
        <v>5.5871698099999998</v>
      </c>
      <c r="C692" s="18"/>
      <c r="D692" s="19"/>
    </row>
    <row r="693" spans="1:4" ht="14">
      <c r="A693" s="16">
        <v>41068</v>
      </c>
      <c r="B693" s="17">
        <v>5.6225291019999997</v>
      </c>
      <c r="C693" s="18"/>
      <c r="D693" s="19"/>
    </row>
    <row r="694" spans="1:4" ht="14">
      <c r="A694" s="16">
        <v>41069</v>
      </c>
      <c r="B694" s="17">
        <v>5.557002335</v>
      </c>
      <c r="C694" s="18"/>
      <c r="D694" s="19"/>
    </row>
    <row r="695" spans="1:4" ht="14">
      <c r="A695" s="16">
        <v>41070</v>
      </c>
      <c r="B695" s="17">
        <v>5.4578935690000003</v>
      </c>
      <c r="C695" s="18"/>
      <c r="D695" s="19"/>
    </row>
    <row r="696" spans="1:4" ht="14">
      <c r="A696" s="16">
        <v>41071</v>
      </c>
      <c r="B696" s="17">
        <v>5.5869969819999996</v>
      </c>
      <c r="C696" s="18"/>
      <c r="D696" s="19"/>
    </row>
    <row r="697" spans="1:4" ht="14">
      <c r="A697" s="16">
        <v>41072</v>
      </c>
      <c r="B697" s="17">
        <v>5.7274912990000004</v>
      </c>
      <c r="C697" s="18"/>
      <c r="D697" s="19"/>
    </row>
    <row r="698" spans="1:4" ht="14">
      <c r="A698" s="16">
        <v>41073</v>
      </c>
      <c r="B698" s="17">
        <v>5.9093013240000003</v>
      </c>
      <c r="C698" s="18"/>
      <c r="D698" s="19"/>
    </row>
    <row r="699" spans="1:4" ht="14">
      <c r="A699" s="16">
        <v>41074</v>
      </c>
      <c r="B699" s="17">
        <v>5.9620231820000003</v>
      </c>
      <c r="C699" s="18"/>
      <c r="D699" s="19"/>
    </row>
    <row r="700" spans="1:4" ht="14">
      <c r="A700" s="16">
        <v>41075</v>
      </c>
      <c r="B700" s="17">
        <v>6.5233807190000004</v>
      </c>
      <c r="C700" s="18"/>
      <c r="D700" s="19"/>
    </row>
    <row r="701" spans="1:4" ht="14">
      <c r="A701" s="16">
        <v>41076</v>
      </c>
      <c r="B701" s="17">
        <v>6.4441582820000001</v>
      </c>
      <c r="C701" s="18"/>
      <c r="D701" s="19"/>
    </row>
    <row r="702" spans="1:4" ht="14">
      <c r="A702" s="16">
        <v>41077</v>
      </c>
      <c r="B702" s="17">
        <v>6.1999664880000003</v>
      </c>
      <c r="C702" s="18"/>
      <c r="D702" s="19"/>
    </row>
    <row r="703" spans="1:4" ht="14">
      <c r="A703" s="16">
        <v>41078</v>
      </c>
      <c r="B703" s="17">
        <v>6.3108446689999997</v>
      </c>
      <c r="C703" s="18"/>
      <c r="D703" s="19"/>
    </row>
    <row r="704" spans="1:4" ht="14">
      <c r="A704" s="16">
        <v>41079</v>
      </c>
      <c r="B704" s="17">
        <v>6.4948267160000004</v>
      </c>
      <c r="C704" s="18"/>
      <c r="D704" s="19"/>
    </row>
    <row r="705" spans="1:4" ht="14">
      <c r="A705" s="16">
        <v>41080</v>
      </c>
      <c r="B705" s="17">
        <v>6.6935510560000004</v>
      </c>
      <c r="C705" s="18"/>
      <c r="D705" s="19"/>
    </row>
    <row r="706" spans="1:4" ht="14">
      <c r="A706" s="16">
        <v>41081</v>
      </c>
      <c r="B706" s="17">
        <v>6.6722625039999999</v>
      </c>
      <c r="C706" s="18"/>
      <c r="D706" s="19"/>
    </row>
    <row r="707" spans="1:4" ht="14">
      <c r="A707" s="16">
        <v>41082</v>
      </c>
      <c r="B707" s="17">
        <v>6.5637616980000004</v>
      </c>
      <c r="C707" s="18"/>
      <c r="D707" s="19"/>
    </row>
    <row r="708" spans="1:4" ht="14">
      <c r="A708" s="16">
        <v>41083</v>
      </c>
      <c r="B708" s="17">
        <v>6.4475416890000004</v>
      </c>
      <c r="C708" s="18"/>
      <c r="D708" s="19"/>
    </row>
    <row r="709" spans="1:4" ht="14">
      <c r="A709" s="16">
        <v>41084</v>
      </c>
      <c r="B709" s="17">
        <v>6.350494039</v>
      </c>
      <c r="C709" s="18"/>
      <c r="D709" s="19"/>
    </row>
    <row r="710" spans="1:4" ht="14">
      <c r="A710" s="16">
        <v>41085</v>
      </c>
      <c r="B710" s="17">
        <v>6.3174736300000003</v>
      </c>
      <c r="C710" s="18"/>
      <c r="D710" s="19"/>
    </row>
    <row r="711" spans="1:4" ht="14">
      <c r="A711" s="16">
        <v>41086</v>
      </c>
      <c r="B711" s="17">
        <v>6.432860829</v>
      </c>
      <c r="C711" s="18"/>
      <c r="D711" s="19"/>
    </row>
    <row r="712" spans="1:4" ht="14">
      <c r="A712" s="16">
        <v>41087</v>
      </c>
      <c r="B712" s="17">
        <v>6.6157134019999999</v>
      </c>
      <c r="C712" s="18"/>
      <c r="D712" s="19"/>
    </row>
    <row r="713" spans="1:4" ht="14">
      <c r="A713" s="16">
        <v>41088</v>
      </c>
      <c r="B713" s="17">
        <v>6.5900646329999999</v>
      </c>
      <c r="C713" s="18"/>
      <c r="D713" s="19"/>
    </row>
    <row r="714" spans="1:4" ht="14">
      <c r="A714" s="16">
        <v>41089</v>
      </c>
      <c r="B714" s="17">
        <v>6.658776757</v>
      </c>
      <c r="C714" s="18"/>
      <c r="D714" s="19"/>
    </row>
    <row r="715" spans="1:4" ht="14">
      <c r="A715" s="16">
        <v>41090</v>
      </c>
      <c r="B715" s="17">
        <v>6.6804276229999999</v>
      </c>
      <c r="C715" s="18"/>
      <c r="D715" s="19"/>
    </row>
    <row r="716" spans="1:4" ht="14">
      <c r="A716" s="16">
        <v>41091</v>
      </c>
      <c r="B716" s="17">
        <v>6.6268600920000003</v>
      </c>
      <c r="C716" s="18"/>
      <c r="D716" s="19"/>
    </row>
    <row r="717" spans="1:4" ht="14">
      <c r="A717" s="16">
        <v>41092</v>
      </c>
      <c r="B717" s="17">
        <v>6.7434780510000003</v>
      </c>
      <c r="C717" s="18"/>
      <c r="D717" s="19"/>
    </row>
    <row r="718" spans="1:4" ht="14">
      <c r="A718" s="16">
        <v>41093</v>
      </c>
      <c r="B718" s="17">
        <v>6.4499924030000004</v>
      </c>
      <c r="C718" s="18"/>
      <c r="D718" s="19"/>
    </row>
    <row r="719" spans="1:4" ht="14">
      <c r="A719" s="16">
        <v>41094</v>
      </c>
      <c r="B719" s="17">
        <v>6.5148353329999997</v>
      </c>
      <c r="C719" s="18"/>
      <c r="D719" s="19"/>
    </row>
    <row r="720" spans="1:4" ht="14">
      <c r="A720" s="16">
        <v>41095</v>
      </c>
      <c r="B720" s="17">
        <v>6.6423986040000003</v>
      </c>
      <c r="C720" s="18"/>
      <c r="D720" s="19"/>
    </row>
    <row r="721" spans="1:4" ht="14">
      <c r="A721" s="16">
        <v>41096</v>
      </c>
      <c r="B721" s="17">
        <v>6.6721811889999998</v>
      </c>
      <c r="C721" s="18"/>
      <c r="D721" s="19"/>
    </row>
    <row r="722" spans="1:4" ht="14">
      <c r="A722" s="16">
        <v>41097</v>
      </c>
      <c r="B722" s="17">
        <v>6.8082737120000001</v>
      </c>
      <c r="C722" s="18"/>
      <c r="D722" s="19"/>
    </row>
    <row r="723" spans="1:4" ht="14">
      <c r="A723" s="16">
        <v>41098</v>
      </c>
      <c r="B723" s="17">
        <v>6.7963176880000002</v>
      </c>
      <c r="C723" s="18"/>
      <c r="D723" s="19"/>
    </row>
    <row r="724" spans="1:4" ht="14">
      <c r="A724" s="16">
        <v>41099</v>
      </c>
      <c r="B724" s="17">
        <v>7.0323958859999998</v>
      </c>
      <c r="C724" s="18"/>
      <c r="D724" s="19"/>
    </row>
    <row r="725" spans="1:4" ht="14">
      <c r="A725" s="16">
        <v>41100</v>
      </c>
      <c r="B725" s="17">
        <v>7.1785800359999996</v>
      </c>
      <c r="C725" s="18"/>
      <c r="D725" s="19"/>
    </row>
    <row r="726" spans="1:4" ht="14">
      <c r="A726" s="16">
        <v>41101</v>
      </c>
      <c r="B726" s="17">
        <v>7.1851477890000002</v>
      </c>
      <c r="C726" s="18"/>
      <c r="D726" s="19"/>
    </row>
    <row r="727" spans="1:4" ht="14">
      <c r="A727" s="16">
        <v>41102</v>
      </c>
      <c r="B727" s="17">
        <v>7.5559356500000003</v>
      </c>
      <c r="C727" s="18"/>
      <c r="D727" s="19"/>
    </row>
    <row r="728" spans="1:4" ht="14">
      <c r="A728" s="16">
        <v>41103</v>
      </c>
      <c r="B728" s="17">
        <v>7.6309212559999997</v>
      </c>
      <c r="C728" s="18"/>
      <c r="D728" s="19"/>
    </row>
    <row r="729" spans="1:4" ht="14">
      <c r="A729" s="16">
        <v>41104</v>
      </c>
      <c r="B729" s="17">
        <v>7.580129178</v>
      </c>
      <c r="C729" s="18"/>
      <c r="D729" s="19"/>
    </row>
    <row r="730" spans="1:4" ht="14">
      <c r="A730" s="16">
        <v>41105</v>
      </c>
      <c r="B730" s="17">
        <v>7.6272348599999997</v>
      </c>
      <c r="C730" s="18"/>
      <c r="D730" s="19"/>
    </row>
    <row r="731" spans="1:4" ht="14">
      <c r="A731" s="16">
        <v>41106</v>
      </c>
      <c r="B731" s="17">
        <v>8.4934056770000002</v>
      </c>
      <c r="C731" s="18"/>
      <c r="D731" s="19"/>
    </row>
    <row r="732" spans="1:4" ht="14">
      <c r="A732" s="16">
        <v>41107</v>
      </c>
      <c r="B732" s="17">
        <v>8.7519848549999999</v>
      </c>
      <c r="C732" s="18"/>
      <c r="D732" s="19"/>
    </row>
    <row r="733" spans="1:4" ht="14">
      <c r="A733" s="16">
        <v>41108</v>
      </c>
      <c r="B733" s="17">
        <v>9.0951926860000007</v>
      </c>
      <c r="C733" s="18"/>
      <c r="D733" s="19"/>
    </row>
    <row r="734" spans="1:4" ht="14">
      <c r="A734" s="16">
        <v>41109</v>
      </c>
      <c r="B734" s="17">
        <v>8.8795334140000008</v>
      </c>
      <c r="C734" s="18"/>
      <c r="D734" s="19"/>
    </row>
    <row r="735" spans="1:4" ht="14">
      <c r="A735" s="16">
        <v>41110</v>
      </c>
      <c r="B735" s="17">
        <v>8.5324506790000001</v>
      </c>
      <c r="C735" s="18"/>
      <c r="D735" s="19"/>
    </row>
    <row r="736" spans="1:4" ht="14">
      <c r="A736" s="16">
        <v>41111</v>
      </c>
      <c r="B736" s="17">
        <v>8.8756458410000008</v>
      </c>
      <c r="C736" s="18"/>
      <c r="D736" s="19"/>
    </row>
    <row r="737" spans="1:4" ht="14">
      <c r="A737" s="16">
        <v>41112</v>
      </c>
      <c r="B737" s="17">
        <v>8.5065625439999994</v>
      </c>
      <c r="C737" s="18"/>
      <c r="D737" s="19"/>
    </row>
    <row r="738" spans="1:4" ht="14">
      <c r="A738" s="16">
        <v>41113</v>
      </c>
      <c r="B738" s="17">
        <v>8.5312112689999999</v>
      </c>
      <c r="C738" s="18"/>
      <c r="D738" s="19"/>
    </row>
    <row r="739" spans="1:4" ht="14">
      <c r="A739" s="16">
        <v>41114</v>
      </c>
      <c r="B739" s="17">
        <v>8.5745851710000007</v>
      </c>
      <c r="C739" s="18"/>
      <c r="D739" s="19"/>
    </row>
    <row r="740" spans="1:4" ht="14">
      <c r="A740" s="16">
        <v>41115</v>
      </c>
      <c r="B740" s="17">
        <v>8.7693472729999993</v>
      </c>
      <c r="C740" s="18"/>
      <c r="D740" s="19"/>
    </row>
    <row r="741" spans="1:4" ht="14">
      <c r="A741" s="16">
        <v>41116</v>
      </c>
      <c r="B741" s="17">
        <v>8.8757650459999997</v>
      </c>
      <c r="C741" s="18"/>
      <c r="D741" s="19"/>
    </row>
    <row r="742" spans="1:4" ht="14">
      <c r="A742" s="16">
        <v>41117</v>
      </c>
      <c r="B742" s="17">
        <v>8.8914598940000005</v>
      </c>
      <c r="C742" s="18"/>
      <c r="D742" s="19"/>
    </row>
    <row r="743" spans="1:4" ht="14">
      <c r="A743" s="16">
        <v>41118</v>
      </c>
      <c r="B743" s="17">
        <v>8.842560894</v>
      </c>
      <c r="C743" s="18"/>
      <c r="D743" s="19"/>
    </row>
    <row r="744" spans="1:4" ht="14">
      <c r="A744" s="16">
        <v>41119</v>
      </c>
      <c r="B744" s="17">
        <v>8.7476806590000002</v>
      </c>
      <c r="C744" s="18"/>
      <c r="D744" s="19"/>
    </row>
    <row r="745" spans="1:4" ht="14">
      <c r="A745" s="16">
        <v>41120</v>
      </c>
      <c r="B745" s="17">
        <v>9.0883172489999993</v>
      </c>
      <c r="C745" s="18"/>
      <c r="D745" s="19"/>
    </row>
    <row r="746" spans="1:4" ht="14">
      <c r="A746" s="16">
        <v>41121</v>
      </c>
      <c r="B746" s="17">
        <v>9.3209984020000007</v>
      </c>
      <c r="C746" s="18"/>
      <c r="D746" s="19"/>
    </row>
    <row r="747" spans="1:4" ht="14">
      <c r="A747" s="16">
        <v>41122</v>
      </c>
      <c r="B747" s="17">
        <v>9.5680209040000008</v>
      </c>
      <c r="C747" s="18"/>
      <c r="D747" s="19"/>
    </row>
    <row r="748" spans="1:4" ht="14">
      <c r="A748" s="16">
        <v>41123</v>
      </c>
      <c r="B748" s="17">
        <v>10.5510397</v>
      </c>
      <c r="C748" s="18"/>
      <c r="D748" s="19"/>
    </row>
    <row r="749" spans="1:4" ht="14">
      <c r="A749" s="16">
        <v>41124</v>
      </c>
      <c r="B749" s="17">
        <v>10.915864750000001</v>
      </c>
      <c r="C749" s="18"/>
      <c r="D749" s="19"/>
    </row>
    <row r="750" spans="1:4" ht="14">
      <c r="A750" s="16">
        <v>41125</v>
      </c>
      <c r="B750" s="17">
        <v>10.919714880000001</v>
      </c>
      <c r="C750" s="18"/>
      <c r="D750" s="19"/>
    </row>
    <row r="751" spans="1:4" ht="14">
      <c r="A751" s="16">
        <v>41126</v>
      </c>
      <c r="B751" s="17">
        <v>10.80511738</v>
      </c>
      <c r="C751" s="18"/>
      <c r="D751" s="19"/>
    </row>
    <row r="752" spans="1:4" ht="14">
      <c r="A752" s="16">
        <v>41127</v>
      </c>
      <c r="B752" s="17">
        <v>10.8694465</v>
      </c>
      <c r="C752" s="18"/>
      <c r="D752" s="19"/>
    </row>
    <row r="753" spans="1:4" ht="14">
      <c r="A753" s="16">
        <v>41128</v>
      </c>
      <c r="B753" s="17">
        <v>10.941279440000001</v>
      </c>
      <c r="C753" s="18"/>
      <c r="D753" s="19"/>
    </row>
    <row r="754" spans="1:4" ht="14">
      <c r="A754" s="16">
        <v>41129</v>
      </c>
      <c r="B754" s="17">
        <v>11.070391600000001</v>
      </c>
      <c r="C754" s="18"/>
      <c r="D754" s="19"/>
    </row>
    <row r="755" spans="1:4" ht="14">
      <c r="A755" s="16">
        <v>41130</v>
      </c>
      <c r="B755" s="17">
        <v>11.103724740000001</v>
      </c>
      <c r="C755" s="18"/>
      <c r="D755" s="19"/>
    </row>
    <row r="756" spans="1:4" ht="14">
      <c r="A756" s="16">
        <v>41131</v>
      </c>
      <c r="B756" s="17">
        <v>11.447568800000001</v>
      </c>
      <c r="C756" s="18"/>
      <c r="D756" s="19"/>
    </row>
    <row r="757" spans="1:4" ht="14">
      <c r="A757" s="16">
        <v>41132</v>
      </c>
      <c r="B757" s="17">
        <v>11.54253553</v>
      </c>
      <c r="C757" s="18"/>
      <c r="D757" s="19"/>
    </row>
    <row r="758" spans="1:4" ht="14">
      <c r="A758" s="16">
        <v>41133</v>
      </c>
      <c r="B758" s="17">
        <v>11.59255239</v>
      </c>
      <c r="C758" s="18"/>
      <c r="D758" s="19"/>
    </row>
    <row r="759" spans="1:4" ht="14">
      <c r="A759" s="16">
        <v>41134</v>
      </c>
      <c r="B759" s="17">
        <v>11.98496299</v>
      </c>
      <c r="C759" s="18"/>
      <c r="D759" s="19"/>
    </row>
    <row r="760" spans="1:4" ht="14">
      <c r="A760" s="16">
        <v>41135</v>
      </c>
      <c r="B760" s="17">
        <v>12.18709748</v>
      </c>
      <c r="C760" s="18"/>
      <c r="D760" s="19"/>
    </row>
    <row r="761" spans="1:4" ht="14">
      <c r="A761" s="16">
        <v>41136</v>
      </c>
      <c r="B761" s="17">
        <v>13.17007735</v>
      </c>
      <c r="C761" s="18"/>
      <c r="D761" s="19"/>
    </row>
    <row r="762" spans="1:4" ht="14">
      <c r="A762" s="16">
        <v>41137</v>
      </c>
      <c r="B762" s="17">
        <v>13.45079082</v>
      </c>
      <c r="C762" s="18"/>
      <c r="D762" s="19"/>
    </row>
    <row r="763" spans="1:4" ht="14">
      <c r="A763" s="16">
        <v>41138</v>
      </c>
      <c r="B763" s="17">
        <v>12.07700554</v>
      </c>
      <c r="C763" s="18"/>
      <c r="D763" s="19"/>
    </row>
    <row r="764" spans="1:4" ht="14">
      <c r="A764" s="16">
        <v>41139</v>
      </c>
      <c r="B764" s="17">
        <v>11.57750716</v>
      </c>
      <c r="C764" s="18"/>
      <c r="D764" s="19"/>
    </row>
    <row r="765" spans="1:4" ht="14">
      <c r="A765" s="16">
        <v>41140</v>
      </c>
      <c r="B765" s="17">
        <v>7.8306218420000002</v>
      </c>
      <c r="C765" s="18"/>
      <c r="D765" s="19"/>
    </row>
    <row r="766" spans="1:4" ht="14">
      <c r="A766" s="16">
        <v>41141</v>
      </c>
      <c r="B766" s="17">
        <v>9.9798766489999995</v>
      </c>
      <c r="C766" s="18"/>
      <c r="D766" s="19"/>
    </row>
    <row r="767" spans="1:4" ht="14">
      <c r="A767" s="16">
        <v>41142</v>
      </c>
      <c r="B767" s="17">
        <v>9.9029820179999994</v>
      </c>
      <c r="C767" s="18"/>
      <c r="D767" s="19"/>
    </row>
    <row r="768" spans="1:4" ht="14">
      <c r="A768" s="16">
        <v>41143</v>
      </c>
      <c r="B768" s="17">
        <v>9.7725545789999995</v>
      </c>
      <c r="C768" s="18"/>
      <c r="D768" s="19"/>
    </row>
    <row r="769" spans="1:4" ht="14">
      <c r="A769" s="16">
        <v>41144</v>
      </c>
      <c r="B769" s="17">
        <v>10.08865743</v>
      </c>
      <c r="C769" s="18"/>
      <c r="D769" s="19"/>
    </row>
    <row r="770" spans="1:4" ht="14">
      <c r="A770" s="16">
        <v>41145</v>
      </c>
      <c r="B770" s="17">
        <v>10.594042590000001</v>
      </c>
      <c r="C770" s="18"/>
      <c r="D770" s="19"/>
    </row>
    <row r="771" spans="1:4" ht="14">
      <c r="A771" s="16">
        <v>41146</v>
      </c>
      <c r="B771" s="17">
        <v>10.583676669999999</v>
      </c>
      <c r="C771" s="18"/>
      <c r="D771" s="19"/>
    </row>
    <row r="772" spans="1:4" ht="14">
      <c r="A772" s="16">
        <v>41147</v>
      </c>
      <c r="B772" s="17">
        <v>10.54553074</v>
      </c>
      <c r="C772" s="18"/>
      <c r="D772" s="19"/>
    </row>
    <row r="773" spans="1:4" ht="14">
      <c r="A773" s="16">
        <v>41148</v>
      </c>
      <c r="B773" s="17">
        <v>10.90038008</v>
      </c>
      <c r="C773" s="18"/>
      <c r="D773" s="19"/>
    </row>
    <row r="774" spans="1:4" ht="14">
      <c r="A774" s="16">
        <v>41149</v>
      </c>
      <c r="B774" s="17">
        <v>10.932958530000001</v>
      </c>
      <c r="C774" s="18"/>
      <c r="D774" s="19"/>
    </row>
    <row r="775" spans="1:4" ht="14">
      <c r="A775" s="16">
        <v>41150</v>
      </c>
      <c r="B775" s="17">
        <v>10.867783899999999</v>
      </c>
      <c r="C775" s="18"/>
      <c r="D775" s="19"/>
    </row>
    <row r="776" spans="1:4" ht="14">
      <c r="A776" s="16">
        <v>41151</v>
      </c>
      <c r="B776" s="17">
        <v>10.72774884</v>
      </c>
      <c r="C776" s="18"/>
      <c r="D776" s="19"/>
    </row>
    <row r="777" spans="1:4" ht="14">
      <c r="A777" s="16">
        <v>41152</v>
      </c>
      <c r="B777" s="17">
        <v>10.10240982</v>
      </c>
      <c r="C777" s="18"/>
      <c r="D777" s="19"/>
    </row>
    <row r="778" spans="1:4" ht="14">
      <c r="A778" s="16">
        <v>41153</v>
      </c>
      <c r="B778" s="17">
        <v>10.00653294</v>
      </c>
      <c r="C778" s="18"/>
      <c r="D778" s="19"/>
    </row>
    <row r="779" spans="1:4" ht="14">
      <c r="A779" s="16">
        <v>41154</v>
      </c>
      <c r="B779" s="17">
        <v>10.2261162</v>
      </c>
      <c r="C779" s="18"/>
      <c r="D779" s="19"/>
    </row>
    <row r="780" spans="1:4" ht="14">
      <c r="A780" s="16">
        <v>41155</v>
      </c>
      <c r="B780" s="17">
        <v>10.49713431</v>
      </c>
      <c r="C780" s="18"/>
      <c r="D780" s="19"/>
    </row>
    <row r="781" spans="1:4" ht="14">
      <c r="A781" s="16">
        <v>41156</v>
      </c>
      <c r="B781" s="17">
        <v>10.364001890000001</v>
      </c>
      <c r="C781" s="18"/>
      <c r="D781" s="19"/>
    </row>
    <row r="782" spans="1:4" ht="14">
      <c r="A782" s="16">
        <v>41157</v>
      </c>
      <c r="B782" s="17">
        <v>11.02552288</v>
      </c>
      <c r="C782" s="18"/>
      <c r="D782" s="19"/>
    </row>
    <row r="783" spans="1:4" ht="14">
      <c r="A783" s="16">
        <v>41158</v>
      </c>
      <c r="B783" s="17">
        <v>11.16076902</v>
      </c>
      <c r="C783" s="18"/>
      <c r="D783" s="19"/>
    </row>
    <row r="784" spans="1:4" ht="14">
      <c r="A784" s="16">
        <v>41159</v>
      </c>
      <c r="B784" s="17">
        <v>11.07612234</v>
      </c>
      <c r="C784" s="18"/>
      <c r="D784" s="19"/>
    </row>
    <row r="785" spans="1:4" ht="14">
      <c r="A785" s="16">
        <v>41160</v>
      </c>
      <c r="B785" s="17">
        <v>11.04327003</v>
      </c>
      <c r="C785" s="18"/>
      <c r="D785" s="19"/>
    </row>
    <row r="786" spans="1:4" ht="14">
      <c r="A786" s="16">
        <v>41161</v>
      </c>
      <c r="B786" s="17">
        <v>11.062095490000001</v>
      </c>
      <c r="C786" s="18"/>
      <c r="D786" s="19"/>
    </row>
    <row r="787" spans="1:4" ht="14">
      <c r="A787" s="16">
        <v>41162</v>
      </c>
      <c r="B787" s="17">
        <v>11.1252888</v>
      </c>
      <c r="C787" s="18"/>
      <c r="D787" s="19"/>
    </row>
    <row r="788" spans="1:4" ht="14">
      <c r="A788" s="16">
        <v>41163</v>
      </c>
      <c r="B788" s="17">
        <v>11.268092960000001</v>
      </c>
      <c r="C788" s="18"/>
      <c r="D788" s="19"/>
    </row>
    <row r="789" spans="1:4" ht="14">
      <c r="A789" s="16">
        <v>41164</v>
      </c>
      <c r="B789" s="17">
        <v>11.31528591</v>
      </c>
      <c r="C789" s="18"/>
      <c r="D789" s="19"/>
    </row>
    <row r="790" spans="1:4" ht="14">
      <c r="A790" s="16">
        <v>41165</v>
      </c>
      <c r="B790" s="17">
        <v>11.38029929</v>
      </c>
      <c r="C790" s="18"/>
      <c r="D790" s="19"/>
    </row>
    <row r="791" spans="1:4" ht="14">
      <c r="A791" s="16">
        <v>41166</v>
      </c>
      <c r="B791" s="17">
        <v>11.73010762</v>
      </c>
      <c r="C791" s="18"/>
      <c r="D791" s="19"/>
    </row>
    <row r="792" spans="1:4" ht="14">
      <c r="A792" s="16">
        <v>41167</v>
      </c>
      <c r="B792" s="17">
        <v>11.71839342</v>
      </c>
      <c r="C792" s="18"/>
      <c r="D792" s="19"/>
    </row>
    <row r="793" spans="1:4" ht="14">
      <c r="A793" s="16">
        <v>41168</v>
      </c>
      <c r="B793" s="17">
        <v>11.88691122</v>
      </c>
      <c r="C793" s="18"/>
      <c r="D793" s="19"/>
    </row>
    <row r="794" spans="1:4" ht="14">
      <c r="A794" s="16">
        <v>41169</v>
      </c>
      <c r="B794" s="17">
        <v>11.908317159999999</v>
      </c>
      <c r="C794" s="18"/>
      <c r="D794" s="19"/>
    </row>
    <row r="795" spans="1:4" ht="14">
      <c r="A795" s="16">
        <v>41170</v>
      </c>
      <c r="B795" s="17">
        <v>12.259650840000001</v>
      </c>
      <c r="C795" s="18"/>
      <c r="D795" s="19"/>
    </row>
    <row r="796" spans="1:4" ht="14">
      <c r="A796" s="16">
        <v>41171</v>
      </c>
      <c r="B796" s="17">
        <v>12.504854099999999</v>
      </c>
      <c r="C796" s="18"/>
      <c r="D796" s="19"/>
    </row>
    <row r="797" spans="1:4" ht="14">
      <c r="A797" s="16">
        <v>41172</v>
      </c>
      <c r="B797" s="17">
        <v>12.367176649999999</v>
      </c>
      <c r="C797" s="18"/>
      <c r="D797" s="19"/>
    </row>
    <row r="798" spans="1:4" ht="14">
      <c r="A798" s="16">
        <v>41173</v>
      </c>
      <c r="B798" s="17">
        <v>12.333657840000001</v>
      </c>
      <c r="C798" s="18"/>
      <c r="D798" s="19"/>
    </row>
    <row r="799" spans="1:4" ht="14">
      <c r="A799" s="16">
        <v>41174</v>
      </c>
      <c r="B799" s="17">
        <v>12.213727629999999</v>
      </c>
      <c r="C799" s="18"/>
      <c r="D799" s="19"/>
    </row>
    <row r="800" spans="1:4" ht="14">
      <c r="A800" s="16">
        <v>41175</v>
      </c>
      <c r="B800" s="17">
        <v>12.16546303</v>
      </c>
      <c r="C800" s="18"/>
      <c r="D800" s="19"/>
    </row>
    <row r="801" spans="1:4" ht="14">
      <c r="A801" s="16">
        <v>41176</v>
      </c>
      <c r="B801" s="17">
        <v>12.113588719999999</v>
      </c>
      <c r="C801" s="18"/>
      <c r="D801" s="19"/>
    </row>
    <row r="802" spans="1:4" ht="14">
      <c r="A802" s="16">
        <v>41177</v>
      </c>
      <c r="B802" s="17">
        <v>12.18240539</v>
      </c>
      <c r="C802" s="18"/>
      <c r="D802" s="19"/>
    </row>
    <row r="803" spans="1:4" ht="14">
      <c r="A803" s="16">
        <v>41178</v>
      </c>
      <c r="B803" s="17">
        <v>12.31981686</v>
      </c>
      <c r="C803" s="18"/>
      <c r="D803" s="19"/>
    </row>
    <row r="804" spans="1:4" ht="14">
      <c r="A804" s="16">
        <v>41179</v>
      </c>
      <c r="B804" s="17">
        <v>12.3187514</v>
      </c>
      <c r="C804" s="18"/>
      <c r="D804" s="19"/>
    </row>
    <row r="805" spans="1:4" ht="14">
      <c r="A805" s="16">
        <v>41180</v>
      </c>
      <c r="B805" s="17">
        <v>12.38145739</v>
      </c>
      <c r="C805" s="18"/>
      <c r="D805" s="19"/>
    </row>
    <row r="806" spans="1:4" ht="14">
      <c r="A806" s="16">
        <v>41181</v>
      </c>
      <c r="B806" s="17">
        <v>12.404751510000001</v>
      </c>
      <c r="C806" s="18"/>
      <c r="D806" s="19"/>
    </row>
    <row r="807" spans="1:4" ht="14">
      <c r="A807" s="16">
        <v>41182</v>
      </c>
      <c r="B807" s="17">
        <v>12.39162247</v>
      </c>
      <c r="C807" s="18"/>
      <c r="D807" s="19"/>
    </row>
    <row r="808" spans="1:4" ht="14">
      <c r="A808" s="16">
        <v>41183</v>
      </c>
      <c r="B808" s="17">
        <v>12.389395159999999</v>
      </c>
      <c r="C808" s="18"/>
      <c r="D808" s="19"/>
    </row>
    <row r="809" spans="1:4" ht="14">
      <c r="A809" s="16">
        <v>41184</v>
      </c>
      <c r="B809" s="17">
        <v>12.807238099999999</v>
      </c>
      <c r="C809" s="18"/>
      <c r="D809" s="19"/>
    </row>
    <row r="810" spans="1:4" ht="14">
      <c r="A810" s="16">
        <v>41185</v>
      </c>
      <c r="B810" s="17">
        <v>12.955430489999999</v>
      </c>
      <c r="C810" s="18"/>
      <c r="D810" s="19"/>
    </row>
    <row r="811" spans="1:4" ht="14">
      <c r="A811" s="16">
        <v>41186</v>
      </c>
      <c r="B811" s="17">
        <v>12.86238578</v>
      </c>
      <c r="C811" s="18"/>
      <c r="D811" s="19"/>
    </row>
    <row r="812" spans="1:4" ht="14">
      <c r="A812" s="16">
        <v>41187</v>
      </c>
      <c r="B812" s="17">
        <v>12.752219419999999</v>
      </c>
      <c r="C812" s="18"/>
      <c r="D812" s="19"/>
    </row>
    <row r="813" spans="1:4" ht="14">
      <c r="A813" s="16">
        <v>41188</v>
      </c>
      <c r="B813" s="17">
        <v>12.50512971</v>
      </c>
      <c r="C813" s="18"/>
      <c r="D813" s="19"/>
    </row>
    <row r="814" spans="1:4" ht="14">
      <c r="A814" s="16">
        <v>41189</v>
      </c>
      <c r="B814" s="17">
        <v>11.87399709</v>
      </c>
      <c r="C814" s="18"/>
      <c r="D814" s="19"/>
    </row>
    <row r="815" spans="1:4" ht="14">
      <c r="A815" s="16">
        <v>41190</v>
      </c>
      <c r="B815" s="17">
        <v>11.733329749999999</v>
      </c>
      <c r="C815" s="18"/>
      <c r="D815" s="19"/>
    </row>
    <row r="816" spans="1:4" ht="14">
      <c r="A816" s="16">
        <v>41191</v>
      </c>
      <c r="B816" s="17">
        <v>11.82866344</v>
      </c>
      <c r="C816" s="18"/>
      <c r="D816" s="19"/>
    </row>
    <row r="817" spans="1:4" ht="14">
      <c r="A817" s="16">
        <v>41192</v>
      </c>
      <c r="B817" s="17">
        <v>12.10918848</v>
      </c>
      <c r="C817" s="18"/>
      <c r="D817" s="19"/>
    </row>
    <row r="818" spans="1:4" ht="14">
      <c r="A818" s="16">
        <v>41193</v>
      </c>
      <c r="B818" s="17">
        <v>12.067551809999999</v>
      </c>
      <c r="C818" s="18"/>
      <c r="D818" s="19"/>
    </row>
    <row r="819" spans="1:4" ht="14">
      <c r="A819" s="16">
        <v>41194</v>
      </c>
      <c r="B819" s="17">
        <v>12.02806816</v>
      </c>
      <c r="C819" s="18"/>
      <c r="D819" s="19"/>
    </row>
    <row r="820" spans="1:4" ht="14">
      <c r="A820" s="16">
        <v>41195</v>
      </c>
      <c r="B820" s="17">
        <v>11.926803830000001</v>
      </c>
      <c r="C820" s="18"/>
      <c r="D820" s="19"/>
    </row>
    <row r="821" spans="1:4" ht="14">
      <c r="A821" s="16">
        <v>41196</v>
      </c>
      <c r="B821" s="17">
        <v>11.65057796</v>
      </c>
      <c r="C821" s="18"/>
      <c r="D821" s="19"/>
    </row>
    <row r="822" spans="1:4" ht="14">
      <c r="A822" s="16">
        <v>41197</v>
      </c>
      <c r="B822" s="17">
        <v>11.90830953</v>
      </c>
      <c r="C822" s="18"/>
      <c r="D822" s="19"/>
    </row>
    <row r="823" spans="1:4" ht="14">
      <c r="A823" s="16">
        <v>41198</v>
      </c>
      <c r="B823" s="17">
        <v>11.84801807</v>
      </c>
      <c r="C823" s="18"/>
      <c r="D823" s="19"/>
    </row>
    <row r="824" spans="1:4" ht="14">
      <c r="A824" s="16">
        <v>41199</v>
      </c>
      <c r="B824" s="17">
        <v>11.91938816</v>
      </c>
      <c r="C824" s="18"/>
      <c r="D824" s="19"/>
    </row>
    <row r="825" spans="1:4" ht="14">
      <c r="A825" s="16">
        <v>41200</v>
      </c>
      <c r="B825" s="17">
        <v>11.92593284</v>
      </c>
      <c r="C825" s="18"/>
      <c r="D825" s="19"/>
    </row>
    <row r="826" spans="1:4" ht="14">
      <c r="A826" s="16">
        <v>41201</v>
      </c>
      <c r="B826" s="17">
        <v>11.7574858</v>
      </c>
      <c r="C826" s="18"/>
      <c r="D826" s="19"/>
    </row>
    <row r="827" spans="1:4" ht="14">
      <c r="A827" s="16">
        <v>41202</v>
      </c>
      <c r="B827" s="17">
        <v>11.69437755</v>
      </c>
      <c r="C827" s="18"/>
      <c r="D827" s="19"/>
    </row>
    <row r="828" spans="1:4" ht="14">
      <c r="A828" s="16">
        <v>41203</v>
      </c>
      <c r="B828" s="17">
        <v>11.65741141</v>
      </c>
      <c r="C828" s="18"/>
      <c r="D828" s="19"/>
    </row>
    <row r="829" spans="1:4" ht="14">
      <c r="A829" s="16">
        <v>41204</v>
      </c>
      <c r="B829" s="17">
        <v>11.74107791</v>
      </c>
      <c r="C829" s="18"/>
      <c r="D829" s="19"/>
    </row>
    <row r="830" spans="1:4" ht="14">
      <c r="A830" s="16">
        <v>41205</v>
      </c>
      <c r="B830" s="17">
        <v>11.707781730000001</v>
      </c>
      <c r="C830" s="18"/>
      <c r="D830" s="19"/>
    </row>
    <row r="831" spans="1:4" ht="14">
      <c r="A831" s="16">
        <v>41206</v>
      </c>
      <c r="B831" s="17">
        <v>11.63435239</v>
      </c>
      <c r="C831" s="18"/>
      <c r="D831" s="19"/>
    </row>
    <row r="832" spans="1:4" ht="14">
      <c r="A832" s="16">
        <v>41207</v>
      </c>
      <c r="B832" s="17">
        <v>10.75362982</v>
      </c>
      <c r="C832" s="18"/>
      <c r="D832" s="19"/>
    </row>
    <row r="833" spans="1:4" ht="14">
      <c r="A833" s="16">
        <v>41208</v>
      </c>
      <c r="B833" s="17">
        <v>10.130619490000001</v>
      </c>
      <c r="C833" s="18"/>
      <c r="D833" s="19"/>
    </row>
    <row r="834" spans="1:4" ht="14">
      <c r="A834" s="16">
        <v>41209</v>
      </c>
      <c r="B834" s="17">
        <v>10.458186299999999</v>
      </c>
      <c r="C834" s="18"/>
      <c r="D834" s="19"/>
    </row>
    <row r="835" spans="1:4" ht="14">
      <c r="A835" s="16">
        <v>41210</v>
      </c>
      <c r="B835" s="17">
        <v>10.70996208</v>
      </c>
      <c r="C835" s="18"/>
      <c r="D835" s="19"/>
    </row>
    <row r="836" spans="1:4" ht="14">
      <c r="A836" s="16">
        <v>41211</v>
      </c>
      <c r="B836" s="17">
        <v>10.63073898</v>
      </c>
      <c r="C836" s="18"/>
      <c r="D836" s="19"/>
    </row>
    <row r="837" spans="1:4" ht="14">
      <c r="A837" s="16">
        <v>41212</v>
      </c>
      <c r="B837" s="17">
        <v>10.859323059999999</v>
      </c>
      <c r="C837" s="18"/>
      <c r="D837" s="19"/>
    </row>
    <row r="838" spans="1:4" ht="14">
      <c r="A838" s="16">
        <v>41213</v>
      </c>
      <c r="B838" s="17">
        <v>11.146071839999999</v>
      </c>
      <c r="C838" s="18"/>
      <c r="D838" s="19"/>
    </row>
    <row r="839" spans="1:4" ht="14">
      <c r="A839" s="16">
        <v>41214</v>
      </c>
      <c r="B839" s="17">
        <v>10.61353575</v>
      </c>
      <c r="C839" s="18"/>
      <c r="D839" s="19"/>
    </row>
    <row r="840" spans="1:4" ht="14">
      <c r="A840" s="16">
        <v>41215</v>
      </c>
      <c r="B840" s="17">
        <v>10.530503639999999</v>
      </c>
      <c r="C840" s="18"/>
      <c r="D840" s="19"/>
    </row>
    <row r="841" spans="1:4" ht="14">
      <c r="A841" s="16">
        <v>41216</v>
      </c>
      <c r="B841" s="17">
        <v>10.650747020000001</v>
      </c>
      <c r="C841" s="18"/>
      <c r="D841" s="19"/>
    </row>
    <row r="842" spans="1:4" ht="14">
      <c r="A842" s="16">
        <v>41217</v>
      </c>
      <c r="B842" s="17">
        <v>10.796882889999999</v>
      </c>
      <c r="C842" s="18"/>
      <c r="D842" s="19"/>
    </row>
    <row r="843" spans="1:4" ht="14">
      <c r="A843" s="16">
        <v>41218</v>
      </c>
      <c r="B843" s="17">
        <v>10.74082074</v>
      </c>
      <c r="C843" s="18"/>
      <c r="D843" s="19"/>
    </row>
    <row r="844" spans="1:4" ht="14">
      <c r="A844" s="16">
        <v>41219</v>
      </c>
      <c r="B844" s="17">
        <v>10.868197500000001</v>
      </c>
      <c r="C844" s="18"/>
      <c r="D844" s="19"/>
    </row>
    <row r="845" spans="1:4" ht="14">
      <c r="A845" s="16">
        <v>41220</v>
      </c>
      <c r="B845" s="17">
        <v>10.95409894</v>
      </c>
      <c r="C845" s="18"/>
      <c r="D845" s="19"/>
    </row>
    <row r="846" spans="1:4" ht="14">
      <c r="A846" s="16">
        <v>41221</v>
      </c>
      <c r="B846" s="17">
        <v>10.892699370000001</v>
      </c>
      <c r="C846" s="18"/>
      <c r="D846" s="19"/>
    </row>
    <row r="847" spans="1:4" ht="14">
      <c r="A847" s="16">
        <v>41222</v>
      </c>
      <c r="B847" s="17">
        <v>10.815867219999999</v>
      </c>
      <c r="C847" s="18"/>
      <c r="D847" s="19"/>
    </row>
    <row r="848" spans="1:4" ht="14">
      <c r="A848" s="16">
        <v>41223</v>
      </c>
      <c r="B848" s="17">
        <v>10.863260439999999</v>
      </c>
      <c r="C848" s="18"/>
      <c r="D848" s="19"/>
    </row>
    <row r="849" spans="1:4" ht="14">
      <c r="A849" s="16">
        <v>41224</v>
      </c>
      <c r="B849" s="17">
        <v>10.841840639999999</v>
      </c>
      <c r="C849" s="18"/>
      <c r="D849" s="19"/>
    </row>
    <row r="850" spans="1:4" ht="14">
      <c r="A850" s="16">
        <v>41225</v>
      </c>
      <c r="B850" s="17">
        <v>11.031342459999999</v>
      </c>
      <c r="C850" s="18"/>
      <c r="D850" s="19"/>
    </row>
    <row r="851" spans="1:4" ht="14">
      <c r="A851" s="16">
        <v>41226</v>
      </c>
      <c r="B851" s="17">
        <v>10.99800278</v>
      </c>
      <c r="C851" s="18"/>
      <c r="D851" s="19"/>
    </row>
    <row r="852" spans="1:4" ht="14">
      <c r="A852" s="16">
        <v>41227</v>
      </c>
      <c r="B852" s="17">
        <v>10.958952419999999</v>
      </c>
      <c r="C852" s="18"/>
      <c r="D852" s="19"/>
    </row>
    <row r="853" spans="1:4" ht="14">
      <c r="A853" s="16">
        <v>41228</v>
      </c>
      <c r="B853" s="17">
        <v>11.175109859999999</v>
      </c>
      <c r="C853" s="18"/>
      <c r="D853" s="19"/>
    </row>
    <row r="854" spans="1:4" ht="14">
      <c r="A854" s="16">
        <v>41229</v>
      </c>
      <c r="B854" s="17">
        <v>11.70504483</v>
      </c>
      <c r="C854" s="18"/>
      <c r="D854" s="19"/>
    </row>
    <row r="855" spans="1:4" ht="14">
      <c r="A855" s="16">
        <v>41230</v>
      </c>
      <c r="B855" s="17">
        <v>11.7500424</v>
      </c>
      <c r="C855" s="18"/>
      <c r="D855" s="19"/>
    </row>
    <row r="856" spans="1:4" ht="14">
      <c r="A856" s="16">
        <v>41231</v>
      </c>
      <c r="B856" s="17">
        <v>11.66563103</v>
      </c>
      <c r="C856" s="18"/>
      <c r="D856" s="19"/>
    </row>
    <row r="857" spans="1:4" ht="14">
      <c r="A857" s="16">
        <v>41232</v>
      </c>
      <c r="B857" s="17">
        <v>11.750529350000001</v>
      </c>
      <c r="C857" s="18"/>
      <c r="D857" s="19"/>
    </row>
    <row r="858" spans="1:4" ht="14">
      <c r="A858" s="16">
        <v>41233</v>
      </c>
      <c r="B858" s="17">
        <v>11.69917032</v>
      </c>
      <c r="C858" s="18"/>
      <c r="D858" s="19"/>
    </row>
    <row r="859" spans="1:4" ht="14">
      <c r="A859" s="16">
        <v>41234</v>
      </c>
      <c r="B859" s="17">
        <v>11.72913518</v>
      </c>
      <c r="C859" s="18"/>
      <c r="D859" s="19"/>
    </row>
    <row r="860" spans="1:4" ht="14">
      <c r="A860" s="16">
        <v>41235</v>
      </c>
      <c r="B860" s="17">
        <v>12.291997950000001</v>
      </c>
      <c r="C860" s="18"/>
      <c r="D860" s="19"/>
    </row>
    <row r="861" spans="1:4" ht="14">
      <c r="A861" s="16">
        <v>41236</v>
      </c>
      <c r="B861" s="17">
        <v>12.280287619999999</v>
      </c>
      <c r="C861" s="18"/>
      <c r="D861" s="19"/>
    </row>
    <row r="862" spans="1:4" ht="14">
      <c r="A862" s="16">
        <v>41237</v>
      </c>
      <c r="B862" s="17">
        <v>12.4132044</v>
      </c>
      <c r="C862" s="18"/>
      <c r="D862" s="19"/>
    </row>
    <row r="863" spans="1:4" ht="14">
      <c r="A863" s="16">
        <v>41238</v>
      </c>
      <c r="B863" s="17">
        <v>12.529689490000001</v>
      </c>
      <c r="C863" s="18"/>
      <c r="D863" s="19"/>
    </row>
    <row r="864" spans="1:4" ht="14">
      <c r="A864" s="16">
        <v>41239</v>
      </c>
      <c r="B864" s="17">
        <v>12.18462624</v>
      </c>
      <c r="C864" s="18"/>
      <c r="D864" s="19"/>
    </row>
    <row r="865" spans="1:4" ht="14">
      <c r="A865" s="16">
        <v>41240</v>
      </c>
      <c r="B865" s="17">
        <v>12.15927538</v>
      </c>
      <c r="C865" s="18"/>
      <c r="D865" s="19"/>
    </row>
    <row r="866" spans="1:4" ht="14">
      <c r="A866" s="16">
        <v>41241</v>
      </c>
      <c r="B866" s="17">
        <v>12.33165983</v>
      </c>
      <c r="C866" s="18"/>
      <c r="D866" s="19"/>
    </row>
    <row r="867" spans="1:4" ht="14">
      <c r="A867" s="16">
        <v>41242</v>
      </c>
      <c r="B867" s="17">
        <v>12.49766165</v>
      </c>
      <c r="C867" s="18"/>
      <c r="D867" s="19"/>
    </row>
    <row r="868" spans="1:4" ht="14">
      <c r="A868" s="16">
        <v>41243</v>
      </c>
      <c r="B868" s="17">
        <v>12.586138930000001</v>
      </c>
      <c r="C868" s="18"/>
      <c r="D868" s="19"/>
    </row>
    <row r="869" spans="1:4" ht="14">
      <c r="A869" s="16">
        <v>41244</v>
      </c>
      <c r="B869" s="17">
        <v>12.59238687</v>
      </c>
      <c r="C869" s="18"/>
      <c r="D869" s="19"/>
    </row>
    <row r="870" spans="1:4" ht="14">
      <c r="A870" s="16">
        <v>41245</v>
      </c>
      <c r="B870" s="17">
        <v>12.497944759999999</v>
      </c>
      <c r="C870" s="18"/>
      <c r="D870" s="19"/>
    </row>
    <row r="871" spans="1:4" ht="14">
      <c r="A871" s="16">
        <v>41246</v>
      </c>
      <c r="B871" s="17">
        <v>12.65695784</v>
      </c>
      <c r="C871" s="18"/>
      <c r="D871" s="19"/>
    </row>
    <row r="872" spans="1:4" ht="14">
      <c r="A872" s="16">
        <v>41247</v>
      </c>
      <c r="B872" s="17">
        <v>13.36958958</v>
      </c>
      <c r="C872" s="18"/>
      <c r="D872" s="19"/>
    </row>
    <row r="873" spans="1:4" ht="14">
      <c r="A873" s="16">
        <v>41248</v>
      </c>
      <c r="B873" s="17">
        <v>13.31275022</v>
      </c>
      <c r="C873" s="18"/>
      <c r="D873" s="19"/>
    </row>
    <row r="874" spans="1:4" ht="14">
      <c r="A874" s="16">
        <v>41249</v>
      </c>
      <c r="B874" s="17">
        <v>13.47792454</v>
      </c>
      <c r="C874" s="18"/>
      <c r="D874" s="19"/>
    </row>
    <row r="875" spans="1:4" ht="14">
      <c r="A875" s="16">
        <v>41250</v>
      </c>
      <c r="B875" s="17">
        <v>13.477282450000001</v>
      </c>
      <c r="C875" s="18"/>
      <c r="D875" s="19"/>
    </row>
    <row r="876" spans="1:4" ht="14">
      <c r="A876" s="16">
        <v>41251</v>
      </c>
      <c r="B876" s="17">
        <v>13.49998441</v>
      </c>
      <c r="C876" s="18"/>
      <c r="D876" s="19"/>
    </row>
    <row r="877" spans="1:4" ht="14">
      <c r="A877" s="16">
        <v>41252</v>
      </c>
      <c r="B877" s="17">
        <v>13.346510889999999</v>
      </c>
      <c r="C877" s="18"/>
      <c r="D877" s="19"/>
    </row>
    <row r="878" spans="1:4" ht="14">
      <c r="A878" s="16">
        <v>41253</v>
      </c>
      <c r="B878" s="17">
        <v>13.492256579999999</v>
      </c>
      <c r="C878" s="18"/>
      <c r="D878" s="19"/>
    </row>
    <row r="879" spans="1:4" ht="14">
      <c r="A879" s="16">
        <v>41254</v>
      </c>
      <c r="B879" s="17">
        <v>13.615415670000001</v>
      </c>
      <c r="C879" s="18"/>
      <c r="D879" s="19"/>
    </row>
    <row r="880" spans="1:4" ht="14">
      <c r="A880" s="16">
        <v>41255</v>
      </c>
      <c r="B880" s="17">
        <v>13.668213639999999</v>
      </c>
      <c r="C880" s="18"/>
      <c r="D880" s="19"/>
    </row>
    <row r="881" spans="1:4" ht="14">
      <c r="A881" s="16">
        <v>41256</v>
      </c>
      <c r="B881" s="17">
        <v>13.75525152</v>
      </c>
      <c r="C881" s="18"/>
      <c r="D881" s="19"/>
    </row>
    <row r="882" spans="1:4" ht="14">
      <c r="A882" s="16">
        <v>41257</v>
      </c>
      <c r="B882" s="17">
        <v>13.60092225</v>
      </c>
      <c r="C882" s="18"/>
      <c r="D882" s="19"/>
    </row>
    <row r="883" spans="1:4" ht="14">
      <c r="A883" s="16">
        <v>41258</v>
      </c>
      <c r="B883" s="17">
        <v>13.53094829</v>
      </c>
      <c r="C883" s="18"/>
      <c r="D883" s="19"/>
    </row>
    <row r="884" spans="1:4" ht="14">
      <c r="A884" s="16">
        <v>41259</v>
      </c>
      <c r="B884" s="17">
        <v>13.332861080000001</v>
      </c>
      <c r="C884" s="18"/>
      <c r="D884" s="19"/>
    </row>
    <row r="885" spans="1:4" ht="14">
      <c r="A885" s="16">
        <v>41260</v>
      </c>
      <c r="B885" s="17">
        <v>13.320071950000001</v>
      </c>
      <c r="C885" s="18"/>
      <c r="D885" s="19"/>
    </row>
    <row r="886" spans="1:4" ht="14">
      <c r="A886" s="16">
        <v>41261</v>
      </c>
      <c r="B886" s="17">
        <v>13.27203387</v>
      </c>
      <c r="C886" s="18"/>
      <c r="D886" s="19"/>
    </row>
    <row r="887" spans="1:4" ht="14">
      <c r="A887" s="16">
        <v>41262</v>
      </c>
      <c r="B887" s="17">
        <v>13.53854318</v>
      </c>
      <c r="C887" s="18"/>
      <c r="D887" s="19"/>
    </row>
    <row r="888" spans="1:4" ht="14">
      <c r="A888" s="16">
        <v>41263</v>
      </c>
      <c r="B888" s="17">
        <v>13.57002703</v>
      </c>
      <c r="C888" s="18"/>
      <c r="D888" s="19"/>
    </row>
    <row r="889" spans="1:4" ht="14">
      <c r="A889" s="16">
        <v>41264</v>
      </c>
      <c r="B889" s="17">
        <v>13.428967999999999</v>
      </c>
      <c r="C889" s="18"/>
      <c r="D889" s="19"/>
    </row>
    <row r="890" spans="1:4" ht="14">
      <c r="A890" s="16">
        <v>41265</v>
      </c>
      <c r="B890" s="17">
        <v>13.427213910000001</v>
      </c>
      <c r="C890" s="18"/>
      <c r="D890" s="19"/>
    </row>
    <row r="891" spans="1:4" ht="14">
      <c r="A891" s="16">
        <v>41266</v>
      </c>
      <c r="B891" s="17">
        <v>13.31810576</v>
      </c>
      <c r="C891" s="18"/>
      <c r="D891" s="19"/>
    </row>
    <row r="892" spans="1:4" ht="14">
      <c r="A892" s="16">
        <v>41267</v>
      </c>
      <c r="B892" s="17">
        <v>13.426662670000001</v>
      </c>
      <c r="C892" s="18"/>
      <c r="D892" s="19"/>
    </row>
    <row r="893" spans="1:4" ht="14">
      <c r="A893" s="16">
        <v>41268</v>
      </c>
      <c r="B893" s="17">
        <v>13.365567</v>
      </c>
      <c r="C893" s="18"/>
      <c r="D893" s="19"/>
    </row>
    <row r="894" spans="1:4" ht="14">
      <c r="A894" s="16">
        <v>41269</v>
      </c>
      <c r="B894" s="17">
        <v>13.45469902</v>
      </c>
      <c r="C894" s="18"/>
      <c r="D894" s="19"/>
    </row>
    <row r="895" spans="1:4" ht="14">
      <c r="A895" s="16">
        <v>41270</v>
      </c>
      <c r="B895" s="17">
        <v>13.39930318</v>
      </c>
      <c r="C895" s="18"/>
      <c r="D895" s="19"/>
    </row>
    <row r="896" spans="1:4" ht="14">
      <c r="A896" s="16">
        <v>41271</v>
      </c>
      <c r="B896" s="17">
        <v>13.455507219999999</v>
      </c>
      <c r="C896" s="18"/>
      <c r="D896" s="19"/>
    </row>
    <row r="897" spans="1:4" ht="14">
      <c r="A897" s="16">
        <v>41272</v>
      </c>
      <c r="B897" s="17">
        <v>13.37400386</v>
      </c>
      <c r="C897" s="18"/>
      <c r="D897" s="19"/>
    </row>
    <row r="898" spans="1:4" ht="14">
      <c r="A898" s="16">
        <v>41273</v>
      </c>
      <c r="B898" s="17">
        <v>13.4450138</v>
      </c>
      <c r="C898" s="18"/>
      <c r="D898" s="19"/>
    </row>
    <row r="899" spans="1:4" ht="14">
      <c r="A899" s="16">
        <v>41274</v>
      </c>
      <c r="B899" s="17">
        <v>13.54555244</v>
      </c>
      <c r="C899" s="18"/>
      <c r="D899" s="19"/>
    </row>
    <row r="900" spans="1:4" ht="14">
      <c r="A900" s="16">
        <v>41275</v>
      </c>
      <c r="B900" s="17">
        <v>13.33137142</v>
      </c>
      <c r="C900" s="18"/>
      <c r="D900" s="19"/>
    </row>
    <row r="901" spans="1:4" ht="14">
      <c r="A901" s="16">
        <v>41276</v>
      </c>
      <c r="B901" s="17">
        <v>13.28060681</v>
      </c>
      <c r="C901" s="18"/>
      <c r="D901" s="19"/>
    </row>
    <row r="902" spans="1:4" ht="14">
      <c r="A902" s="16">
        <v>41277</v>
      </c>
      <c r="B902" s="17">
        <v>13.38408115</v>
      </c>
      <c r="C902" s="18"/>
      <c r="D902" s="19"/>
    </row>
    <row r="903" spans="1:4" ht="14">
      <c r="A903" s="16">
        <v>41278</v>
      </c>
      <c r="B903" s="17">
        <v>13.451721149999999</v>
      </c>
      <c r="C903" s="18"/>
      <c r="D903" s="19"/>
    </row>
    <row r="904" spans="1:4" ht="14">
      <c r="A904" s="16">
        <v>41279</v>
      </c>
      <c r="B904" s="17">
        <v>13.459406769999999</v>
      </c>
      <c r="C904" s="18"/>
      <c r="D904" s="19"/>
    </row>
    <row r="905" spans="1:4" ht="14">
      <c r="A905" s="16">
        <v>41280</v>
      </c>
      <c r="B905" s="17">
        <v>13.504496509999999</v>
      </c>
      <c r="C905" s="18"/>
      <c r="D905" s="19"/>
    </row>
    <row r="906" spans="1:4" ht="14">
      <c r="A906" s="16">
        <v>41281</v>
      </c>
      <c r="B906" s="17">
        <v>13.556061659999999</v>
      </c>
      <c r="C906" s="18"/>
      <c r="D906" s="19"/>
    </row>
    <row r="907" spans="1:4" ht="14">
      <c r="A907" s="16">
        <v>41282</v>
      </c>
      <c r="B907" s="17">
        <v>13.780350629999999</v>
      </c>
      <c r="C907" s="18"/>
      <c r="D907" s="19"/>
    </row>
    <row r="908" spans="1:4" ht="14">
      <c r="A908" s="16">
        <v>41283</v>
      </c>
      <c r="B908" s="17">
        <v>13.82095526</v>
      </c>
      <c r="C908" s="18"/>
      <c r="D908" s="19"/>
    </row>
    <row r="909" spans="1:4" ht="14">
      <c r="A909" s="16">
        <v>41284</v>
      </c>
      <c r="B909" s="17">
        <v>14.12317286</v>
      </c>
      <c r="C909" s="18"/>
      <c r="D909" s="19"/>
    </row>
    <row r="910" spans="1:4" ht="14">
      <c r="A910" s="16">
        <v>41285</v>
      </c>
      <c r="B910" s="17">
        <v>14.22762112</v>
      </c>
      <c r="C910" s="18"/>
      <c r="D910" s="19"/>
    </row>
    <row r="911" spans="1:4" ht="14">
      <c r="A911" s="16">
        <v>41286</v>
      </c>
      <c r="B911" s="17">
        <v>14.21428566</v>
      </c>
      <c r="C911" s="18"/>
      <c r="D911" s="19"/>
    </row>
    <row r="912" spans="1:4" ht="14">
      <c r="A912" s="16">
        <v>41287</v>
      </c>
      <c r="B912" s="17">
        <v>14.160788269999999</v>
      </c>
      <c r="C912" s="18"/>
      <c r="D912" s="19"/>
    </row>
    <row r="913" spans="1:4" ht="14">
      <c r="A913" s="16">
        <v>41288</v>
      </c>
      <c r="B913" s="17">
        <v>14.317970320000001</v>
      </c>
      <c r="C913" s="18"/>
      <c r="D913" s="19"/>
    </row>
    <row r="914" spans="1:4" ht="14">
      <c r="A914" s="16">
        <v>41289</v>
      </c>
      <c r="B914" s="17">
        <v>14.31363775</v>
      </c>
      <c r="C914" s="18"/>
      <c r="D914" s="19"/>
    </row>
    <row r="915" spans="1:4" ht="14">
      <c r="A915" s="16">
        <v>41290</v>
      </c>
      <c r="B915" s="17">
        <v>14.70781405</v>
      </c>
      <c r="C915" s="18"/>
      <c r="D915" s="19"/>
    </row>
    <row r="916" spans="1:4" ht="14">
      <c r="A916" s="16">
        <v>41291</v>
      </c>
      <c r="B916" s="17">
        <v>15.598599739999999</v>
      </c>
      <c r="C916" s="18"/>
      <c r="D916" s="19"/>
    </row>
    <row r="917" spans="1:4" ht="14">
      <c r="A917" s="16">
        <v>41292</v>
      </c>
      <c r="B917" s="17">
        <v>15.71579112</v>
      </c>
      <c r="C917" s="18"/>
      <c r="D917" s="19"/>
    </row>
    <row r="918" spans="1:4" ht="14">
      <c r="A918" s="16">
        <v>41293</v>
      </c>
      <c r="B918" s="17">
        <v>15.5881264</v>
      </c>
      <c r="C918" s="18"/>
      <c r="D918" s="19"/>
    </row>
    <row r="919" spans="1:4" ht="14">
      <c r="A919" s="16">
        <v>41294</v>
      </c>
      <c r="B919" s="17">
        <v>15.71959214</v>
      </c>
      <c r="C919" s="18"/>
      <c r="D919" s="19"/>
    </row>
    <row r="920" spans="1:4" ht="14">
      <c r="A920" s="16">
        <v>41295</v>
      </c>
      <c r="B920" s="17">
        <v>16.781019520000001</v>
      </c>
      <c r="C920" s="18"/>
      <c r="D920" s="19"/>
    </row>
    <row r="921" spans="1:4" ht="14">
      <c r="A921" s="16">
        <v>41296</v>
      </c>
      <c r="B921" s="17">
        <v>17.300178840000001</v>
      </c>
      <c r="C921" s="18"/>
      <c r="D921" s="19"/>
    </row>
    <row r="922" spans="1:4" ht="14">
      <c r="A922" s="16">
        <v>41297</v>
      </c>
      <c r="B922" s="17">
        <v>17.536395420000002</v>
      </c>
      <c r="C922" s="18"/>
      <c r="D922" s="19"/>
    </row>
    <row r="923" spans="1:4" ht="14">
      <c r="A923" s="16">
        <v>41298</v>
      </c>
      <c r="B923" s="17">
        <v>16.901086070000002</v>
      </c>
      <c r="C923" s="18"/>
      <c r="D923" s="19"/>
    </row>
    <row r="924" spans="1:4" ht="14">
      <c r="A924" s="16">
        <v>41299</v>
      </c>
      <c r="B924" s="17">
        <v>17.407202030000001</v>
      </c>
      <c r="C924" s="18"/>
      <c r="D924" s="19"/>
    </row>
    <row r="925" spans="1:4" ht="14">
      <c r="A925" s="16">
        <v>41300</v>
      </c>
      <c r="B925" s="17">
        <v>17.553629180000001</v>
      </c>
      <c r="C925" s="18"/>
      <c r="D925" s="19"/>
    </row>
    <row r="926" spans="1:4" ht="14">
      <c r="A926" s="16">
        <v>41301</v>
      </c>
      <c r="B926" s="17">
        <v>17.864628010000001</v>
      </c>
      <c r="C926" s="18"/>
      <c r="D926" s="19"/>
    </row>
    <row r="927" spans="1:4" ht="14">
      <c r="A927" s="16">
        <v>41302</v>
      </c>
      <c r="B927" s="17">
        <v>18.794264869999999</v>
      </c>
      <c r="C927" s="18"/>
      <c r="D927" s="19"/>
    </row>
    <row r="928" spans="1:4" ht="14">
      <c r="A928" s="16">
        <v>41303</v>
      </c>
      <c r="B928" s="17">
        <v>19.514714189999999</v>
      </c>
      <c r="C928" s="18"/>
      <c r="D928" s="19"/>
    </row>
    <row r="929" spans="1:4" ht="14">
      <c r="A929" s="16">
        <v>41304</v>
      </c>
      <c r="B929" s="17">
        <v>19.737446689999999</v>
      </c>
      <c r="C929" s="18"/>
      <c r="D929" s="19"/>
    </row>
    <row r="930" spans="1:4" ht="14">
      <c r="A930" s="16">
        <v>41305</v>
      </c>
      <c r="B930" s="17">
        <v>20.511643029999998</v>
      </c>
      <c r="C930" s="18"/>
      <c r="D930" s="19"/>
    </row>
    <row r="931" spans="1:4" ht="14">
      <c r="A931" s="16">
        <v>41306</v>
      </c>
      <c r="B931" s="17">
        <v>20.44309196</v>
      </c>
      <c r="C931" s="18"/>
      <c r="D931" s="19"/>
    </row>
    <row r="932" spans="1:4" ht="14">
      <c r="A932" s="16">
        <v>41307</v>
      </c>
      <c r="B932" s="17">
        <v>19.635901709999999</v>
      </c>
      <c r="C932" s="18"/>
      <c r="D932" s="19"/>
    </row>
    <row r="933" spans="1:4" ht="14">
      <c r="A933" s="16">
        <v>41308</v>
      </c>
      <c r="B933" s="17">
        <v>20.578939680000001</v>
      </c>
      <c r="C933" s="18"/>
      <c r="D933" s="19"/>
    </row>
    <row r="934" spans="1:4" ht="14">
      <c r="A934" s="16">
        <v>41309</v>
      </c>
      <c r="B934" s="17">
        <v>20.440487959999999</v>
      </c>
      <c r="C934" s="18"/>
      <c r="D934" s="19"/>
    </row>
    <row r="935" spans="1:4" ht="14">
      <c r="A935" s="16">
        <v>41310</v>
      </c>
      <c r="B935" s="17">
        <v>20.659344730000001</v>
      </c>
      <c r="C935" s="18"/>
      <c r="D935" s="19"/>
    </row>
    <row r="936" spans="1:4" ht="14">
      <c r="A936" s="16">
        <v>41311</v>
      </c>
      <c r="B936" s="17">
        <v>21.208565530000001</v>
      </c>
      <c r="C936" s="18"/>
      <c r="D936" s="19"/>
    </row>
    <row r="937" spans="1:4" ht="14">
      <c r="A937" s="16">
        <v>41312</v>
      </c>
      <c r="B937" s="17">
        <v>22.117765179999999</v>
      </c>
      <c r="C937" s="18"/>
      <c r="D937" s="19"/>
    </row>
    <row r="938" spans="1:4" ht="14">
      <c r="A938" s="16">
        <v>41313</v>
      </c>
      <c r="B938" s="17">
        <v>22.787365049999998</v>
      </c>
      <c r="C938" s="18"/>
      <c r="D938" s="19"/>
    </row>
    <row r="939" spans="1:4" ht="14">
      <c r="A939" s="16">
        <v>41314</v>
      </c>
      <c r="B939" s="17">
        <v>23.733860150000002</v>
      </c>
      <c r="C939" s="18"/>
      <c r="D939" s="19"/>
    </row>
    <row r="940" spans="1:4" ht="14">
      <c r="A940" s="16">
        <v>41315</v>
      </c>
      <c r="B940" s="17">
        <v>23.900289359999999</v>
      </c>
      <c r="C940" s="18"/>
      <c r="D940" s="19"/>
    </row>
    <row r="941" spans="1:4" ht="14">
      <c r="A941" s="16">
        <v>41316</v>
      </c>
      <c r="B941" s="17">
        <v>24.497272689999999</v>
      </c>
      <c r="C941" s="18"/>
      <c r="D941" s="19"/>
    </row>
    <row r="942" spans="1:4" ht="14">
      <c r="A942" s="16">
        <v>41317</v>
      </c>
      <c r="B942" s="17">
        <v>24.979736410000001</v>
      </c>
      <c r="C942" s="18"/>
      <c r="D942" s="19"/>
    </row>
    <row r="943" spans="1:4" ht="14">
      <c r="A943" s="16">
        <v>41318</v>
      </c>
      <c r="B943" s="17">
        <v>24.641650930000001</v>
      </c>
      <c r="C943" s="18"/>
      <c r="D943" s="19"/>
    </row>
    <row r="944" spans="1:4" ht="14">
      <c r="A944" s="16">
        <v>41319</v>
      </c>
      <c r="B944" s="17">
        <v>27.282389819999999</v>
      </c>
      <c r="C944" s="18"/>
      <c r="D944" s="19"/>
    </row>
    <row r="945" spans="1:4" ht="14">
      <c r="A945" s="16">
        <v>41320</v>
      </c>
      <c r="B945" s="17">
        <v>27.17126923</v>
      </c>
      <c r="C945" s="18"/>
      <c r="D945" s="19"/>
    </row>
    <row r="946" spans="1:4" ht="14">
      <c r="A946" s="16">
        <v>41321</v>
      </c>
      <c r="B946" s="17">
        <v>27.346163560000001</v>
      </c>
      <c r="C946" s="18"/>
      <c r="D946" s="19"/>
    </row>
    <row r="947" spans="1:4" ht="14">
      <c r="A947" s="16">
        <v>41322</v>
      </c>
      <c r="B947" s="17">
        <v>26.927251380000001</v>
      </c>
      <c r="C947" s="18"/>
      <c r="D947" s="19"/>
    </row>
    <row r="948" spans="1:4" ht="14">
      <c r="A948" s="16">
        <v>41323</v>
      </c>
      <c r="B948" s="17">
        <v>26.92886764</v>
      </c>
      <c r="C948" s="18"/>
      <c r="D948" s="19"/>
    </row>
    <row r="949" spans="1:4" ht="14">
      <c r="A949" s="16">
        <v>41324</v>
      </c>
      <c r="B949" s="17">
        <v>29.413624380000002</v>
      </c>
      <c r="C949" s="18"/>
      <c r="D949" s="19"/>
    </row>
    <row r="950" spans="1:4" ht="14">
      <c r="A950" s="16">
        <v>41325</v>
      </c>
      <c r="B950" s="17">
        <v>29.819807229999999</v>
      </c>
      <c r="C950" s="18"/>
      <c r="D950" s="19"/>
    </row>
    <row r="951" spans="1:4" ht="14">
      <c r="A951" s="16">
        <v>41326</v>
      </c>
      <c r="B951" s="17">
        <v>29.818068920000002</v>
      </c>
      <c r="C951" s="18"/>
      <c r="D951" s="19"/>
    </row>
    <row r="952" spans="1:4" ht="14">
      <c r="A952" s="16">
        <v>41327</v>
      </c>
      <c r="B952" s="17">
        <v>30.472656529999998</v>
      </c>
      <c r="C952" s="18"/>
      <c r="D952" s="19"/>
    </row>
    <row r="953" spans="1:4" ht="14">
      <c r="A953" s="16">
        <v>41328</v>
      </c>
      <c r="B953" s="17">
        <v>29.806454550000002</v>
      </c>
      <c r="C953" s="18"/>
      <c r="D953" s="19"/>
    </row>
    <row r="954" spans="1:4" ht="14">
      <c r="A954" s="16">
        <v>41329</v>
      </c>
      <c r="B954" s="17">
        <v>29.882848490000001</v>
      </c>
      <c r="C954" s="18"/>
      <c r="D954" s="19"/>
    </row>
    <row r="955" spans="1:4" ht="14">
      <c r="A955" s="16">
        <v>41330</v>
      </c>
      <c r="B955" s="17">
        <v>30.352033089999999</v>
      </c>
      <c r="C955" s="18"/>
      <c r="D955" s="19"/>
    </row>
    <row r="956" spans="1:4" ht="14">
      <c r="A956" s="16">
        <v>41331</v>
      </c>
      <c r="B956" s="17">
        <v>31.155537349999999</v>
      </c>
      <c r="C956" s="18"/>
      <c r="D956" s="19"/>
    </row>
    <row r="957" spans="1:4" ht="14">
      <c r="A957" s="16">
        <v>41332</v>
      </c>
      <c r="B957" s="17">
        <v>31.24026108</v>
      </c>
      <c r="C957" s="18"/>
      <c r="D957" s="19"/>
    </row>
    <row r="958" spans="1:4" ht="14">
      <c r="A958" s="16">
        <v>41333</v>
      </c>
      <c r="B958" s="17">
        <v>33.375293939999999</v>
      </c>
      <c r="C958" s="18"/>
      <c r="D958" s="19"/>
    </row>
    <row r="959" spans="1:4" ht="14">
      <c r="A959" s="16">
        <v>41334</v>
      </c>
      <c r="B959" s="17">
        <v>34.606257030000002</v>
      </c>
      <c r="C959" s="18"/>
      <c r="D959" s="19"/>
    </row>
    <row r="960" spans="1:4" ht="14">
      <c r="A960" s="16">
        <v>41335</v>
      </c>
      <c r="B960" s="17">
        <v>34.143515919999999</v>
      </c>
      <c r="C960" s="18"/>
      <c r="D960" s="19"/>
    </row>
    <row r="961" spans="1:4" ht="14">
      <c r="A961" s="16">
        <v>41336</v>
      </c>
      <c r="B961" s="17">
        <v>34.451740479999998</v>
      </c>
      <c r="C961" s="18"/>
      <c r="D961" s="19"/>
    </row>
    <row r="962" spans="1:4" ht="14">
      <c r="A962" s="16">
        <v>41337</v>
      </c>
      <c r="B962" s="17">
        <v>36.376265250000003</v>
      </c>
      <c r="C962" s="18"/>
      <c r="D962" s="19"/>
    </row>
    <row r="963" spans="1:4" ht="14">
      <c r="A963" s="16">
        <v>41338</v>
      </c>
      <c r="B963" s="17">
        <v>40.672953990000003</v>
      </c>
      <c r="C963" s="18"/>
      <c r="D963" s="19"/>
    </row>
    <row r="964" spans="1:4" ht="14">
      <c r="A964" s="16">
        <v>41339</v>
      </c>
      <c r="B964" s="17">
        <v>43.284996190000001</v>
      </c>
      <c r="C964" s="18"/>
      <c r="D964" s="19"/>
    </row>
    <row r="965" spans="1:4" ht="14">
      <c r="A965" s="16">
        <v>41340</v>
      </c>
      <c r="B965" s="17">
        <v>41.947440720000003</v>
      </c>
      <c r="C965" s="18"/>
      <c r="D965" s="19"/>
    </row>
    <row r="966" spans="1:4" ht="14">
      <c r="A966" s="16">
        <v>41341</v>
      </c>
      <c r="B966" s="17">
        <v>43.90292891</v>
      </c>
      <c r="C966" s="18"/>
      <c r="D966" s="19"/>
    </row>
    <row r="967" spans="1:4" ht="14">
      <c r="A967" s="16">
        <v>41342</v>
      </c>
      <c r="B967" s="17">
        <v>46.888586609999997</v>
      </c>
      <c r="C967" s="18"/>
      <c r="D967" s="19"/>
    </row>
    <row r="968" spans="1:4" ht="14">
      <c r="A968" s="16">
        <v>41343</v>
      </c>
      <c r="B968" s="17">
        <v>46.066038460000001</v>
      </c>
      <c r="C968" s="18"/>
      <c r="D968" s="19"/>
    </row>
    <row r="969" spans="1:4" ht="14">
      <c r="A969" s="16">
        <v>41344</v>
      </c>
      <c r="B969" s="17">
        <v>48.275074580000002</v>
      </c>
      <c r="C969" s="18"/>
      <c r="D969" s="19"/>
    </row>
    <row r="970" spans="1:4" ht="14">
      <c r="A970" s="16">
        <v>41345</v>
      </c>
      <c r="B970" s="17">
        <v>44.413545259999999</v>
      </c>
      <c r="C970" s="18"/>
      <c r="D970" s="19"/>
    </row>
    <row r="971" spans="1:4" ht="14">
      <c r="A971" s="16">
        <v>41346</v>
      </c>
      <c r="B971" s="17">
        <v>47.016190850000001</v>
      </c>
      <c r="C971" s="18"/>
      <c r="D971" s="19"/>
    </row>
    <row r="972" spans="1:4" ht="14">
      <c r="A972" s="16">
        <v>41347</v>
      </c>
      <c r="B972" s="17">
        <v>46.925562550000002</v>
      </c>
      <c r="C972" s="18"/>
      <c r="D972" s="19"/>
    </row>
    <row r="973" spans="1:4" ht="14">
      <c r="A973" s="16">
        <v>41348</v>
      </c>
      <c r="B973" s="17">
        <v>46.902517250000002</v>
      </c>
      <c r="C973" s="18"/>
      <c r="D973" s="19"/>
    </row>
    <row r="974" spans="1:4" ht="14">
      <c r="A974" s="16">
        <v>41349</v>
      </c>
      <c r="B974" s="17">
        <v>47.157015700000002</v>
      </c>
      <c r="C974" s="18"/>
      <c r="D974" s="19"/>
    </row>
    <row r="975" spans="1:4" ht="14">
      <c r="A975" s="16">
        <v>41350</v>
      </c>
      <c r="B975" s="17">
        <v>47.333499779999997</v>
      </c>
      <c r="C975" s="18"/>
      <c r="D975" s="19"/>
    </row>
    <row r="976" spans="1:4" ht="14">
      <c r="A976" s="16">
        <v>41351</v>
      </c>
      <c r="B976" s="17">
        <v>51.365436389999999</v>
      </c>
      <c r="C976" s="18"/>
      <c r="D976" s="19"/>
    </row>
    <row r="977" spans="1:4" ht="14">
      <c r="A977" s="16">
        <v>41352</v>
      </c>
      <c r="B977" s="17">
        <v>59.498601110000003</v>
      </c>
      <c r="C977" s="18"/>
      <c r="D977" s="19"/>
    </row>
    <row r="978" spans="1:4" ht="14">
      <c r="A978" s="16">
        <v>41353</v>
      </c>
      <c r="B978" s="17">
        <v>63.687485500000001</v>
      </c>
      <c r="C978" s="18"/>
      <c r="D978" s="19"/>
    </row>
    <row r="979" spans="1:4" ht="14">
      <c r="A979" s="16">
        <v>41354</v>
      </c>
      <c r="B979" s="17">
        <v>70.917525010000006</v>
      </c>
      <c r="C979" s="18"/>
      <c r="D979" s="19"/>
    </row>
    <row r="980" spans="1:4" ht="14">
      <c r="A980" s="16">
        <v>41355</v>
      </c>
      <c r="B980" s="17">
        <v>69.846084540000007</v>
      </c>
      <c r="C980" s="18"/>
      <c r="D980" s="19"/>
    </row>
    <row r="981" spans="1:4" ht="14">
      <c r="A981" s="16">
        <v>41356</v>
      </c>
      <c r="B981" s="17">
        <v>64.383116369999996</v>
      </c>
      <c r="C981" s="18"/>
      <c r="D981" s="19"/>
    </row>
    <row r="982" spans="1:4" ht="14">
      <c r="A982" s="16">
        <v>41357</v>
      </c>
      <c r="B982" s="17">
        <v>71.690424210000003</v>
      </c>
      <c r="C982" s="18"/>
      <c r="D982" s="19"/>
    </row>
    <row r="983" spans="1:4" ht="14">
      <c r="A983" s="16">
        <v>41358</v>
      </c>
      <c r="B983" s="17">
        <v>74.314089249999995</v>
      </c>
      <c r="C983" s="18"/>
      <c r="D983" s="19"/>
    </row>
    <row r="984" spans="1:4" ht="14">
      <c r="A984" s="16">
        <v>41359</v>
      </c>
      <c r="B984" s="17">
        <v>78.614197430000004</v>
      </c>
      <c r="C984" s="18"/>
      <c r="D984" s="19"/>
    </row>
    <row r="985" spans="1:4" ht="14">
      <c r="A985" s="16">
        <v>41360</v>
      </c>
      <c r="B985" s="17">
        <v>88.85207991</v>
      </c>
      <c r="C985" s="18"/>
      <c r="D985" s="19"/>
    </row>
    <row r="986" spans="1:4" ht="14">
      <c r="A986" s="16">
        <v>41361</v>
      </c>
      <c r="B986" s="17">
        <v>87.67317396</v>
      </c>
      <c r="C986" s="18"/>
      <c r="D986" s="19"/>
    </row>
    <row r="987" spans="1:4" ht="14">
      <c r="A987" s="16">
        <v>41362</v>
      </c>
      <c r="B987" s="17">
        <v>90.29569936</v>
      </c>
      <c r="C987" s="18"/>
      <c r="D987" s="19"/>
    </row>
    <row r="988" spans="1:4" ht="14">
      <c r="A988" s="16">
        <v>41363</v>
      </c>
      <c r="B988" s="17">
        <v>92.189959990000006</v>
      </c>
      <c r="C988" s="18"/>
      <c r="D988" s="19"/>
    </row>
    <row r="989" spans="1:4" ht="14">
      <c r="A989" s="16">
        <v>41364</v>
      </c>
      <c r="B989" s="17">
        <v>93.899238420000003</v>
      </c>
      <c r="C989" s="18"/>
      <c r="D989" s="19"/>
    </row>
    <row r="990" spans="1:4" ht="14">
      <c r="A990" s="16">
        <v>41365</v>
      </c>
      <c r="B990" s="17">
        <v>103.5803469</v>
      </c>
      <c r="C990" s="18"/>
      <c r="D990" s="19"/>
    </row>
    <row r="991" spans="1:4" ht="14">
      <c r="A991" s="16">
        <v>41366</v>
      </c>
      <c r="B991" s="17">
        <v>116.67994419999999</v>
      </c>
      <c r="C991" s="18"/>
      <c r="D991" s="19"/>
    </row>
    <row r="992" spans="1:4" ht="14">
      <c r="A992" s="16">
        <v>41367</v>
      </c>
      <c r="B992" s="17">
        <v>131.38480939999999</v>
      </c>
      <c r="C992" s="18"/>
      <c r="D992" s="19"/>
    </row>
    <row r="993" spans="1:4" ht="14">
      <c r="A993" s="16">
        <v>41368</v>
      </c>
      <c r="B993" s="17">
        <v>133.00712050000001</v>
      </c>
      <c r="C993" s="18"/>
      <c r="D993" s="19"/>
    </row>
    <row r="994" spans="1:4" ht="14">
      <c r="A994" s="16">
        <v>41369</v>
      </c>
      <c r="B994" s="17">
        <v>142.62606550000001</v>
      </c>
      <c r="C994" s="18"/>
      <c r="D994" s="19"/>
    </row>
    <row r="995" spans="1:4" ht="14">
      <c r="A995" s="16">
        <v>41370</v>
      </c>
      <c r="B995" s="17">
        <v>143.08182300000001</v>
      </c>
      <c r="C995" s="18"/>
      <c r="D995" s="19"/>
    </row>
    <row r="996" spans="1:4" ht="14">
      <c r="A996" s="16">
        <v>41371</v>
      </c>
      <c r="B996" s="17">
        <v>162.8522146</v>
      </c>
      <c r="C996" s="18"/>
      <c r="D996" s="19"/>
    </row>
    <row r="997" spans="1:4" ht="14">
      <c r="A997" s="16">
        <v>41372</v>
      </c>
      <c r="B997" s="17">
        <v>186.3511618</v>
      </c>
      <c r="C997" s="18"/>
      <c r="D997" s="19"/>
    </row>
    <row r="998" spans="1:4" ht="14">
      <c r="A998" s="16">
        <v>41373</v>
      </c>
      <c r="B998" s="17">
        <v>230.68299669999999</v>
      </c>
      <c r="C998" s="18"/>
      <c r="D998" s="19"/>
    </row>
    <row r="999" spans="1:4" ht="14">
      <c r="A999" s="16">
        <v>41374</v>
      </c>
      <c r="B999" s="17">
        <v>161.19288969999999</v>
      </c>
      <c r="C999" s="18"/>
      <c r="D999" s="19"/>
    </row>
    <row r="1000" spans="1:4" ht="14">
      <c r="A1000" s="16">
        <v>41375</v>
      </c>
      <c r="B1000" s="17">
        <v>82.901585040000001</v>
      </c>
      <c r="C1000" s="18"/>
      <c r="D1000" s="19"/>
    </row>
    <row r="1001" spans="1:4" ht="14">
      <c r="A1001" s="16">
        <v>41376</v>
      </c>
      <c r="B1001" s="17">
        <v>111.4763732</v>
      </c>
      <c r="C1001" s="18"/>
      <c r="D1001" s="19"/>
    </row>
    <row r="1002" spans="1:4" ht="14">
      <c r="A1002" s="16">
        <v>41377</v>
      </c>
      <c r="B1002" s="17">
        <v>97.609071869999994</v>
      </c>
      <c r="C1002" s="18"/>
      <c r="D1002" s="19"/>
    </row>
    <row r="1003" spans="1:4" ht="14">
      <c r="A1003" s="16">
        <v>41378</v>
      </c>
      <c r="B1003" s="17">
        <v>88.861491400000006</v>
      </c>
      <c r="C1003" s="18"/>
      <c r="D1003" s="19"/>
    </row>
    <row r="1004" spans="1:4" ht="14">
      <c r="A1004" s="16">
        <v>41379</v>
      </c>
      <c r="B1004" s="17">
        <v>80.87469317</v>
      </c>
      <c r="C1004" s="18"/>
      <c r="D1004" s="19"/>
    </row>
    <row r="1005" spans="1:4" ht="14">
      <c r="A1005" s="16">
        <v>41380</v>
      </c>
      <c r="B1005" s="17">
        <v>68.283138730000005</v>
      </c>
      <c r="C1005" s="18"/>
      <c r="D1005" s="19"/>
    </row>
    <row r="1006" spans="1:4" ht="14">
      <c r="A1006" s="16">
        <v>41381</v>
      </c>
      <c r="B1006" s="17">
        <v>92.864036909999996</v>
      </c>
      <c r="C1006" s="18"/>
      <c r="D1006" s="19"/>
    </row>
    <row r="1007" spans="1:4" ht="14">
      <c r="A1007" s="16">
        <v>41382</v>
      </c>
      <c r="B1007" s="17">
        <v>108.6283451</v>
      </c>
      <c r="C1007" s="18"/>
      <c r="D1007" s="19"/>
    </row>
    <row r="1008" spans="1:4" ht="14">
      <c r="A1008" s="16">
        <v>41383</v>
      </c>
      <c r="B1008" s="17">
        <v>119.0122832</v>
      </c>
      <c r="C1008" s="18"/>
      <c r="D1008" s="19"/>
    </row>
    <row r="1009" spans="1:4" ht="14">
      <c r="A1009" s="16">
        <v>41384</v>
      </c>
      <c r="B1009" s="17">
        <v>128.20828890000001</v>
      </c>
      <c r="C1009" s="18"/>
      <c r="D1009" s="19"/>
    </row>
    <row r="1010" spans="1:4" ht="14">
      <c r="A1010" s="16">
        <v>41385</v>
      </c>
      <c r="B1010" s="17">
        <v>118.4832438</v>
      </c>
      <c r="C1010" s="18"/>
      <c r="D1010" s="19"/>
    </row>
    <row r="1011" spans="1:4" ht="14">
      <c r="A1011" s="16">
        <v>41386</v>
      </c>
      <c r="B1011" s="17">
        <v>126.3142718</v>
      </c>
      <c r="C1011" s="18"/>
      <c r="D1011" s="19"/>
    </row>
    <row r="1012" spans="1:4" ht="14">
      <c r="A1012" s="16">
        <v>41387</v>
      </c>
      <c r="B1012" s="17">
        <v>142.12721809999999</v>
      </c>
      <c r="C1012" s="18"/>
      <c r="D1012" s="19"/>
    </row>
    <row r="1013" spans="1:4" ht="14">
      <c r="A1013" s="16">
        <v>41388</v>
      </c>
      <c r="B1013" s="17">
        <v>154.1332778</v>
      </c>
      <c r="C1013" s="18"/>
      <c r="D1013" s="19"/>
    </row>
    <row r="1014" spans="1:4" ht="14">
      <c r="A1014" s="16">
        <v>41389</v>
      </c>
      <c r="B1014" s="17">
        <v>141.00865930000001</v>
      </c>
      <c r="C1014" s="18"/>
      <c r="D1014" s="19"/>
    </row>
    <row r="1015" spans="1:4" ht="14">
      <c r="A1015" s="16">
        <v>41390</v>
      </c>
      <c r="B1015" s="17">
        <v>137.2096004</v>
      </c>
      <c r="C1015" s="18"/>
      <c r="D1015" s="19"/>
    </row>
    <row r="1016" spans="1:4" ht="14">
      <c r="A1016" s="16">
        <v>41391</v>
      </c>
      <c r="B1016" s="17">
        <v>128.22666960000001</v>
      </c>
      <c r="C1016" s="18"/>
      <c r="D1016" s="19"/>
    </row>
    <row r="1017" spans="1:4" ht="14">
      <c r="A1017" s="16">
        <v>41392</v>
      </c>
      <c r="B1017" s="17">
        <v>134.6235696</v>
      </c>
      <c r="C1017" s="18"/>
      <c r="D1017" s="19"/>
    </row>
    <row r="1018" spans="1:4" ht="14">
      <c r="A1018" s="16">
        <v>41393</v>
      </c>
      <c r="B1018" s="17">
        <v>143.8103782</v>
      </c>
      <c r="C1018" s="18"/>
      <c r="D1018" s="19"/>
    </row>
    <row r="1019" spans="1:4" ht="14">
      <c r="A1019" s="16">
        <v>41394</v>
      </c>
      <c r="B1019" s="17">
        <v>139.1296475</v>
      </c>
      <c r="C1019" s="18"/>
      <c r="D1019" s="19"/>
    </row>
    <row r="1020" spans="1:4" ht="14">
      <c r="A1020" s="16">
        <v>41395</v>
      </c>
      <c r="B1020" s="17">
        <v>116.113801</v>
      </c>
      <c r="C1020" s="18"/>
      <c r="D1020" s="19"/>
    </row>
    <row r="1021" spans="1:4" ht="14">
      <c r="A1021" s="16">
        <v>41396</v>
      </c>
      <c r="B1021" s="17">
        <v>106.34098470000001</v>
      </c>
      <c r="C1021" s="18"/>
      <c r="D1021" s="19"/>
    </row>
    <row r="1022" spans="1:4" ht="14">
      <c r="A1022" s="16">
        <v>41397</v>
      </c>
      <c r="B1022" s="17">
        <v>96.31684027</v>
      </c>
      <c r="C1022" s="18"/>
      <c r="D1022" s="19"/>
    </row>
    <row r="1023" spans="1:4" ht="14">
      <c r="A1023" s="16">
        <v>41398</v>
      </c>
      <c r="B1023" s="17">
        <v>112.4976364</v>
      </c>
      <c r="C1023" s="18"/>
      <c r="D1023" s="19"/>
    </row>
    <row r="1024" spans="1:4" ht="14">
      <c r="A1024" s="16">
        <v>41399</v>
      </c>
      <c r="B1024" s="17">
        <v>116.48871579999999</v>
      </c>
      <c r="C1024" s="18"/>
      <c r="D1024" s="19"/>
    </row>
    <row r="1025" spans="1:4" ht="14">
      <c r="A1025" s="16">
        <v>41400</v>
      </c>
      <c r="B1025" s="17">
        <v>112.1185962</v>
      </c>
      <c r="C1025" s="18"/>
      <c r="D1025" s="19"/>
    </row>
    <row r="1026" spans="1:4" ht="14">
      <c r="A1026" s="16">
        <v>41401</v>
      </c>
      <c r="B1026" s="17">
        <v>111.6092129</v>
      </c>
      <c r="C1026" s="18"/>
      <c r="D1026" s="19"/>
    </row>
    <row r="1027" spans="1:4" ht="14">
      <c r="A1027" s="16">
        <v>41402</v>
      </c>
      <c r="B1027" s="17">
        <v>113.1360619</v>
      </c>
      <c r="C1027" s="18"/>
      <c r="D1027" s="19"/>
    </row>
    <row r="1028" spans="1:4" ht="14">
      <c r="A1028" s="16">
        <v>41403</v>
      </c>
      <c r="B1028" s="17">
        <v>111.9745327</v>
      </c>
      <c r="C1028" s="18"/>
      <c r="D1028" s="19"/>
    </row>
    <row r="1029" spans="1:4" ht="14">
      <c r="A1029" s="16">
        <v>41404</v>
      </c>
      <c r="B1029" s="17">
        <v>117.6910369</v>
      </c>
      <c r="C1029" s="18"/>
      <c r="D1029" s="19"/>
    </row>
    <row r="1030" spans="1:4" ht="14">
      <c r="A1030" s="16">
        <v>41405</v>
      </c>
      <c r="B1030" s="17">
        <v>115.4997777</v>
      </c>
      <c r="C1030" s="18"/>
      <c r="D1030" s="19"/>
    </row>
    <row r="1031" spans="1:4" ht="14">
      <c r="A1031" s="16">
        <v>41406</v>
      </c>
      <c r="B1031" s="17">
        <v>114.8856756</v>
      </c>
      <c r="C1031" s="18"/>
      <c r="D1031" s="19"/>
    </row>
    <row r="1032" spans="1:4" ht="14">
      <c r="A1032" s="16">
        <v>41407</v>
      </c>
      <c r="B1032" s="17">
        <v>117.4044566</v>
      </c>
      <c r="C1032" s="18"/>
      <c r="D1032" s="19"/>
    </row>
    <row r="1033" spans="1:4" ht="14">
      <c r="A1033" s="16">
        <v>41408</v>
      </c>
      <c r="B1033" s="17">
        <v>107.86556659999999</v>
      </c>
      <c r="C1033" s="18"/>
      <c r="D1033" s="19"/>
    </row>
    <row r="1034" spans="1:4" ht="14">
      <c r="A1034" s="16">
        <v>41409</v>
      </c>
      <c r="B1034" s="17">
        <v>108.9868524</v>
      </c>
      <c r="C1034" s="18"/>
      <c r="D1034" s="19"/>
    </row>
    <row r="1035" spans="1:4" ht="14">
      <c r="A1035" s="16">
        <v>41410</v>
      </c>
      <c r="B1035" s="17">
        <v>112.91787410000001</v>
      </c>
      <c r="C1035" s="18"/>
      <c r="D1035" s="19"/>
    </row>
    <row r="1036" spans="1:4" ht="14">
      <c r="A1036" s="16">
        <v>41411</v>
      </c>
      <c r="B1036" s="17">
        <v>117.284616</v>
      </c>
      <c r="C1036" s="18"/>
      <c r="D1036" s="19"/>
    </row>
    <row r="1037" spans="1:4" ht="14">
      <c r="A1037" s="16">
        <v>41412</v>
      </c>
      <c r="B1037" s="17">
        <v>118.1698767</v>
      </c>
      <c r="C1037" s="18"/>
      <c r="D1037" s="19"/>
    </row>
    <row r="1038" spans="1:4" ht="14">
      <c r="A1038" s="16">
        <v>41413</v>
      </c>
      <c r="B1038" s="17">
        <v>117.0338802</v>
      </c>
      <c r="C1038" s="18"/>
      <c r="D1038" s="19"/>
    </row>
    <row r="1039" spans="1:4" ht="14">
      <c r="A1039" s="16">
        <v>41414</v>
      </c>
      <c r="B1039" s="17">
        <v>117.8186365</v>
      </c>
      <c r="C1039" s="18"/>
      <c r="D1039" s="19"/>
    </row>
    <row r="1040" spans="1:4" ht="14">
      <c r="A1040" s="16">
        <v>41415</v>
      </c>
      <c r="B1040" s="17">
        <v>117.2520409</v>
      </c>
      <c r="C1040" s="18"/>
      <c r="D1040" s="19"/>
    </row>
    <row r="1041" spans="1:4" ht="14">
      <c r="A1041" s="16">
        <v>41416</v>
      </c>
      <c r="B1041" s="17">
        <v>118.97817360000001</v>
      </c>
      <c r="C1041" s="18"/>
      <c r="D1041" s="19"/>
    </row>
    <row r="1042" spans="1:4" ht="14">
      <c r="A1042" s="16">
        <v>41417</v>
      </c>
      <c r="B1042" s="17">
        <v>123.726156</v>
      </c>
      <c r="C1042" s="18"/>
      <c r="D1042" s="19"/>
    </row>
    <row r="1043" spans="1:4" ht="14">
      <c r="A1043" s="16">
        <v>41418</v>
      </c>
      <c r="B1043" s="17">
        <v>128.97108069999999</v>
      </c>
      <c r="C1043" s="18"/>
      <c r="D1043" s="19"/>
    </row>
    <row r="1044" spans="1:4" ht="14">
      <c r="A1044" s="16">
        <v>41419</v>
      </c>
      <c r="B1044" s="17">
        <v>128.8449153</v>
      </c>
      <c r="C1044" s="18"/>
      <c r="D1044" s="19"/>
    </row>
    <row r="1045" spans="1:4" ht="14">
      <c r="A1045" s="16">
        <v>41420</v>
      </c>
      <c r="B1045" s="17">
        <v>130.1586011</v>
      </c>
      <c r="C1045" s="18"/>
      <c r="D1045" s="19"/>
    </row>
    <row r="1046" spans="1:4" ht="14">
      <c r="A1046" s="16">
        <v>41421</v>
      </c>
      <c r="B1046" s="17">
        <v>126.3929059</v>
      </c>
      <c r="C1046" s="18"/>
      <c r="D1046" s="19"/>
    </row>
    <row r="1047" spans="1:4" ht="14">
      <c r="A1047" s="16">
        <v>41422</v>
      </c>
      <c r="B1047" s="17">
        <v>125.9045953</v>
      </c>
      <c r="C1047" s="18"/>
      <c r="D1047" s="19"/>
    </row>
    <row r="1048" spans="1:4" ht="14">
      <c r="A1048" s="16">
        <v>41423</v>
      </c>
      <c r="B1048" s="17">
        <v>129.56481239999999</v>
      </c>
      <c r="C1048" s="18"/>
      <c r="D1048" s="19"/>
    </row>
    <row r="1049" spans="1:4" ht="14">
      <c r="A1049" s="16">
        <v>41424</v>
      </c>
      <c r="B1049" s="17">
        <v>126.51306839999999</v>
      </c>
      <c r="C1049" s="18"/>
      <c r="D1049" s="19"/>
    </row>
    <row r="1050" spans="1:4" ht="14">
      <c r="A1050" s="16">
        <v>41425</v>
      </c>
      <c r="B1050" s="17">
        <v>127.8164889</v>
      </c>
      <c r="C1050" s="18"/>
      <c r="D1050" s="19"/>
    </row>
    <row r="1051" spans="1:4" ht="14">
      <c r="A1051" s="16">
        <v>41426</v>
      </c>
      <c r="B1051" s="17">
        <v>128.79115110000001</v>
      </c>
      <c r="C1051" s="18"/>
      <c r="D1051" s="19"/>
    </row>
    <row r="1052" spans="1:4" ht="14">
      <c r="A1052" s="16">
        <v>41427</v>
      </c>
      <c r="B1052" s="17">
        <v>122.6267089</v>
      </c>
      <c r="C1052" s="18"/>
      <c r="D1052" s="19"/>
    </row>
    <row r="1053" spans="1:4" ht="14">
      <c r="A1053" s="16">
        <v>41428</v>
      </c>
      <c r="B1053" s="17">
        <v>122.9491879</v>
      </c>
      <c r="C1053" s="18"/>
      <c r="D1053" s="19"/>
    </row>
    <row r="1054" spans="1:4" ht="14">
      <c r="A1054" s="16">
        <v>41429</v>
      </c>
      <c r="B1054" s="17">
        <v>120.18996869999999</v>
      </c>
      <c r="C1054" s="18"/>
      <c r="D1054" s="19"/>
    </row>
    <row r="1055" spans="1:4" ht="14">
      <c r="A1055" s="16">
        <v>41430</v>
      </c>
      <c r="B1055" s="17">
        <v>120.8699238</v>
      </c>
      <c r="C1055" s="18"/>
      <c r="D1055" s="19"/>
    </row>
    <row r="1056" spans="1:4" ht="14">
      <c r="A1056" s="16">
        <v>41431</v>
      </c>
      <c r="B1056" s="17">
        <v>119.0539757</v>
      </c>
      <c r="C1056" s="18"/>
      <c r="D1056" s="19"/>
    </row>
    <row r="1057" spans="1:4" ht="14">
      <c r="A1057" s="16">
        <v>41432</v>
      </c>
      <c r="B1057" s="17">
        <v>110.1977314</v>
      </c>
      <c r="C1057" s="18"/>
      <c r="D1057" s="19"/>
    </row>
    <row r="1058" spans="1:4" ht="14">
      <c r="A1058" s="16">
        <v>41433</v>
      </c>
      <c r="B1058" s="17">
        <v>109.1785453</v>
      </c>
      <c r="C1058" s="18"/>
      <c r="D1058" s="19"/>
    </row>
    <row r="1059" spans="1:4" ht="14">
      <c r="A1059" s="16">
        <v>41434</v>
      </c>
      <c r="B1059" s="17">
        <v>99.903603450000006</v>
      </c>
      <c r="C1059" s="18"/>
      <c r="D1059" s="19"/>
    </row>
    <row r="1060" spans="1:4" ht="14">
      <c r="A1060" s="16">
        <v>41435</v>
      </c>
      <c r="B1060" s="17">
        <v>104.3575666</v>
      </c>
      <c r="C1060" s="18"/>
      <c r="D1060" s="19"/>
    </row>
    <row r="1061" spans="1:4" ht="14">
      <c r="A1061" s="16">
        <v>41436</v>
      </c>
      <c r="B1061" s="17">
        <v>107.5075205</v>
      </c>
      <c r="C1061" s="18"/>
      <c r="D1061" s="19"/>
    </row>
    <row r="1062" spans="1:4" ht="14">
      <c r="A1062" s="16">
        <v>41437</v>
      </c>
      <c r="B1062" s="17">
        <v>106.3781163</v>
      </c>
      <c r="C1062" s="18"/>
      <c r="D1062" s="19"/>
    </row>
    <row r="1063" spans="1:4" ht="14">
      <c r="A1063" s="16">
        <v>41438</v>
      </c>
      <c r="B1063" s="17">
        <v>101.3238977</v>
      </c>
      <c r="C1063" s="18"/>
      <c r="D1063" s="19"/>
    </row>
    <row r="1064" spans="1:4" ht="14">
      <c r="A1064" s="16">
        <v>41439</v>
      </c>
      <c r="B1064" s="17">
        <v>99.213244299999999</v>
      </c>
      <c r="C1064" s="18"/>
      <c r="D1064" s="19"/>
    </row>
    <row r="1065" spans="1:4" ht="14">
      <c r="A1065" s="16">
        <v>41440</v>
      </c>
      <c r="B1065" s="17">
        <v>99.875037410000004</v>
      </c>
      <c r="C1065" s="18"/>
      <c r="D1065" s="19"/>
    </row>
    <row r="1066" spans="1:4" ht="14">
      <c r="A1066" s="16">
        <v>41441</v>
      </c>
      <c r="B1066" s="17">
        <v>99.038351259999999</v>
      </c>
      <c r="C1066" s="18"/>
      <c r="D1066" s="19"/>
    </row>
    <row r="1067" spans="1:4" ht="14">
      <c r="A1067" s="16">
        <v>41442</v>
      </c>
      <c r="B1067" s="17">
        <v>100.1263051</v>
      </c>
      <c r="C1067" s="18"/>
      <c r="D1067" s="19"/>
    </row>
    <row r="1068" spans="1:4" ht="14">
      <c r="A1068" s="16">
        <v>41443</v>
      </c>
      <c r="B1068" s="17">
        <v>104.2891764</v>
      </c>
      <c r="C1068" s="18"/>
      <c r="D1068" s="19"/>
    </row>
    <row r="1069" spans="1:4" ht="14">
      <c r="A1069" s="16">
        <v>41444</v>
      </c>
      <c r="B1069" s="17">
        <v>104.4171508</v>
      </c>
      <c r="C1069" s="18"/>
      <c r="D1069" s="19"/>
    </row>
    <row r="1070" spans="1:4" ht="14">
      <c r="A1070" s="16">
        <v>41445</v>
      </c>
      <c r="B1070" s="17">
        <v>104.3234997</v>
      </c>
      <c r="C1070" s="18"/>
      <c r="D1070" s="19"/>
    </row>
    <row r="1071" spans="1:4" ht="14">
      <c r="A1071" s="16">
        <v>41446</v>
      </c>
      <c r="B1071" s="17">
        <v>101.4168574</v>
      </c>
      <c r="C1071" s="18"/>
      <c r="D1071" s="19"/>
    </row>
    <row r="1072" spans="1:4" ht="14">
      <c r="A1072" s="16">
        <v>41447</v>
      </c>
      <c r="B1072" s="17">
        <v>100.0395085</v>
      </c>
      <c r="C1072" s="18"/>
      <c r="D1072" s="19"/>
    </row>
    <row r="1073" spans="1:4" ht="14">
      <c r="A1073" s="16">
        <v>41448</v>
      </c>
      <c r="B1073" s="17">
        <v>100.3147446</v>
      </c>
      <c r="C1073" s="18"/>
      <c r="D1073" s="19"/>
    </row>
    <row r="1074" spans="1:4" ht="14">
      <c r="A1074" s="16">
        <v>41449</v>
      </c>
      <c r="B1074" s="17">
        <v>99.045683229999995</v>
      </c>
      <c r="C1074" s="18"/>
      <c r="D1074" s="19"/>
    </row>
    <row r="1075" spans="1:4" ht="14">
      <c r="A1075" s="16">
        <v>41450</v>
      </c>
      <c r="B1075" s="17">
        <v>97.832788719999996</v>
      </c>
      <c r="C1075" s="18"/>
      <c r="D1075" s="19"/>
    </row>
    <row r="1076" spans="1:4" ht="14">
      <c r="A1076" s="16">
        <v>41451</v>
      </c>
      <c r="B1076" s="17">
        <v>98.651700759999997</v>
      </c>
      <c r="C1076" s="18"/>
      <c r="D1076" s="19"/>
    </row>
    <row r="1077" spans="1:4" ht="14">
      <c r="A1077" s="16">
        <v>41452</v>
      </c>
      <c r="B1077" s="17">
        <v>96.803949599999996</v>
      </c>
      <c r="C1077" s="18"/>
      <c r="D1077" s="19"/>
    </row>
    <row r="1078" spans="1:4" ht="14">
      <c r="A1078" s="16">
        <v>41453</v>
      </c>
      <c r="B1078" s="17">
        <v>89.424506719999997</v>
      </c>
      <c r="C1078" s="18"/>
      <c r="D1078" s="19"/>
    </row>
    <row r="1079" spans="1:4" ht="14">
      <c r="A1079" s="16">
        <v>41454</v>
      </c>
      <c r="B1079" s="17">
        <v>88.797291060000006</v>
      </c>
      <c r="C1079" s="18"/>
      <c r="D1079" s="19"/>
    </row>
    <row r="1080" spans="1:4" ht="14">
      <c r="A1080" s="16">
        <v>41455</v>
      </c>
      <c r="B1080" s="17">
        <v>89.48090766</v>
      </c>
      <c r="C1080" s="18"/>
      <c r="D1080" s="19"/>
    </row>
    <row r="1081" spans="1:4" ht="14">
      <c r="A1081" s="16">
        <v>41456</v>
      </c>
      <c r="B1081" s="17">
        <v>82.867570130000004</v>
      </c>
      <c r="C1081" s="18"/>
      <c r="D1081" s="19"/>
    </row>
    <row r="1082" spans="1:4" ht="14">
      <c r="A1082" s="16">
        <v>41457</v>
      </c>
      <c r="B1082" s="17">
        <v>87.816466689999999</v>
      </c>
      <c r="C1082" s="18"/>
      <c r="D1082" s="19"/>
    </row>
    <row r="1083" spans="1:4" ht="14">
      <c r="A1083" s="16">
        <v>41458</v>
      </c>
      <c r="B1083" s="17">
        <v>77.691330800000003</v>
      </c>
      <c r="C1083" s="18"/>
      <c r="D1083" s="19"/>
    </row>
    <row r="1084" spans="1:4" ht="14">
      <c r="A1084" s="16">
        <v>41459</v>
      </c>
      <c r="B1084" s="17">
        <v>79.134870840000005</v>
      </c>
      <c r="C1084" s="18"/>
      <c r="D1084" s="19"/>
    </row>
    <row r="1085" spans="1:4" ht="14">
      <c r="A1085" s="16">
        <v>41460</v>
      </c>
      <c r="B1085" s="17">
        <v>67.447623849999999</v>
      </c>
      <c r="C1085" s="18"/>
      <c r="D1085" s="19"/>
    </row>
    <row r="1086" spans="1:4" ht="14">
      <c r="A1086" s="16">
        <v>41461</v>
      </c>
      <c r="B1086" s="17">
        <v>66.341680890000006</v>
      </c>
      <c r="C1086" s="18"/>
      <c r="D1086" s="19"/>
    </row>
    <row r="1087" spans="1:4" ht="14">
      <c r="A1087" s="16">
        <v>41462</v>
      </c>
      <c r="B1087" s="17">
        <v>72.109522369999993</v>
      </c>
      <c r="C1087" s="18"/>
      <c r="D1087" s="19"/>
    </row>
    <row r="1088" spans="1:4" ht="14">
      <c r="A1088" s="16">
        <v>41463</v>
      </c>
      <c r="B1088" s="17">
        <v>73.988553769999996</v>
      </c>
      <c r="C1088" s="18"/>
      <c r="D1088" s="19"/>
    </row>
    <row r="1089" spans="1:4" ht="14">
      <c r="A1089" s="16">
        <v>41464</v>
      </c>
      <c r="B1089" s="17">
        <v>74.891910870000004</v>
      </c>
      <c r="C1089" s="18"/>
      <c r="D1089" s="19"/>
    </row>
    <row r="1090" spans="1:4" ht="14">
      <c r="A1090" s="16">
        <v>41465</v>
      </c>
      <c r="B1090" s="17">
        <v>85.013679139999994</v>
      </c>
      <c r="C1090" s="18"/>
      <c r="D1090" s="19"/>
    </row>
    <row r="1091" spans="1:4" ht="14">
      <c r="A1091" s="16">
        <v>41466</v>
      </c>
      <c r="B1091" s="17">
        <v>87.497549390000003</v>
      </c>
      <c r="C1091" s="18"/>
      <c r="D1091" s="19"/>
    </row>
    <row r="1092" spans="1:4" ht="14">
      <c r="A1092" s="16">
        <v>41467</v>
      </c>
      <c r="B1092" s="17">
        <v>90.046698710000001</v>
      </c>
      <c r="C1092" s="18"/>
      <c r="D1092" s="19"/>
    </row>
    <row r="1093" spans="1:4" ht="14">
      <c r="A1093" s="16">
        <v>41468</v>
      </c>
      <c r="B1093" s="17">
        <v>91.592597900000001</v>
      </c>
      <c r="C1093" s="18"/>
      <c r="D1093" s="19"/>
    </row>
    <row r="1094" spans="1:4" ht="14">
      <c r="A1094" s="16">
        <v>41469</v>
      </c>
      <c r="B1094" s="17">
        <v>89.892269279999994</v>
      </c>
      <c r="C1094" s="18"/>
      <c r="D1094" s="19"/>
    </row>
    <row r="1095" spans="1:4" ht="14">
      <c r="A1095" s="16">
        <v>41470</v>
      </c>
      <c r="B1095" s="17">
        <v>93.796152539999994</v>
      </c>
      <c r="C1095" s="18"/>
      <c r="D1095" s="19"/>
    </row>
    <row r="1096" spans="1:4" ht="14">
      <c r="A1096" s="16">
        <v>41471</v>
      </c>
      <c r="B1096" s="17">
        <v>91.781035650000007</v>
      </c>
      <c r="C1096" s="18"/>
      <c r="D1096" s="19"/>
    </row>
    <row r="1097" spans="1:4" ht="14">
      <c r="A1097" s="16">
        <v>41472</v>
      </c>
      <c r="B1097" s="17">
        <v>91.031351259999994</v>
      </c>
      <c r="C1097" s="18"/>
      <c r="D1097" s="19"/>
    </row>
    <row r="1098" spans="1:4" ht="14">
      <c r="A1098" s="16">
        <v>41473</v>
      </c>
      <c r="B1098" s="17">
        <v>84.961729120000001</v>
      </c>
      <c r="C1098" s="18"/>
      <c r="D1098" s="19"/>
    </row>
    <row r="1099" spans="1:4" ht="14">
      <c r="A1099" s="16">
        <v>41474</v>
      </c>
      <c r="B1099" s="17">
        <v>86.238794600000006</v>
      </c>
      <c r="C1099" s="18"/>
      <c r="D1099" s="19"/>
    </row>
    <row r="1100" spans="1:4" ht="14">
      <c r="A1100" s="16">
        <v>41475</v>
      </c>
      <c r="B1100" s="17">
        <v>84.910859149999993</v>
      </c>
      <c r="C1100" s="18"/>
      <c r="D1100" s="19"/>
    </row>
    <row r="1101" spans="1:4" ht="14">
      <c r="A1101" s="16">
        <v>41476</v>
      </c>
      <c r="B1101" s="17">
        <v>85.664350260000006</v>
      </c>
      <c r="C1101" s="18"/>
      <c r="D1101" s="19"/>
    </row>
    <row r="1102" spans="1:4" ht="14">
      <c r="A1102" s="16">
        <v>41477</v>
      </c>
      <c r="B1102" s="17">
        <v>85.649028639999997</v>
      </c>
      <c r="C1102" s="18"/>
      <c r="D1102" s="19"/>
    </row>
    <row r="1103" spans="1:4" ht="14">
      <c r="A1103" s="16">
        <v>41478</v>
      </c>
      <c r="B1103" s="17">
        <v>86.977056689999998</v>
      </c>
      <c r="C1103" s="18"/>
      <c r="D1103" s="19"/>
    </row>
    <row r="1104" spans="1:4" ht="14">
      <c r="A1104" s="16">
        <v>41479</v>
      </c>
      <c r="B1104" s="17">
        <v>88.151730569999998</v>
      </c>
      <c r="C1104" s="18"/>
      <c r="D1104" s="19"/>
    </row>
    <row r="1105" spans="1:4" ht="14">
      <c r="A1105" s="16">
        <v>41480</v>
      </c>
      <c r="B1105" s="17">
        <v>90.166092230000004</v>
      </c>
      <c r="C1105" s="18"/>
      <c r="D1105" s="19"/>
    </row>
    <row r="1106" spans="1:4" ht="14">
      <c r="A1106" s="16">
        <v>41481</v>
      </c>
      <c r="B1106" s="17">
        <v>89.983985970000006</v>
      </c>
      <c r="C1106" s="18"/>
      <c r="D1106" s="19"/>
    </row>
    <row r="1107" spans="1:4" ht="14">
      <c r="A1107" s="16">
        <v>41482</v>
      </c>
      <c r="B1107" s="17">
        <v>88.165275859999994</v>
      </c>
      <c r="C1107" s="18"/>
      <c r="D1107" s="19"/>
    </row>
    <row r="1108" spans="1:4" ht="14">
      <c r="A1108" s="16">
        <v>41483</v>
      </c>
      <c r="B1108" s="17">
        <v>92.745842199999998</v>
      </c>
      <c r="C1108" s="18"/>
      <c r="D1108" s="19"/>
    </row>
    <row r="1109" spans="1:4" ht="14">
      <c r="A1109" s="16">
        <v>41484</v>
      </c>
      <c r="B1109" s="17">
        <v>93.298697250000004</v>
      </c>
      <c r="C1109" s="18"/>
      <c r="D1109" s="19"/>
    </row>
    <row r="1110" spans="1:4" ht="14">
      <c r="A1110" s="16">
        <v>41485</v>
      </c>
      <c r="B1110" s="17">
        <v>96.659552890000001</v>
      </c>
      <c r="C1110" s="18"/>
      <c r="D1110" s="19"/>
    </row>
    <row r="1111" spans="1:4" ht="14">
      <c r="A1111" s="16">
        <v>41486</v>
      </c>
      <c r="B1111" s="17">
        <v>98.024419929999993</v>
      </c>
      <c r="C1111" s="18"/>
      <c r="D1111" s="19"/>
    </row>
    <row r="1112" spans="1:4" ht="14">
      <c r="A1112" s="16">
        <v>41487</v>
      </c>
      <c r="B1112" s="17">
        <v>96.568017830000002</v>
      </c>
      <c r="C1112" s="18"/>
      <c r="D1112" s="19"/>
    </row>
    <row r="1113" spans="1:4" ht="14">
      <c r="A1113" s="16">
        <v>41488</v>
      </c>
      <c r="B1113" s="17">
        <v>96.074530679999995</v>
      </c>
      <c r="C1113" s="18"/>
      <c r="D1113" s="19"/>
    </row>
    <row r="1114" spans="1:4" ht="14">
      <c r="A1114" s="16">
        <v>41489</v>
      </c>
      <c r="B1114" s="17">
        <v>95.506709529999995</v>
      </c>
      <c r="C1114" s="18"/>
      <c r="D1114" s="19"/>
    </row>
    <row r="1115" spans="1:4" ht="14">
      <c r="A1115" s="16">
        <v>41490</v>
      </c>
      <c r="B1115" s="17">
        <v>96.365482170000007</v>
      </c>
      <c r="C1115" s="18"/>
      <c r="D1115" s="19"/>
    </row>
    <row r="1116" spans="1:4" ht="14">
      <c r="A1116" s="16">
        <v>41491</v>
      </c>
      <c r="B1116" s="17">
        <v>97.527133840000005</v>
      </c>
      <c r="C1116" s="18"/>
      <c r="D1116" s="19"/>
    </row>
    <row r="1117" spans="1:4" ht="14">
      <c r="A1117" s="16">
        <v>41492</v>
      </c>
      <c r="B1117" s="17">
        <v>97.671206600000005</v>
      </c>
      <c r="C1117" s="18"/>
      <c r="D1117" s="19"/>
    </row>
    <row r="1118" spans="1:4" ht="14">
      <c r="A1118" s="16">
        <v>41493</v>
      </c>
      <c r="B1118" s="17">
        <v>97.054206899999997</v>
      </c>
      <c r="C1118" s="18"/>
      <c r="D1118" s="19"/>
    </row>
    <row r="1119" spans="1:4" ht="14">
      <c r="A1119" s="16">
        <v>41494</v>
      </c>
      <c r="B1119" s="17">
        <v>94.257271770000003</v>
      </c>
      <c r="C1119" s="18"/>
      <c r="D1119" s="19"/>
    </row>
    <row r="1120" spans="1:4" ht="14">
      <c r="A1120" s="16">
        <v>41495</v>
      </c>
      <c r="B1120" s="17">
        <v>92.47277674</v>
      </c>
      <c r="C1120" s="18"/>
      <c r="D1120" s="19"/>
    </row>
    <row r="1121" spans="1:4" ht="14">
      <c r="A1121" s="16">
        <v>41496</v>
      </c>
      <c r="B1121" s="17">
        <v>93.293552890000001</v>
      </c>
      <c r="C1121" s="18"/>
      <c r="D1121" s="19"/>
    </row>
    <row r="1122" spans="1:4" ht="14">
      <c r="A1122" s="16">
        <v>41497</v>
      </c>
      <c r="B1122" s="17">
        <v>94.271312390000006</v>
      </c>
      <c r="C1122" s="18"/>
      <c r="D1122" s="19"/>
    </row>
    <row r="1123" spans="1:4" ht="14">
      <c r="A1123" s="16">
        <v>41498</v>
      </c>
      <c r="B1123" s="17">
        <v>95.446470779999999</v>
      </c>
      <c r="C1123" s="18"/>
      <c r="D1123" s="19"/>
    </row>
    <row r="1124" spans="1:4" ht="14">
      <c r="A1124" s="16">
        <v>41499</v>
      </c>
      <c r="B1124" s="17">
        <v>97.759075080000002</v>
      </c>
      <c r="C1124" s="18"/>
      <c r="D1124" s="19"/>
    </row>
    <row r="1125" spans="1:4" ht="14">
      <c r="A1125" s="16">
        <v>41500</v>
      </c>
      <c r="B1125" s="17">
        <v>99.121287550000005</v>
      </c>
      <c r="C1125" s="18"/>
      <c r="D1125" s="19"/>
    </row>
    <row r="1126" spans="1:4" ht="14">
      <c r="A1126" s="16">
        <v>41501</v>
      </c>
      <c r="B1126" s="17">
        <v>98.106333140000004</v>
      </c>
      <c r="C1126" s="18"/>
      <c r="D1126" s="19"/>
    </row>
    <row r="1127" spans="1:4" ht="14">
      <c r="A1127" s="16">
        <v>41502</v>
      </c>
      <c r="B1127" s="17">
        <v>98.290960260000006</v>
      </c>
      <c r="C1127" s="18"/>
      <c r="D1127" s="19"/>
    </row>
    <row r="1128" spans="1:4" ht="14">
      <c r="A1128" s="16">
        <v>41503</v>
      </c>
      <c r="B1128" s="17">
        <v>99.630504380000005</v>
      </c>
      <c r="C1128" s="18"/>
      <c r="D1128" s="19"/>
    </row>
    <row r="1129" spans="1:4" ht="14">
      <c r="A1129" s="16">
        <v>41504</v>
      </c>
      <c r="B1129" s="17">
        <v>99.178039740000003</v>
      </c>
      <c r="C1129" s="18"/>
      <c r="D1129" s="19"/>
    </row>
    <row r="1130" spans="1:4" ht="14">
      <c r="A1130" s="16">
        <v>41505</v>
      </c>
      <c r="B1130" s="17">
        <v>102.7840123</v>
      </c>
      <c r="C1130" s="18"/>
      <c r="D1130" s="19"/>
    </row>
    <row r="1131" spans="1:4" ht="14">
      <c r="A1131" s="16">
        <v>41506</v>
      </c>
      <c r="B1131" s="17">
        <v>104.50021099999999</v>
      </c>
      <c r="C1131" s="18"/>
      <c r="D1131" s="19"/>
    </row>
    <row r="1132" spans="1:4" ht="14">
      <c r="A1132" s="16">
        <v>41507</v>
      </c>
      <c r="B1132" s="17">
        <v>110.8016037</v>
      </c>
      <c r="C1132" s="18"/>
      <c r="D1132" s="19"/>
    </row>
    <row r="1133" spans="1:4" ht="14">
      <c r="A1133" s="16">
        <v>41508</v>
      </c>
      <c r="B1133" s="17">
        <v>109.5232168</v>
      </c>
      <c r="C1133" s="18"/>
      <c r="D1133" s="19"/>
    </row>
    <row r="1134" spans="1:4" ht="14">
      <c r="A1134" s="16">
        <v>41509</v>
      </c>
      <c r="B1134" s="17">
        <v>107.6975716</v>
      </c>
      <c r="C1134" s="18"/>
      <c r="D1134" s="19"/>
    </row>
    <row r="1135" spans="1:4" ht="14">
      <c r="A1135" s="16">
        <v>41510</v>
      </c>
      <c r="B1135" s="17">
        <v>108.88267500000001</v>
      </c>
      <c r="C1135" s="18"/>
      <c r="D1135" s="19"/>
    </row>
    <row r="1136" spans="1:4" ht="14">
      <c r="A1136" s="16">
        <v>41511</v>
      </c>
      <c r="B1136" s="17">
        <v>113.0825634</v>
      </c>
      <c r="C1136" s="18"/>
      <c r="D1136" s="19"/>
    </row>
    <row r="1137" spans="1:4" ht="14">
      <c r="A1137" s="16">
        <v>41512</v>
      </c>
      <c r="B1137" s="17">
        <v>112.1181148</v>
      </c>
      <c r="C1137" s="18"/>
      <c r="D1137" s="19"/>
    </row>
    <row r="1138" spans="1:4" ht="14">
      <c r="A1138" s="16">
        <v>41513</v>
      </c>
      <c r="B1138" s="17">
        <v>117.7597908</v>
      </c>
      <c r="C1138" s="18"/>
      <c r="D1138" s="19"/>
    </row>
    <row r="1139" spans="1:4" ht="14">
      <c r="A1139" s="16">
        <v>41514</v>
      </c>
      <c r="B1139" s="17">
        <v>118.3174144</v>
      </c>
      <c r="C1139" s="18"/>
      <c r="D1139" s="19"/>
    </row>
    <row r="1140" spans="1:4" ht="14">
      <c r="A1140" s="16">
        <v>41515</v>
      </c>
      <c r="B1140" s="17">
        <v>118.83563820000001</v>
      </c>
      <c r="C1140" s="18"/>
      <c r="D1140" s="19"/>
    </row>
    <row r="1141" spans="1:4" ht="14">
      <c r="A1141" s="16">
        <v>41516</v>
      </c>
      <c r="B1141" s="17">
        <v>124.88537959999999</v>
      </c>
      <c r="C1141" s="18"/>
      <c r="D1141" s="19"/>
    </row>
    <row r="1142" spans="1:4" ht="14">
      <c r="A1142" s="16">
        <v>41517</v>
      </c>
      <c r="B1142" s="17">
        <v>128.37797900000001</v>
      </c>
      <c r="C1142" s="18"/>
      <c r="D1142" s="19"/>
    </row>
    <row r="1143" spans="1:4" ht="14">
      <c r="A1143" s="16">
        <v>41518</v>
      </c>
      <c r="B1143" s="17">
        <v>130.536372</v>
      </c>
      <c r="C1143" s="18"/>
      <c r="D1143" s="19"/>
    </row>
    <row r="1144" spans="1:4" ht="14">
      <c r="A1144" s="16">
        <v>41519</v>
      </c>
      <c r="B1144" s="17">
        <v>129.56537169999999</v>
      </c>
      <c r="C1144" s="18"/>
      <c r="D1144" s="19"/>
    </row>
    <row r="1145" spans="1:4" ht="14">
      <c r="A1145" s="16">
        <v>41520</v>
      </c>
      <c r="B1145" s="17">
        <v>129.1828036</v>
      </c>
      <c r="C1145" s="18"/>
      <c r="D1145" s="19"/>
    </row>
    <row r="1146" spans="1:4" ht="14">
      <c r="A1146" s="16">
        <v>41521</v>
      </c>
      <c r="B1146" s="17">
        <v>122.52923869999999</v>
      </c>
      <c r="C1146" s="18"/>
      <c r="D1146" s="19"/>
    </row>
    <row r="1147" spans="1:4" ht="14">
      <c r="A1147" s="16">
        <v>41522</v>
      </c>
      <c r="B1147" s="17">
        <v>122.370085</v>
      </c>
      <c r="C1147" s="18"/>
      <c r="D1147" s="19"/>
    </row>
    <row r="1148" spans="1:4" ht="14">
      <c r="A1148" s="16">
        <v>41523</v>
      </c>
      <c r="B1148" s="17">
        <v>117.8611464</v>
      </c>
      <c r="C1148" s="18"/>
      <c r="D1148" s="19"/>
    </row>
    <row r="1149" spans="1:4" ht="14">
      <c r="A1149" s="16">
        <v>41524</v>
      </c>
      <c r="B1149" s="17">
        <v>119.8149895</v>
      </c>
      <c r="C1149" s="18"/>
      <c r="D1149" s="19"/>
    </row>
    <row r="1150" spans="1:4" ht="14">
      <c r="A1150" s="16">
        <v>41525</v>
      </c>
      <c r="B1150" s="17">
        <v>118.0573863</v>
      </c>
      <c r="C1150" s="18"/>
      <c r="D1150" s="19"/>
    </row>
    <row r="1151" spans="1:4" ht="14">
      <c r="A1151" s="16">
        <v>41526</v>
      </c>
      <c r="B1151" s="17">
        <v>121.2592726</v>
      </c>
      <c r="C1151" s="18"/>
      <c r="D1151" s="19"/>
    </row>
    <row r="1152" spans="1:4" ht="14">
      <c r="A1152" s="16">
        <v>41527</v>
      </c>
      <c r="B1152" s="17">
        <v>122.2155302</v>
      </c>
      <c r="C1152" s="18"/>
      <c r="D1152" s="19"/>
    </row>
    <row r="1153" spans="1:4" ht="14">
      <c r="A1153" s="16">
        <v>41528</v>
      </c>
      <c r="B1153" s="17">
        <v>127.0882271</v>
      </c>
      <c r="C1153" s="18"/>
      <c r="D1153" s="19"/>
    </row>
    <row r="1154" spans="1:4" ht="14">
      <c r="A1154" s="16">
        <v>41529</v>
      </c>
      <c r="B1154" s="17">
        <v>126.7807236</v>
      </c>
      <c r="C1154" s="18"/>
      <c r="D1154" s="19"/>
    </row>
    <row r="1155" spans="1:4" ht="14">
      <c r="A1155" s="16">
        <v>41530</v>
      </c>
      <c r="B1155" s="17">
        <v>127.40774519999999</v>
      </c>
      <c r="C1155" s="18"/>
      <c r="D1155" s="19"/>
    </row>
    <row r="1156" spans="1:4" ht="14">
      <c r="A1156" s="16">
        <v>41531</v>
      </c>
      <c r="B1156" s="17">
        <v>124.3484775</v>
      </c>
      <c r="C1156" s="18"/>
      <c r="D1156" s="19"/>
    </row>
    <row r="1157" spans="1:4" ht="14">
      <c r="A1157" s="16">
        <v>41532</v>
      </c>
      <c r="B1157" s="17">
        <v>125.0764179</v>
      </c>
      <c r="C1157" s="18"/>
      <c r="D1157" s="19"/>
    </row>
    <row r="1158" spans="1:4" ht="14">
      <c r="A1158" s="16">
        <v>41533</v>
      </c>
      <c r="B1158" s="17">
        <v>126.204666</v>
      </c>
      <c r="C1158" s="18"/>
      <c r="D1158" s="19"/>
    </row>
    <row r="1159" spans="1:4" ht="14">
      <c r="A1159" s="16">
        <v>41534</v>
      </c>
      <c r="B1159" s="17">
        <v>126.89725009999999</v>
      </c>
      <c r="C1159" s="18"/>
      <c r="D1159" s="19"/>
    </row>
    <row r="1160" spans="1:4" ht="14">
      <c r="A1160" s="16">
        <v>41535</v>
      </c>
      <c r="B1160" s="17">
        <v>126.9038194</v>
      </c>
      <c r="C1160" s="18"/>
      <c r="D1160" s="19"/>
    </row>
    <row r="1161" spans="1:4" ht="14">
      <c r="A1161" s="16">
        <v>41536</v>
      </c>
      <c r="B1161" s="17">
        <v>124.1809573</v>
      </c>
      <c r="C1161" s="18"/>
      <c r="D1161" s="19"/>
    </row>
    <row r="1162" spans="1:4" ht="14">
      <c r="A1162" s="16">
        <v>41537</v>
      </c>
      <c r="B1162" s="17">
        <v>122.9216359</v>
      </c>
      <c r="C1162" s="18"/>
      <c r="D1162" s="19"/>
    </row>
    <row r="1163" spans="1:4" ht="14">
      <c r="A1163" s="16">
        <v>41538</v>
      </c>
      <c r="B1163" s="17">
        <v>123.50825690000001</v>
      </c>
      <c r="C1163" s="18"/>
      <c r="D1163" s="19"/>
    </row>
    <row r="1164" spans="1:4" ht="14">
      <c r="A1164" s="16">
        <v>41539</v>
      </c>
      <c r="B1164" s="17">
        <v>123.1249351</v>
      </c>
      <c r="C1164" s="18"/>
      <c r="D1164" s="19"/>
    </row>
    <row r="1165" spans="1:4" ht="14">
      <c r="A1165" s="16">
        <v>41540</v>
      </c>
      <c r="B1165" s="17">
        <v>122.86569900000001</v>
      </c>
      <c r="C1165" s="18"/>
      <c r="D1165" s="19"/>
    </row>
    <row r="1166" spans="1:4" ht="14">
      <c r="A1166" s="16">
        <v>41541</v>
      </c>
      <c r="B1166" s="17">
        <v>123.79735770000001</v>
      </c>
      <c r="C1166" s="18"/>
      <c r="D1166" s="19"/>
    </row>
    <row r="1167" spans="1:4" ht="14">
      <c r="A1167" s="16">
        <v>41542</v>
      </c>
      <c r="B1167" s="17">
        <v>123.6140786</v>
      </c>
      <c r="C1167" s="18"/>
      <c r="D1167" s="19"/>
    </row>
    <row r="1168" spans="1:4" ht="14">
      <c r="A1168" s="16">
        <v>41543</v>
      </c>
      <c r="B1168" s="17">
        <v>124.6856745</v>
      </c>
      <c r="C1168" s="18"/>
      <c r="D1168" s="19"/>
    </row>
    <row r="1169" spans="1:4" ht="14">
      <c r="A1169" s="16">
        <v>41544</v>
      </c>
      <c r="B1169" s="17">
        <v>126.6053477</v>
      </c>
      <c r="C1169" s="18"/>
      <c r="D1169" s="19"/>
    </row>
    <row r="1170" spans="1:4" ht="14">
      <c r="A1170" s="16">
        <v>41545</v>
      </c>
      <c r="B1170" s="17">
        <v>126.79655169999999</v>
      </c>
      <c r="C1170" s="18"/>
      <c r="D1170" s="19"/>
    </row>
    <row r="1171" spans="1:4" ht="14">
      <c r="A1171" s="16">
        <v>41546</v>
      </c>
      <c r="B1171" s="17">
        <v>127.1086277</v>
      </c>
      <c r="C1171" s="18"/>
      <c r="D1171" s="19"/>
    </row>
    <row r="1172" spans="1:4" ht="14">
      <c r="A1172" s="16">
        <v>41547</v>
      </c>
      <c r="B1172" s="17">
        <v>126.09026179999999</v>
      </c>
      <c r="C1172" s="18"/>
      <c r="D1172" s="19"/>
    </row>
    <row r="1173" spans="1:4" ht="14">
      <c r="A1173" s="16">
        <v>41548</v>
      </c>
      <c r="B1173" s="17">
        <v>127.57542429999999</v>
      </c>
      <c r="C1173" s="18"/>
      <c r="D1173" s="19"/>
    </row>
    <row r="1174" spans="1:4" ht="14">
      <c r="A1174" s="16">
        <v>41549</v>
      </c>
      <c r="B1174" s="17">
        <v>104.1050929</v>
      </c>
      <c r="C1174" s="18"/>
      <c r="D1174" s="19"/>
    </row>
    <row r="1175" spans="1:4" ht="14">
      <c r="A1175" s="16">
        <v>41550</v>
      </c>
      <c r="B1175" s="17">
        <v>117.575495</v>
      </c>
      <c r="C1175" s="18"/>
      <c r="D1175" s="19"/>
    </row>
    <row r="1176" spans="1:4" ht="14">
      <c r="A1176" s="16">
        <v>41551</v>
      </c>
      <c r="B1176" s="17">
        <v>121.9303477</v>
      </c>
      <c r="C1176" s="18"/>
      <c r="D1176" s="19"/>
    </row>
    <row r="1177" spans="1:4" ht="14">
      <c r="A1177" s="16">
        <v>41552</v>
      </c>
      <c r="B1177" s="17">
        <v>121.3934027</v>
      </c>
      <c r="C1177" s="18"/>
      <c r="D1177" s="19"/>
    </row>
    <row r="1178" spans="1:4" ht="14">
      <c r="A1178" s="16">
        <v>41553</v>
      </c>
      <c r="B1178" s="17">
        <v>122.4752613</v>
      </c>
      <c r="C1178" s="18"/>
      <c r="D1178" s="19"/>
    </row>
    <row r="1179" spans="1:4" ht="14">
      <c r="A1179" s="16">
        <v>41554</v>
      </c>
      <c r="B1179" s="17">
        <v>123.9068726</v>
      </c>
      <c r="C1179" s="18"/>
      <c r="D1179" s="19"/>
    </row>
    <row r="1180" spans="1:4" ht="14">
      <c r="A1180" s="16">
        <v>41555</v>
      </c>
      <c r="B1180" s="17">
        <v>124.7665289</v>
      </c>
      <c r="C1180" s="18"/>
      <c r="D1180" s="19"/>
    </row>
    <row r="1181" spans="1:4" ht="14">
      <c r="A1181" s="16">
        <v>41556</v>
      </c>
      <c r="B1181" s="17">
        <v>125.9335203</v>
      </c>
      <c r="C1181" s="18"/>
      <c r="D1181" s="19"/>
    </row>
    <row r="1182" spans="1:4" ht="14">
      <c r="A1182" s="16">
        <v>41557</v>
      </c>
      <c r="B1182" s="17">
        <v>126.7046505</v>
      </c>
      <c r="C1182" s="18"/>
      <c r="D1182" s="19"/>
    </row>
    <row r="1183" spans="1:4" ht="14">
      <c r="A1183" s="16">
        <v>41558</v>
      </c>
      <c r="B1183" s="17">
        <v>127.2552992</v>
      </c>
      <c r="C1183" s="18"/>
      <c r="D1183" s="19"/>
    </row>
    <row r="1184" spans="1:4" ht="14">
      <c r="A1184" s="16">
        <v>41559</v>
      </c>
      <c r="B1184" s="17">
        <v>127.851263</v>
      </c>
      <c r="C1184" s="18"/>
      <c r="D1184" s="19"/>
    </row>
    <row r="1185" spans="1:4" ht="14">
      <c r="A1185" s="16">
        <v>41560</v>
      </c>
      <c r="B1185" s="17">
        <v>132.41565869999999</v>
      </c>
      <c r="C1185" s="18"/>
      <c r="D1185" s="19"/>
    </row>
    <row r="1186" spans="1:4" ht="14">
      <c r="A1186" s="16">
        <v>41561</v>
      </c>
      <c r="B1186" s="17">
        <v>135.3391949</v>
      </c>
      <c r="C1186" s="18"/>
      <c r="D1186" s="19"/>
    </row>
    <row r="1187" spans="1:4" ht="14">
      <c r="A1187" s="16">
        <v>41562</v>
      </c>
      <c r="B1187" s="17">
        <v>141.4939085</v>
      </c>
      <c r="C1187" s="18"/>
      <c r="D1187" s="19"/>
    </row>
    <row r="1188" spans="1:4" ht="14">
      <c r="A1188" s="16">
        <v>41563</v>
      </c>
      <c r="B1188" s="17">
        <v>138.32792190000001</v>
      </c>
      <c r="C1188" s="18"/>
      <c r="D1188" s="19"/>
    </row>
    <row r="1189" spans="1:4" ht="14">
      <c r="A1189" s="16">
        <v>41564</v>
      </c>
      <c r="B1189" s="17">
        <v>143.7471338</v>
      </c>
      <c r="C1189" s="18"/>
      <c r="D1189" s="19"/>
    </row>
    <row r="1190" spans="1:4" ht="14">
      <c r="A1190" s="16">
        <v>41565</v>
      </c>
      <c r="B1190" s="17">
        <v>152.7755722</v>
      </c>
      <c r="C1190" s="18"/>
      <c r="D1190" s="19"/>
    </row>
    <row r="1191" spans="1:4" ht="14">
      <c r="A1191" s="16">
        <v>41566</v>
      </c>
      <c r="B1191" s="17">
        <v>165.77271709999999</v>
      </c>
      <c r="C1191" s="18"/>
      <c r="D1191" s="19"/>
    </row>
    <row r="1192" spans="1:4" ht="14">
      <c r="A1192" s="16">
        <v>41567</v>
      </c>
      <c r="B1192" s="17">
        <v>166.50015110000001</v>
      </c>
      <c r="C1192" s="18"/>
      <c r="D1192" s="19"/>
    </row>
    <row r="1193" spans="1:4" ht="14">
      <c r="A1193" s="16">
        <v>41568</v>
      </c>
      <c r="B1193" s="17">
        <v>179.9106286</v>
      </c>
      <c r="C1193" s="18"/>
      <c r="D1193" s="19"/>
    </row>
    <row r="1194" spans="1:4" ht="14">
      <c r="A1194" s="16">
        <v>41569</v>
      </c>
      <c r="B1194" s="17">
        <v>190.40278140000001</v>
      </c>
      <c r="C1194" s="18"/>
      <c r="D1194" s="19"/>
    </row>
    <row r="1195" spans="1:4" ht="14">
      <c r="A1195" s="16">
        <v>41570</v>
      </c>
      <c r="B1195" s="17">
        <v>204.60035099999999</v>
      </c>
      <c r="C1195" s="18"/>
      <c r="D1195" s="19"/>
    </row>
    <row r="1196" spans="1:4" ht="14">
      <c r="A1196" s="16">
        <v>41571</v>
      </c>
      <c r="B1196" s="17">
        <v>194.41004380000001</v>
      </c>
      <c r="C1196" s="18"/>
      <c r="D1196" s="19"/>
    </row>
    <row r="1197" spans="1:4" ht="14">
      <c r="A1197" s="16">
        <v>41572</v>
      </c>
      <c r="B1197" s="17">
        <v>185.6437876</v>
      </c>
      <c r="C1197" s="18"/>
      <c r="D1197" s="19"/>
    </row>
    <row r="1198" spans="1:4" ht="14">
      <c r="A1198" s="16">
        <v>41573</v>
      </c>
      <c r="B1198" s="17">
        <v>179.80821800000001</v>
      </c>
      <c r="C1198" s="18"/>
      <c r="D1198" s="19"/>
    </row>
    <row r="1199" spans="1:4" ht="14">
      <c r="A1199" s="16">
        <v>41574</v>
      </c>
      <c r="B1199" s="17">
        <v>194.54613330000001</v>
      </c>
      <c r="C1199" s="18"/>
      <c r="D1199" s="19"/>
    </row>
    <row r="1200" spans="1:4" ht="14">
      <c r="A1200" s="16">
        <v>41575</v>
      </c>
      <c r="B1200" s="17">
        <v>196.27468730000001</v>
      </c>
      <c r="C1200" s="18"/>
      <c r="D1200" s="19"/>
    </row>
    <row r="1201" spans="1:4" ht="14">
      <c r="A1201" s="16">
        <v>41576</v>
      </c>
      <c r="B1201" s="17">
        <v>204.4281742</v>
      </c>
      <c r="C1201" s="18"/>
      <c r="D1201" s="19"/>
    </row>
    <row r="1202" spans="1:4" ht="14">
      <c r="A1202" s="16">
        <v>41577</v>
      </c>
      <c r="B1202" s="17">
        <v>197.9005994</v>
      </c>
      <c r="C1202" s="18"/>
      <c r="D1202" s="19"/>
    </row>
    <row r="1203" spans="1:4" ht="14">
      <c r="A1203" s="16">
        <v>41578</v>
      </c>
      <c r="B1203" s="17">
        <v>203.2836499</v>
      </c>
      <c r="C1203" s="18"/>
      <c r="D1203" s="19"/>
    </row>
    <row r="1204" spans="1:4" ht="14">
      <c r="A1204" s="16">
        <v>41579</v>
      </c>
      <c r="B1204" s="17">
        <v>203.0371098</v>
      </c>
      <c r="C1204" s="18"/>
      <c r="D1204" s="19"/>
    </row>
    <row r="1205" spans="1:4" ht="14">
      <c r="A1205" s="16">
        <v>41580</v>
      </c>
      <c r="B1205" s="17">
        <v>204.7928814</v>
      </c>
      <c r="C1205" s="18"/>
      <c r="D1205" s="19"/>
    </row>
    <row r="1206" spans="1:4" ht="14">
      <c r="A1206" s="16">
        <v>41581</v>
      </c>
      <c r="B1206" s="17">
        <v>210.2753826</v>
      </c>
      <c r="C1206" s="18"/>
      <c r="D1206" s="19"/>
    </row>
    <row r="1207" spans="1:4" ht="14">
      <c r="A1207" s="16">
        <v>41582</v>
      </c>
      <c r="B1207" s="17">
        <v>228.79103889999999</v>
      </c>
      <c r="C1207" s="18"/>
      <c r="D1207" s="19"/>
    </row>
    <row r="1208" spans="1:4" ht="14">
      <c r="A1208" s="16">
        <v>41583</v>
      </c>
      <c r="B1208" s="17">
        <v>243.64166890000001</v>
      </c>
      <c r="C1208" s="18"/>
      <c r="D1208" s="19"/>
    </row>
    <row r="1209" spans="1:4" ht="14">
      <c r="A1209" s="16">
        <v>41584</v>
      </c>
      <c r="B1209" s="17">
        <v>263.20958400000001</v>
      </c>
      <c r="C1209" s="18"/>
      <c r="D1209" s="19"/>
    </row>
    <row r="1210" spans="1:4" ht="14">
      <c r="A1210" s="16">
        <v>41585</v>
      </c>
      <c r="B1210" s="17">
        <v>290.12422620000001</v>
      </c>
      <c r="C1210" s="18"/>
      <c r="D1210" s="19"/>
    </row>
    <row r="1211" spans="1:4" ht="14">
      <c r="A1211" s="16">
        <v>41586</v>
      </c>
      <c r="B1211" s="17">
        <v>333.75065649999999</v>
      </c>
      <c r="C1211" s="18"/>
      <c r="D1211" s="19"/>
    </row>
    <row r="1212" spans="1:4" ht="14">
      <c r="A1212" s="16">
        <v>41587</v>
      </c>
      <c r="B1212" s="17">
        <v>331.05114850000001</v>
      </c>
      <c r="C1212" s="18"/>
      <c r="D1212" s="19"/>
    </row>
    <row r="1213" spans="1:4" ht="14">
      <c r="A1213" s="16">
        <v>41588</v>
      </c>
      <c r="B1213" s="17">
        <v>327.55865349999999</v>
      </c>
      <c r="C1213" s="18"/>
      <c r="D1213" s="19"/>
    </row>
    <row r="1214" spans="1:4" ht="14">
      <c r="A1214" s="16">
        <v>41589</v>
      </c>
      <c r="B1214" s="17">
        <v>342.69769289999999</v>
      </c>
      <c r="C1214" s="18"/>
      <c r="D1214" s="19"/>
    </row>
    <row r="1215" spans="1:4" ht="14">
      <c r="A1215" s="16">
        <v>41590</v>
      </c>
      <c r="B1215" s="17">
        <v>354.64548830000001</v>
      </c>
      <c r="C1215" s="18"/>
      <c r="D1215" s="19"/>
    </row>
    <row r="1216" spans="1:4" ht="14">
      <c r="A1216" s="16">
        <v>41591</v>
      </c>
      <c r="B1216" s="17">
        <v>394.50449520000001</v>
      </c>
      <c r="C1216" s="18"/>
      <c r="D1216" s="19"/>
    </row>
    <row r="1217" spans="1:4" ht="14">
      <c r="A1217" s="16">
        <v>41592</v>
      </c>
      <c r="B1217" s="17">
        <v>416.7063033</v>
      </c>
      <c r="C1217" s="18"/>
      <c r="D1217" s="19"/>
    </row>
    <row r="1218" spans="1:4" ht="14">
      <c r="A1218" s="16">
        <v>41593</v>
      </c>
      <c r="B1218" s="17">
        <v>408.39879730000001</v>
      </c>
      <c r="C1218" s="18"/>
      <c r="D1218" s="19"/>
    </row>
    <row r="1219" spans="1:4" ht="14">
      <c r="A1219" s="16">
        <v>41594</v>
      </c>
      <c r="B1219" s="17">
        <v>435.79844279999998</v>
      </c>
      <c r="C1219" s="18"/>
      <c r="D1219" s="19"/>
    </row>
    <row r="1220" spans="1:4" ht="14">
      <c r="A1220" s="16">
        <v>41595</v>
      </c>
      <c r="B1220" s="17">
        <v>485.33657690000001</v>
      </c>
      <c r="C1220" s="18"/>
      <c r="D1220" s="19"/>
    </row>
    <row r="1221" spans="1:4" ht="14">
      <c r="A1221" s="16">
        <v>41596</v>
      </c>
      <c r="B1221" s="17">
        <v>657.77850390000003</v>
      </c>
      <c r="C1221" s="18"/>
      <c r="D1221" s="19"/>
    </row>
    <row r="1222" spans="1:4" ht="14">
      <c r="A1222" s="16">
        <v>41597</v>
      </c>
      <c r="B1222" s="17">
        <v>546.87839729999996</v>
      </c>
      <c r="C1222" s="18"/>
      <c r="D1222" s="19"/>
    </row>
    <row r="1223" spans="1:4" ht="14">
      <c r="A1223" s="16">
        <v>41598</v>
      </c>
      <c r="B1223" s="17">
        <v>595.33909960000005</v>
      </c>
      <c r="C1223" s="18"/>
      <c r="D1223" s="19"/>
    </row>
    <row r="1224" spans="1:4" ht="14">
      <c r="A1224" s="16">
        <v>41599</v>
      </c>
      <c r="B1224" s="17">
        <v>720.76442529999997</v>
      </c>
      <c r="C1224" s="18"/>
      <c r="D1224" s="19"/>
    </row>
    <row r="1225" spans="1:4" ht="14">
      <c r="A1225" s="16">
        <v>41600</v>
      </c>
      <c r="B1225" s="17">
        <v>802.91693369999996</v>
      </c>
      <c r="C1225" s="18"/>
      <c r="D1225" s="19"/>
    </row>
    <row r="1226" spans="1:4" ht="14">
      <c r="A1226" s="16">
        <v>41601</v>
      </c>
      <c r="B1226" s="17">
        <v>834.29534000000001</v>
      </c>
      <c r="C1226" s="18"/>
      <c r="D1226" s="19"/>
    </row>
    <row r="1227" spans="1:4" ht="14">
      <c r="A1227" s="16">
        <v>41602</v>
      </c>
      <c r="B1227" s="17">
        <v>807.16669549999995</v>
      </c>
      <c r="C1227" s="18"/>
      <c r="D1227" s="19"/>
    </row>
    <row r="1228" spans="1:4" ht="14">
      <c r="A1228" s="16">
        <v>41603</v>
      </c>
      <c r="B1228" s="17">
        <v>816.24338660000001</v>
      </c>
      <c r="C1228" s="18"/>
      <c r="D1228" s="19"/>
    </row>
    <row r="1229" spans="1:4" ht="14">
      <c r="A1229" s="16">
        <v>41604</v>
      </c>
      <c r="B1229" s="17">
        <v>916.0971601</v>
      </c>
      <c r="C1229" s="18"/>
      <c r="D1229" s="19"/>
    </row>
    <row r="1230" spans="1:4" ht="14">
      <c r="A1230" s="16">
        <v>41605</v>
      </c>
      <c r="B1230" s="17">
        <v>962.91056089999995</v>
      </c>
      <c r="C1230" s="18"/>
      <c r="D1230" s="19"/>
    </row>
    <row r="1231" spans="1:4" ht="14">
      <c r="A1231" s="16">
        <v>41606</v>
      </c>
      <c r="B1231" s="17">
        <v>1007.387164</v>
      </c>
      <c r="C1231" s="18"/>
      <c r="D1231" s="19"/>
    </row>
    <row r="1232" spans="1:4" ht="14">
      <c r="A1232" s="16">
        <v>41607</v>
      </c>
      <c r="B1232" s="17">
        <v>1128.725488</v>
      </c>
      <c r="C1232" s="18"/>
      <c r="D1232" s="19"/>
    </row>
    <row r="1233" spans="1:4" ht="14">
      <c r="A1233" s="16">
        <v>41608</v>
      </c>
      <c r="B1233" s="17">
        <v>1119.2967149999999</v>
      </c>
      <c r="C1233" s="18"/>
      <c r="D1233" s="19"/>
    </row>
    <row r="1234" spans="1:4" ht="14">
      <c r="A1234" s="16">
        <v>41609</v>
      </c>
      <c r="B1234" s="17">
        <v>964.48579370000004</v>
      </c>
      <c r="C1234" s="18"/>
      <c r="D1234" s="19"/>
    </row>
    <row r="1235" spans="1:4" ht="14">
      <c r="A1235" s="16">
        <v>41610</v>
      </c>
      <c r="B1235" s="17">
        <v>1040.8082179999999</v>
      </c>
      <c r="C1235" s="18"/>
      <c r="D1235" s="19"/>
    </row>
    <row r="1236" spans="1:4" ht="14">
      <c r="A1236" s="16">
        <v>41611</v>
      </c>
      <c r="B1236" s="17">
        <v>1053.6210269999999</v>
      </c>
      <c r="C1236" s="18"/>
      <c r="D1236" s="19"/>
    </row>
    <row r="1237" spans="1:4" ht="14">
      <c r="A1237" s="16">
        <v>41612</v>
      </c>
      <c r="B1237" s="17">
        <v>1134.932231</v>
      </c>
      <c r="C1237" s="18"/>
      <c r="D1237" s="19"/>
    </row>
    <row r="1238" spans="1:4" ht="14">
      <c r="A1238" s="16">
        <v>41613</v>
      </c>
      <c r="B1238" s="17">
        <v>1027.411773</v>
      </c>
      <c r="C1238" s="18"/>
      <c r="D1238" s="19"/>
    </row>
    <row r="1239" spans="1:4" ht="14">
      <c r="A1239" s="16">
        <v>41614</v>
      </c>
      <c r="B1239" s="17">
        <v>824.58171030000005</v>
      </c>
      <c r="C1239" s="18"/>
      <c r="D1239" s="19"/>
    </row>
    <row r="1240" spans="1:4" ht="14">
      <c r="A1240" s="16">
        <v>41615</v>
      </c>
      <c r="B1240" s="17">
        <v>703.74837600000001</v>
      </c>
      <c r="C1240" s="18"/>
      <c r="D1240" s="19"/>
    </row>
    <row r="1241" spans="1:4" ht="14">
      <c r="A1241" s="16">
        <v>41616</v>
      </c>
      <c r="B1241" s="17">
        <v>783.57334830000002</v>
      </c>
      <c r="C1241" s="18"/>
      <c r="D1241" s="19"/>
    </row>
    <row r="1242" spans="1:4" ht="14">
      <c r="A1242" s="16">
        <v>41617</v>
      </c>
      <c r="B1242" s="17">
        <v>896.07928990000005</v>
      </c>
      <c r="C1242" s="18"/>
      <c r="D1242" s="19"/>
    </row>
    <row r="1243" spans="1:4" ht="14">
      <c r="A1243" s="16">
        <v>41618</v>
      </c>
      <c r="B1243" s="17">
        <v>977.16536729999996</v>
      </c>
      <c r="C1243" s="18"/>
      <c r="D1243" s="19"/>
    </row>
    <row r="1244" spans="1:4" ht="14">
      <c r="A1244" s="16">
        <v>41619</v>
      </c>
      <c r="B1244" s="17">
        <v>875.46403429999998</v>
      </c>
      <c r="C1244" s="18"/>
      <c r="D1244" s="19"/>
    </row>
    <row r="1245" spans="1:4" ht="14">
      <c r="A1245" s="16">
        <v>41620</v>
      </c>
      <c r="B1245" s="17">
        <v>873.32480599999997</v>
      </c>
      <c r="C1245" s="18"/>
      <c r="D1245" s="19"/>
    </row>
    <row r="1246" spans="1:4" ht="14">
      <c r="A1246" s="16">
        <v>41621</v>
      </c>
      <c r="B1246" s="17">
        <v>879.15613529999996</v>
      </c>
      <c r="C1246" s="18"/>
      <c r="D1246" s="19"/>
    </row>
    <row r="1247" spans="1:4" ht="14">
      <c r="A1247" s="16">
        <v>41622</v>
      </c>
      <c r="B1247" s="17">
        <v>852.85612049999997</v>
      </c>
      <c r="C1247" s="18"/>
      <c r="D1247" s="19"/>
    </row>
    <row r="1248" spans="1:4" ht="14">
      <c r="A1248" s="16">
        <v>41623</v>
      </c>
      <c r="B1248" s="17">
        <v>864.0616579</v>
      </c>
      <c r="C1248" s="18"/>
      <c r="D1248" s="19"/>
    </row>
    <row r="1249" spans="1:4" ht="14">
      <c r="A1249" s="16">
        <v>41624</v>
      </c>
      <c r="B1249" s="17">
        <v>677.89410680000003</v>
      </c>
      <c r="C1249" s="18"/>
      <c r="D1249" s="19"/>
    </row>
    <row r="1250" spans="1:4" ht="14">
      <c r="A1250" s="16">
        <v>41625</v>
      </c>
      <c r="B1250" s="17">
        <v>682.62677269999995</v>
      </c>
      <c r="C1250" s="18"/>
      <c r="D1250" s="19"/>
    </row>
    <row r="1251" spans="1:4" ht="14">
      <c r="A1251" s="16">
        <v>41626</v>
      </c>
      <c r="B1251" s="17">
        <v>526.12097630000005</v>
      </c>
      <c r="C1251" s="18"/>
      <c r="D1251" s="19"/>
    </row>
    <row r="1252" spans="1:4" ht="14">
      <c r="A1252" s="16">
        <v>41627</v>
      </c>
      <c r="B1252" s="17">
        <v>685.52512899999999</v>
      </c>
      <c r="C1252" s="18"/>
      <c r="D1252" s="19"/>
    </row>
    <row r="1253" spans="1:4" ht="14">
      <c r="A1253" s="16">
        <v>41628</v>
      </c>
      <c r="B1253" s="17">
        <v>600.2169543</v>
      </c>
      <c r="C1253" s="18"/>
      <c r="D1253" s="19"/>
    </row>
    <row r="1254" spans="1:4" ht="14">
      <c r="A1254" s="16">
        <v>41629</v>
      </c>
      <c r="B1254" s="17">
        <v>597.03350250000005</v>
      </c>
      <c r="C1254" s="18"/>
      <c r="D1254" s="19"/>
    </row>
    <row r="1255" spans="1:4" ht="14">
      <c r="A1255" s="16">
        <v>41630</v>
      </c>
      <c r="B1255" s="17">
        <v>615.01303529999996</v>
      </c>
      <c r="C1255" s="18"/>
      <c r="D1255" s="19"/>
    </row>
    <row r="1256" spans="1:4" ht="14">
      <c r="A1256" s="16">
        <v>41631</v>
      </c>
      <c r="B1256" s="17">
        <v>657.92663419999997</v>
      </c>
      <c r="C1256" s="18"/>
      <c r="D1256" s="19"/>
    </row>
    <row r="1257" spans="1:4" ht="14">
      <c r="A1257" s="16">
        <v>41632</v>
      </c>
      <c r="B1257" s="17">
        <v>650.66474519999997</v>
      </c>
      <c r="C1257" s="18"/>
      <c r="D1257" s="19"/>
    </row>
    <row r="1258" spans="1:4" ht="14">
      <c r="A1258" s="16">
        <v>41633</v>
      </c>
      <c r="B1258" s="17">
        <v>678.29015809999999</v>
      </c>
      <c r="C1258" s="18"/>
      <c r="D1258" s="19"/>
    </row>
    <row r="1259" spans="1:4" ht="14">
      <c r="A1259" s="16">
        <v>41634</v>
      </c>
      <c r="B1259" s="17">
        <v>749.99659499999996</v>
      </c>
      <c r="C1259" s="18"/>
      <c r="D1259" s="19"/>
    </row>
    <row r="1260" spans="1:4" ht="14">
      <c r="A1260" s="16">
        <v>41635</v>
      </c>
      <c r="B1260" s="17">
        <v>722.57056750000004</v>
      </c>
      <c r="C1260" s="18"/>
      <c r="D1260" s="19"/>
    </row>
    <row r="1261" spans="1:4" ht="14">
      <c r="A1261" s="16">
        <v>41636</v>
      </c>
      <c r="B1261" s="17">
        <v>715.85236310000005</v>
      </c>
      <c r="C1261" s="18"/>
      <c r="D1261" s="19"/>
    </row>
    <row r="1262" spans="1:4" ht="14">
      <c r="A1262" s="16">
        <v>41637</v>
      </c>
      <c r="B1262" s="17">
        <v>727.27121569999997</v>
      </c>
      <c r="C1262" s="18"/>
      <c r="D1262" s="19"/>
    </row>
    <row r="1263" spans="1:4" ht="14">
      <c r="A1263" s="16">
        <v>41638</v>
      </c>
      <c r="B1263" s="17">
        <v>735.74199710000005</v>
      </c>
      <c r="C1263" s="18"/>
      <c r="D1263" s="19"/>
    </row>
    <row r="1264" spans="1:4" ht="14">
      <c r="A1264" s="16">
        <v>41639</v>
      </c>
      <c r="B1264" s="17">
        <v>729.55758290000006</v>
      </c>
      <c r="C1264" s="18"/>
      <c r="D1264" s="19"/>
    </row>
    <row r="1265" spans="1:4" ht="14">
      <c r="A1265" s="16">
        <v>41640</v>
      </c>
      <c r="B1265" s="17">
        <v>752.40454990000001</v>
      </c>
      <c r="C1265" s="18"/>
      <c r="D1265" s="19"/>
    </row>
    <row r="1266" spans="1:4" ht="14">
      <c r="A1266" s="16">
        <v>41641</v>
      </c>
      <c r="B1266" s="17">
        <v>784.95492130000002</v>
      </c>
      <c r="C1266" s="18"/>
      <c r="D1266" s="19"/>
    </row>
    <row r="1267" spans="1:4" ht="14">
      <c r="A1267" s="16">
        <v>41642</v>
      </c>
      <c r="B1267" s="17">
        <v>807.222939</v>
      </c>
      <c r="C1267" s="18"/>
      <c r="D1267" s="19"/>
    </row>
    <row r="1268" spans="1:4" ht="14">
      <c r="A1268" s="16">
        <v>41643</v>
      </c>
      <c r="B1268" s="17">
        <v>828.60206259999995</v>
      </c>
      <c r="C1268" s="18"/>
      <c r="D1268" s="19"/>
    </row>
    <row r="1269" spans="1:4" ht="14">
      <c r="A1269" s="16">
        <v>41644</v>
      </c>
      <c r="B1269" s="17">
        <v>902.48738030000004</v>
      </c>
      <c r="C1269" s="18"/>
      <c r="D1269" s="19"/>
    </row>
    <row r="1270" spans="1:4" ht="14">
      <c r="A1270" s="16">
        <v>41645</v>
      </c>
      <c r="B1270" s="17">
        <v>914.45996079999998</v>
      </c>
      <c r="C1270" s="18"/>
      <c r="D1270" s="19"/>
    </row>
    <row r="1271" spans="1:4" ht="14">
      <c r="A1271" s="16">
        <v>41646</v>
      </c>
      <c r="B1271" s="17">
        <v>803.35179619999997</v>
      </c>
      <c r="C1271" s="18"/>
      <c r="D1271" s="19"/>
    </row>
    <row r="1272" spans="1:4" ht="14">
      <c r="A1272" s="16">
        <v>41647</v>
      </c>
      <c r="B1272" s="17">
        <v>820.69000949999997</v>
      </c>
      <c r="C1272" s="18"/>
      <c r="D1272" s="19"/>
    </row>
    <row r="1273" spans="1:4" ht="14">
      <c r="A1273" s="16">
        <v>41648</v>
      </c>
      <c r="B1273" s="17">
        <v>831.33475050000004</v>
      </c>
      <c r="C1273" s="18"/>
      <c r="D1273" s="19"/>
    </row>
    <row r="1274" spans="1:4" ht="14">
      <c r="A1274" s="16">
        <v>41649</v>
      </c>
      <c r="B1274" s="17">
        <v>853.29885479999996</v>
      </c>
      <c r="C1274" s="18"/>
      <c r="D1274" s="19"/>
    </row>
    <row r="1275" spans="1:4" ht="14">
      <c r="A1275" s="16">
        <v>41650</v>
      </c>
      <c r="B1275" s="17">
        <v>889.55583709999996</v>
      </c>
      <c r="C1275" s="18"/>
      <c r="D1275" s="19"/>
    </row>
    <row r="1276" spans="1:4" ht="14">
      <c r="A1276" s="16">
        <v>41651</v>
      </c>
      <c r="B1276" s="17">
        <v>845.19133220000003</v>
      </c>
      <c r="C1276" s="18"/>
      <c r="D1276" s="19"/>
    </row>
    <row r="1277" spans="1:4" ht="14">
      <c r="A1277" s="16">
        <v>41652</v>
      </c>
      <c r="B1277" s="17">
        <v>822.87701219999997</v>
      </c>
      <c r="C1277" s="18"/>
      <c r="D1277" s="19"/>
    </row>
    <row r="1278" spans="1:4" ht="14">
      <c r="A1278" s="16">
        <v>41653</v>
      </c>
      <c r="B1278" s="17">
        <v>815.29360269999995</v>
      </c>
      <c r="C1278" s="18"/>
      <c r="D1278" s="19"/>
    </row>
    <row r="1279" spans="1:4" ht="14">
      <c r="A1279" s="16">
        <v>41654</v>
      </c>
      <c r="B1279" s="17">
        <v>841.08985740000003</v>
      </c>
      <c r="C1279" s="18"/>
      <c r="D1279" s="19"/>
    </row>
    <row r="1280" spans="1:4" ht="14">
      <c r="A1280" s="16">
        <v>41655</v>
      </c>
      <c r="B1280" s="17">
        <v>815.85480029999997</v>
      </c>
      <c r="C1280" s="18"/>
      <c r="D1280" s="19"/>
    </row>
    <row r="1281" spans="1:4" ht="14">
      <c r="A1281" s="16">
        <v>41656</v>
      </c>
      <c r="B1281" s="17">
        <v>792.82950649999998</v>
      </c>
      <c r="C1281" s="18"/>
      <c r="D1281" s="19"/>
    </row>
    <row r="1282" spans="1:4" ht="14">
      <c r="A1282" s="16">
        <v>41657</v>
      </c>
      <c r="B1282" s="17">
        <v>809.78352840000002</v>
      </c>
      <c r="C1282" s="18"/>
      <c r="D1282" s="19"/>
    </row>
    <row r="1283" spans="1:4" ht="14">
      <c r="A1283" s="16">
        <v>41658</v>
      </c>
      <c r="B1283" s="17">
        <v>838.42847470000004</v>
      </c>
      <c r="C1283" s="18"/>
      <c r="D1283" s="19"/>
    </row>
    <row r="1284" spans="1:4" ht="14">
      <c r="A1284" s="16">
        <v>41659</v>
      </c>
      <c r="B1284" s="17">
        <v>828.88521660000004</v>
      </c>
      <c r="C1284" s="18"/>
      <c r="D1284" s="19"/>
    </row>
    <row r="1285" spans="1:4" ht="14">
      <c r="A1285" s="16">
        <v>41660</v>
      </c>
      <c r="B1285" s="17">
        <v>823.81796380000003</v>
      </c>
      <c r="C1285" s="18"/>
      <c r="D1285" s="19"/>
    </row>
    <row r="1286" spans="1:4" ht="14">
      <c r="A1286" s="16">
        <v>41661</v>
      </c>
      <c r="B1286" s="17">
        <v>818.97638629999994</v>
      </c>
      <c r="C1286" s="18"/>
      <c r="D1286" s="19"/>
    </row>
    <row r="1287" spans="1:4" ht="14">
      <c r="A1287" s="16">
        <v>41662</v>
      </c>
      <c r="B1287" s="17">
        <v>810.92242520000002</v>
      </c>
      <c r="C1287" s="18"/>
      <c r="D1287" s="19"/>
    </row>
    <row r="1288" spans="1:4" ht="14">
      <c r="A1288" s="16">
        <v>41663</v>
      </c>
      <c r="B1288" s="17">
        <v>781.04251399999998</v>
      </c>
      <c r="C1288" s="18"/>
      <c r="D1288" s="19"/>
    </row>
    <row r="1289" spans="1:4" ht="14">
      <c r="A1289" s="16">
        <v>41664</v>
      </c>
      <c r="B1289" s="17">
        <v>804.40324080000005</v>
      </c>
      <c r="C1289" s="18"/>
      <c r="D1289" s="19"/>
    </row>
    <row r="1290" spans="1:4" ht="14">
      <c r="A1290" s="16">
        <v>41665</v>
      </c>
      <c r="B1290" s="17">
        <v>814.49938139999995</v>
      </c>
      <c r="C1290" s="18"/>
      <c r="D1290" s="19"/>
    </row>
    <row r="1291" spans="1:4" ht="14">
      <c r="A1291" s="16">
        <v>41666</v>
      </c>
      <c r="B1291" s="17">
        <v>742.70137499999998</v>
      </c>
      <c r="C1291" s="18"/>
      <c r="D1291" s="19"/>
    </row>
    <row r="1292" spans="1:4" ht="14">
      <c r="A1292" s="16">
        <v>41667</v>
      </c>
      <c r="B1292" s="17">
        <v>790.17640189999997</v>
      </c>
      <c r="C1292" s="18"/>
      <c r="D1292" s="19"/>
    </row>
    <row r="1293" spans="1:4" ht="14">
      <c r="A1293" s="16">
        <v>41668</v>
      </c>
      <c r="B1293" s="17">
        <v>793.3844249</v>
      </c>
      <c r="C1293" s="18"/>
      <c r="D1293" s="19"/>
    </row>
    <row r="1294" spans="1:4" ht="14">
      <c r="A1294" s="16">
        <v>41669</v>
      </c>
      <c r="B1294" s="17">
        <v>799.47447980000004</v>
      </c>
      <c r="C1294" s="18"/>
      <c r="D1294" s="19"/>
    </row>
    <row r="1295" spans="1:4" ht="14">
      <c r="A1295" s="16">
        <v>41670</v>
      </c>
      <c r="B1295" s="17">
        <v>803.2375988</v>
      </c>
      <c r="C1295" s="18"/>
      <c r="D1295" s="19"/>
    </row>
    <row r="1296" spans="1:4" ht="14">
      <c r="A1296" s="16">
        <v>41671</v>
      </c>
      <c r="B1296" s="17">
        <v>813.21954919999996</v>
      </c>
      <c r="C1296" s="18"/>
      <c r="D1296" s="19"/>
    </row>
    <row r="1297" spans="1:4" ht="14">
      <c r="A1297" s="16">
        <v>41672</v>
      </c>
      <c r="B1297" s="17">
        <v>814.49087039999995</v>
      </c>
      <c r="C1297" s="18"/>
      <c r="D1297" s="19"/>
    </row>
    <row r="1298" spans="1:4" ht="14">
      <c r="A1298" s="16">
        <v>41673</v>
      </c>
      <c r="B1298" s="17">
        <v>806.99742839999999</v>
      </c>
      <c r="C1298" s="18"/>
      <c r="D1298" s="19"/>
    </row>
    <row r="1299" spans="1:4" ht="14">
      <c r="A1299" s="16">
        <v>41674</v>
      </c>
      <c r="B1299" s="17">
        <v>800.07823189999999</v>
      </c>
      <c r="C1299" s="18"/>
      <c r="D1299" s="19"/>
    </row>
    <row r="1300" spans="1:4" ht="14">
      <c r="A1300" s="16">
        <v>41675</v>
      </c>
      <c r="B1300" s="17">
        <v>784.47369279999998</v>
      </c>
      <c r="C1300" s="18"/>
      <c r="D1300" s="19"/>
    </row>
    <row r="1301" spans="1:4" ht="14">
      <c r="A1301" s="16">
        <v>41676</v>
      </c>
      <c r="B1301" s="17">
        <v>763.56938219999995</v>
      </c>
      <c r="C1301" s="18"/>
      <c r="D1301" s="19"/>
    </row>
    <row r="1302" spans="1:4" ht="14">
      <c r="A1302" s="16">
        <v>41677</v>
      </c>
      <c r="B1302" s="17">
        <v>711.5712734</v>
      </c>
      <c r="C1302" s="18"/>
      <c r="D1302" s="19"/>
    </row>
    <row r="1303" spans="1:4" ht="14">
      <c r="A1303" s="16">
        <v>41678</v>
      </c>
      <c r="B1303" s="17">
        <v>677.68230089999997</v>
      </c>
      <c r="C1303" s="18"/>
      <c r="D1303" s="19"/>
    </row>
    <row r="1304" spans="1:4" ht="14">
      <c r="A1304" s="16">
        <v>41679</v>
      </c>
      <c r="B1304" s="17">
        <v>687.40605459999995</v>
      </c>
      <c r="C1304" s="18"/>
      <c r="D1304" s="19"/>
    </row>
    <row r="1305" spans="1:4" ht="14">
      <c r="A1305" s="16">
        <v>41680</v>
      </c>
      <c r="B1305" s="17">
        <v>685.45749880000005</v>
      </c>
      <c r="C1305" s="18"/>
      <c r="D1305" s="19"/>
    </row>
    <row r="1306" spans="1:4" ht="14">
      <c r="A1306" s="16">
        <v>41681</v>
      </c>
      <c r="B1306" s="17">
        <v>671.89969169999995</v>
      </c>
      <c r="C1306" s="18"/>
      <c r="D1306" s="19"/>
    </row>
    <row r="1307" spans="1:4" ht="14">
      <c r="A1307" s="16">
        <v>41682</v>
      </c>
      <c r="B1307" s="17">
        <v>653.76578089999998</v>
      </c>
      <c r="C1307" s="18"/>
      <c r="D1307" s="19"/>
    </row>
    <row r="1308" spans="1:4" ht="14">
      <c r="A1308" s="16">
        <v>41683</v>
      </c>
      <c r="B1308" s="17">
        <v>612.91841499999998</v>
      </c>
      <c r="C1308" s="18"/>
      <c r="D1308" s="19"/>
    </row>
    <row r="1309" spans="1:4" ht="14">
      <c r="A1309" s="16">
        <v>41684</v>
      </c>
      <c r="B1309" s="17">
        <v>668.78860269999996</v>
      </c>
      <c r="C1309" s="18"/>
      <c r="D1309" s="19"/>
    </row>
    <row r="1310" spans="1:4" ht="14">
      <c r="A1310" s="16">
        <v>41685</v>
      </c>
      <c r="B1310" s="17">
        <v>654.37706019999996</v>
      </c>
      <c r="C1310" s="18"/>
      <c r="D1310" s="19"/>
    </row>
    <row r="1311" spans="1:4" ht="14">
      <c r="A1311" s="16">
        <v>41686</v>
      </c>
      <c r="B1311" s="17">
        <v>623.25032190000002</v>
      </c>
      <c r="C1311" s="18"/>
      <c r="D1311" s="19"/>
    </row>
    <row r="1312" spans="1:4" ht="14">
      <c r="A1312" s="16">
        <v>41687</v>
      </c>
      <c r="B1312" s="17">
        <v>631.33459630000004</v>
      </c>
      <c r="C1312" s="18"/>
      <c r="D1312" s="19"/>
    </row>
    <row r="1313" spans="1:4" ht="14">
      <c r="A1313" s="16">
        <v>41688</v>
      </c>
      <c r="B1313" s="17">
        <v>627.27176139999995</v>
      </c>
      <c r="C1313" s="18"/>
      <c r="D1313" s="19"/>
    </row>
    <row r="1314" spans="1:4" ht="14">
      <c r="A1314" s="16">
        <v>41689</v>
      </c>
      <c r="B1314" s="17">
        <v>623.54013689999999</v>
      </c>
      <c r="C1314" s="18"/>
      <c r="D1314" s="19"/>
    </row>
    <row r="1315" spans="1:4" ht="14">
      <c r="A1315" s="16">
        <v>41690</v>
      </c>
      <c r="B1315" s="17">
        <v>563.76856110000006</v>
      </c>
      <c r="C1315" s="18"/>
      <c r="D1315" s="19"/>
    </row>
    <row r="1316" spans="1:4" ht="14">
      <c r="A1316" s="16">
        <v>41691</v>
      </c>
      <c r="B1316" s="17">
        <v>580.32431599999995</v>
      </c>
      <c r="C1316" s="18"/>
      <c r="D1316" s="19"/>
    </row>
    <row r="1317" spans="1:4" ht="14">
      <c r="A1317" s="16">
        <v>41692</v>
      </c>
      <c r="B1317" s="17">
        <v>607.12463330000003</v>
      </c>
      <c r="C1317" s="18"/>
      <c r="D1317" s="19"/>
    </row>
    <row r="1318" spans="1:4" ht="14">
      <c r="A1318" s="16">
        <v>41693</v>
      </c>
      <c r="B1318" s="17">
        <v>610.08232369999996</v>
      </c>
      <c r="C1318" s="18"/>
      <c r="D1318" s="19"/>
    </row>
    <row r="1319" spans="1:4" ht="14">
      <c r="A1319" s="16">
        <v>41694</v>
      </c>
      <c r="B1319" s="17">
        <v>542.26665079999998</v>
      </c>
      <c r="C1319" s="18"/>
      <c r="D1319" s="19"/>
    </row>
    <row r="1320" spans="1:4" ht="14">
      <c r="A1320" s="16">
        <v>41695</v>
      </c>
      <c r="B1320" s="17">
        <v>533.70764440000005</v>
      </c>
      <c r="C1320" s="18"/>
      <c r="D1320" s="19"/>
    </row>
    <row r="1321" spans="1:4" ht="14">
      <c r="A1321" s="16">
        <v>41696</v>
      </c>
      <c r="B1321" s="17">
        <v>587.57858829999998</v>
      </c>
      <c r="C1321" s="18"/>
      <c r="D1321" s="19"/>
    </row>
    <row r="1322" spans="1:4" ht="14">
      <c r="A1322" s="16">
        <v>41697</v>
      </c>
      <c r="B1322" s="17">
        <v>585.39392569999995</v>
      </c>
      <c r="C1322" s="18"/>
      <c r="D1322" s="19"/>
    </row>
    <row r="1323" spans="1:4" ht="14">
      <c r="A1323" s="16">
        <v>41698</v>
      </c>
      <c r="B1323" s="17">
        <v>551.29477029999998</v>
      </c>
      <c r="C1323" s="18"/>
      <c r="D1323" s="19"/>
    </row>
    <row r="1324" spans="1:4" ht="14">
      <c r="A1324" s="16">
        <v>41699</v>
      </c>
      <c r="B1324" s="17">
        <v>567.53423539999994</v>
      </c>
      <c r="C1324" s="18"/>
      <c r="D1324" s="19"/>
    </row>
    <row r="1325" spans="1:4" ht="14">
      <c r="A1325" s="16">
        <v>41700</v>
      </c>
      <c r="B1325" s="17">
        <v>558.52770720000001</v>
      </c>
      <c r="C1325" s="18"/>
      <c r="D1325" s="19"/>
    </row>
    <row r="1326" spans="1:4" ht="14">
      <c r="A1326" s="16">
        <v>41701</v>
      </c>
      <c r="B1326" s="17">
        <v>676.50573280000003</v>
      </c>
      <c r="C1326" s="18"/>
      <c r="D1326" s="19"/>
    </row>
    <row r="1327" spans="1:4" ht="14">
      <c r="A1327" s="16">
        <v>41702</v>
      </c>
      <c r="B1327" s="17">
        <v>674.51139939999996</v>
      </c>
      <c r="C1327" s="18"/>
      <c r="D1327" s="19"/>
    </row>
    <row r="1328" spans="1:4" ht="14">
      <c r="A1328" s="16">
        <v>41703</v>
      </c>
      <c r="B1328" s="17">
        <v>670.33885110000006</v>
      </c>
      <c r="C1328" s="18"/>
      <c r="D1328" s="19"/>
    </row>
    <row r="1329" spans="1:4" ht="14">
      <c r="A1329" s="16">
        <v>41704</v>
      </c>
      <c r="B1329" s="17">
        <v>667.71283400000004</v>
      </c>
      <c r="C1329" s="18"/>
      <c r="D1329" s="19"/>
    </row>
    <row r="1330" spans="1:4" ht="14">
      <c r="A1330" s="16">
        <v>41705</v>
      </c>
      <c r="B1330" s="17">
        <v>631.77029519999996</v>
      </c>
      <c r="C1330" s="18"/>
      <c r="D1330" s="19"/>
    </row>
    <row r="1331" spans="1:4" ht="14">
      <c r="A1331" s="16">
        <v>41706</v>
      </c>
      <c r="B1331" s="17">
        <v>621.5241145</v>
      </c>
      <c r="C1331" s="18"/>
      <c r="D1331" s="19"/>
    </row>
    <row r="1332" spans="1:4" ht="14">
      <c r="A1332" s="16">
        <v>41707</v>
      </c>
      <c r="B1332" s="17">
        <v>640.57888930000001</v>
      </c>
      <c r="C1332" s="18"/>
      <c r="D1332" s="19"/>
    </row>
    <row r="1333" spans="1:4" ht="14">
      <c r="A1333" s="16">
        <v>41708</v>
      </c>
      <c r="B1333" s="17">
        <v>628.15124119999996</v>
      </c>
      <c r="C1333" s="18"/>
      <c r="D1333" s="19"/>
    </row>
    <row r="1334" spans="1:4" ht="14">
      <c r="A1334" s="16">
        <v>41709</v>
      </c>
      <c r="B1334" s="17">
        <v>633.73383820000004</v>
      </c>
      <c r="C1334" s="18"/>
      <c r="D1334" s="19"/>
    </row>
    <row r="1335" spans="1:4" ht="14">
      <c r="A1335" s="16">
        <v>41710</v>
      </c>
      <c r="B1335" s="17">
        <v>634.64682370000003</v>
      </c>
      <c r="C1335" s="18"/>
      <c r="D1335" s="19"/>
    </row>
    <row r="1336" spans="1:4" ht="14">
      <c r="A1336" s="16">
        <v>41711</v>
      </c>
      <c r="B1336" s="17">
        <v>643.43210090000002</v>
      </c>
      <c r="C1336" s="18"/>
      <c r="D1336" s="19"/>
    </row>
    <row r="1337" spans="1:4" ht="14">
      <c r="A1337" s="16">
        <v>41712</v>
      </c>
      <c r="B1337" s="17">
        <v>628.30858999999998</v>
      </c>
      <c r="C1337" s="18"/>
      <c r="D1337" s="19"/>
    </row>
    <row r="1338" spans="1:4" ht="14">
      <c r="A1338" s="16">
        <v>41713</v>
      </c>
      <c r="B1338" s="17">
        <v>636.21865009999999</v>
      </c>
      <c r="C1338" s="18"/>
      <c r="D1338" s="19"/>
    </row>
    <row r="1339" spans="1:4" ht="14">
      <c r="A1339" s="16">
        <v>41714</v>
      </c>
      <c r="B1339" s="17">
        <v>634.16890100000001</v>
      </c>
      <c r="C1339" s="18"/>
      <c r="D1339" s="19"/>
    </row>
    <row r="1340" spans="1:4" ht="14">
      <c r="A1340" s="16">
        <v>41715</v>
      </c>
      <c r="B1340" s="17">
        <v>622.76020860000006</v>
      </c>
      <c r="C1340" s="18"/>
      <c r="D1340" s="19"/>
    </row>
    <row r="1341" spans="1:4" ht="14">
      <c r="A1341" s="16">
        <v>41716</v>
      </c>
      <c r="B1341" s="17">
        <v>614.30951370000002</v>
      </c>
      <c r="C1341" s="18"/>
      <c r="D1341" s="19"/>
    </row>
    <row r="1342" spans="1:4" ht="14">
      <c r="A1342" s="16">
        <v>41717</v>
      </c>
      <c r="B1342" s="17">
        <v>610.51120349999997</v>
      </c>
      <c r="C1342" s="18"/>
      <c r="D1342" s="19"/>
    </row>
    <row r="1343" spans="1:4" ht="14">
      <c r="A1343" s="16">
        <v>41718</v>
      </c>
      <c r="B1343" s="17">
        <v>586.60759570000005</v>
      </c>
      <c r="C1343" s="18"/>
      <c r="D1343" s="19"/>
    </row>
    <row r="1344" spans="1:4" ht="14">
      <c r="A1344" s="16">
        <v>41719</v>
      </c>
      <c r="B1344" s="17">
        <v>569.69451800000002</v>
      </c>
      <c r="C1344" s="18"/>
      <c r="D1344" s="19"/>
    </row>
    <row r="1345" spans="1:4" ht="14">
      <c r="A1345" s="16">
        <v>41720</v>
      </c>
      <c r="B1345" s="17">
        <v>564.70002669999997</v>
      </c>
      <c r="C1345" s="18"/>
      <c r="D1345" s="19"/>
    </row>
    <row r="1346" spans="1:4" ht="14">
      <c r="A1346" s="16">
        <v>41721</v>
      </c>
      <c r="B1346" s="17">
        <v>558.95886170000006</v>
      </c>
      <c r="C1346" s="18"/>
      <c r="D1346" s="19"/>
    </row>
    <row r="1347" spans="1:4" ht="14">
      <c r="A1347" s="16">
        <v>41722</v>
      </c>
      <c r="B1347" s="17">
        <v>585.02325050000002</v>
      </c>
      <c r="C1347" s="18"/>
      <c r="D1347" s="19"/>
    </row>
    <row r="1348" spans="1:4" ht="14">
      <c r="A1348" s="16">
        <v>41723</v>
      </c>
      <c r="B1348" s="17">
        <v>583.77118910000002</v>
      </c>
      <c r="C1348" s="18"/>
      <c r="D1348" s="19"/>
    </row>
    <row r="1349" spans="1:4" ht="14">
      <c r="A1349" s="16">
        <v>41724</v>
      </c>
      <c r="B1349" s="17">
        <v>579.24385040000004</v>
      </c>
      <c r="C1349" s="18"/>
      <c r="D1349" s="19"/>
    </row>
    <row r="1350" spans="1:4" ht="14">
      <c r="A1350" s="16">
        <v>41725</v>
      </c>
      <c r="B1350" s="17">
        <v>483.16401259999998</v>
      </c>
      <c r="C1350" s="18"/>
      <c r="D1350" s="19"/>
    </row>
    <row r="1351" spans="1:4" ht="14">
      <c r="A1351" s="16">
        <v>41726</v>
      </c>
      <c r="B1351" s="17">
        <v>498.6613289</v>
      </c>
      <c r="C1351" s="18"/>
      <c r="D1351" s="19"/>
    </row>
    <row r="1352" spans="1:4" ht="14">
      <c r="A1352" s="16">
        <v>41727</v>
      </c>
      <c r="B1352" s="17">
        <v>489.51702349999999</v>
      </c>
      <c r="C1352" s="18"/>
      <c r="D1352" s="19"/>
    </row>
    <row r="1353" spans="1:4" ht="14">
      <c r="A1353" s="16">
        <v>41728</v>
      </c>
      <c r="B1353" s="17">
        <v>458.96632829999999</v>
      </c>
      <c r="C1353" s="18"/>
      <c r="D1353" s="19"/>
    </row>
    <row r="1354" spans="1:4" ht="14">
      <c r="A1354" s="16">
        <v>41729</v>
      </c>
      <c r="B1354" s="17">
        <v>455.3553541</v>
      </c>
      <c r="C1354" s="18"/>
      <c r="D1354" s="19"/>
    </row>
    <row r="1355" spans="1:4" ht="14">
      <c r="A1355" s="16">
        <v>41730</v>
      </c>
      <c r="B1355" s="17">
        <v>479.00846589999998</v>
      </c>
      <c r="C1355" s="18"/>
      <c r="D1355" s="19"/>
    </row>
    <row r="1356" spans="1:4" ht="14">
      <c r="A1356" s="16">
        <v>41731</v>
      </c>
      <c r="B1356" s="17">
        <v>439.01149249999997</v>
      </c>
      <c r="C1356" s="18"/>
      <c r="D1356" s="19"/>
    </row>
    <row r="1357" spans="1:4" ht="14">
      <c r="A1357" s="16">
        <v>41732</v>
      </c>
      <c r="B1357" s="17">
        <v>449.44115149999999</v>
      </c>
      <c r="C1357" s="18"/>
      <c r="D1357" s="19"/>
    </row>
    <row r="1358" spans="1:4" ht="14">
      <c r="A1358" s="16">
        <v>41733</v>
      </c>
      <c r="B1358" s="17">
        <v>449.7198697</v>
      </c>
      <c r="C1358" s="18"/>
      <c r="D1358" s="19"/>
    </row>
    <row r="1359" spans="1:4" ht="14">
      <c r="A1359" s="16">
        <v>41734</v>
      </c>
      <c r="B1359" s="17">
        <v>461.67533150000003</v>
      </c>
      <c r="C1359" s="18"/>
      <c r="D1359" s="19"/>
    </row>
    <row r="1360" spans="1:4" ht="14">
      <c r="A1360" s="16">
        <v>41735</v>
      </c>
      <c r="B1360" s="17">
        <v>458.63348050000002</v>
      </c>
      <c r="C1360" s="18"/>
      <c r="D1360" s="19"/>
    </row>
    <row r="1361" spans="1:4" ht="14">
      <c r="A1361" s="16">
        <v>41736</v>
      </c>
      <c r="B1361" s="17">
        <v>448.65527509999998</v>
      </c>
      <c r="C1361" s="18"/>
      <c r="D1361" s="19"/>
    </row>
    <row r="1362" spans="1:4" ht="14">
      <c r="A1362" s="16">
        <v>41737</v>
      </c>
      <c r="B1362" s="17">
        <v>452.80309879999999</v>
      </c>
      <c r="C1362" s="18"/>
      <c r="D1362" s="19"/>
    </row>
    <row r="1363" spans="1:4" ht="14">
      <c r="A1363" s="16">
        <v>41738</v>
      </c>
      <c r="B1363" s="17">
        <v>442.83798489999998</v>
      </c>
      <c r="C1363" s="18"/>
      <c r="D1363" s="19"/>
    </row>
    <row r="1364" spans="1:4" ht="14">
      <c r="A1364" s="16">
        <v>41739</v>
      </c>
      <c r="B1364" s="17">
        <v>366.9118661</v>
      </c>
      <c r="C1364" s="18"/>
      <c r="D1364" s="19"/>
    </row>
    <row r="1365" spans="1:4" ht="14">
      <c r="A1365" s="16">
        <v>41740</v>
      </c>
      <c r="B1365" s="17">
        <v>421.94352809999998</v>
      </c>
      <c r="C1365" s="18"/>
      <c r="D1365" s="19"/>
    </row>
    <row r="1366" spans="1:4" ht="14">
      <c r="A1366" s="16">
        <v>41741</v>
      </c>
      <c r="B1366" s="17">
        <v>424.2742126</v>
      </c>
      <c r="C1366" s="18"/>
      <c r="D1366" s="19"/>
    </row>
    <row r="1367" spans="1:4" ht="14">
      <c r="A1367" s="16">
        <v>41742</v>
      </c>
      <c r="B1367" s="17">
        <v>416.3623217</v>
      </c>
      <c r="C1367" s="18"/>
      <c r="D1367" s="19"/>
    </row>
    <row r="1368" spans="1:4" ht="14">
      <c r="A1368" s="16">
        <v>41743</v>
      </c>
      <c r="B1368" s="17">
        <v>461.10824659999997</v>
      </c>
      <c r="C1368" s="18"/>
      <c r="D1368" s="19"/>
    </row>
    <row r="1369" spans="1:4" ht="14">
      <c r="A1369" s="16">
        <v>41744</v>
      </c>
      <c r="B1369" s="17">
        <v>521.61529959999996</v>
      </c>
      <c r="C1369" s="18"/>
      <c r="D1369" s="19"/>
    </row>
    <row r="1370" spans="1:4" ht="14">
      <c r="A1370" s="16">
        <v>41745</v>
      </c>
      <c r="B1370" s="17">
        <v>531.48184670000001</v>
      </c>
      <c r="C1370" s="18"/>
      <c r="D1370" s="19"/>
    </row>
    <row r="1371" spans="1:4" ht="14">
      <c r="A1371" s="16">
        <v>41746</v>
      </c>
      <c r="B1371" s="17">
        <v>499.83755150000002</v>
      </c>
      <c r="C1371" s="18"/>
      <c r="D1371" s="19"/>
    </row>
    <row r="1372" spans="1:4" ht="14">
      <c r="A1372" s="16">
        <v>41747</v>
      </c>
      <c r="B1372" s="17">
        <v>483.0200135</v>
      </c>
      <c r="C1372" s="18"/>
      <c r="D1372" s="19"/>
    </row>
    <row r="1373" spans="1:4" ht="14">
      <c r="A1373" s="16">
        <v>41748</v>
      </c>
      <c r="B1373" s="17">
        <v>504.36559519999997</v>
      </c>
      <c r="C1373" s="18"/>
      <c r="D1373" s="19"/>
    </row>
    <row r="1374" spans="1:4" ht="14">
      <c r="A1374" s="16">
        <v>41749</v>
      </c>
      <c r="B1374" s="17">
        <v>501.55718439999998</v>
      </c>
      <c r="C1374" s="18"/>
      <c r="D1374" s="19"/>
    </row>
    <row r="1375" spans="1:4" ht="14">
      <c r="A1375" s="16">
        <v>41750</v>
      </c>
      <c r="B1375" s="17">
        <v>498.08453029999998</v>
      </c>
      <c r="C1375" s="18"/>
      <c r="D1375" s="19"/>
    </row>
    <row r="1376" spans="1:4" ht="14">
      <c r="A1376" s="16">
        <v>41751</v>
      </c>
      <c r="B1376" s="17">
        <v>489.50351000000001</v>
      </c>
      <c r="C1376" s="18"/>
      <c r="D1376" s="19"/>
    </row>
    <row r="1377" spans="1:4" ht="14">
      <c r="A1377" s="16">
        <v>41752</v>
      </c>
      <c r="B1377" s="17">
        <v>490.63296750000001</v>
      </c>
      <c r="C1377" s="18"/>
      <c r="D1377" s="19"/>
    </row>
    <row r="1378" spans="1:4" ht="14">
      <c r="A1378" s="16">
        <v>41753</v>
      </c>
      <c r="B1378" s="17">
        <v>503.29180100000002</v>
      </c>
      <c r="C1378" s="18"/>
      <c r="D1378" s="19"/>
    </row>
    <row r="1379" spans="1:4" ht="14">
      <c r="A1379" s="16">
        <v>41754</v>
      </c>
      <c r="B1379" s="17">
        <v>466.42617130000002</v>
      </c>
      <c r="C1379" s="18"/>
      <c r="D1379" s="19"/>
    </row>
    <row r="1380" spans="1:4" ht="14">
      <c r="A1380" s="16">
        <v>41755</v>
      </c>
      <c r="B1380" s="17">
        <v>459.22670979999998</v>
      </c>
      <c r="C1380" s="18"/>
      <c r="D1380" s="19"/>
    </row>
    <row r="1381" spans="1:4" ht="14">
      <c r="A1381" s="16">
        <v>41756</v>
      </c>
      <c r="B1381" s="17">
        <v>438.70936369999998</v>
      </c>
      <c r="C1381" s="18"/>
      <c r="D1381" s="19"/>
    </row>
    <row r="1382" spans="1:4" ht="14">
      <c r="A1382" s="16">
        <v>41757</v>
      </c>
      <c r="B1382" s="17">
        <v>441.54780549999998</v>
      </c>
      <c r="C1382" s="18"/>
      <c r="D1382" s="19"/>
    </row>
    <row r="1383" spans="1:4" ht="14">
      <c r="A1383" s="16">
        <v>41758</v>
      </c>
      <c r="B1383" s="17">
        <v>447.7099308</v>
      </c>
      <c r="C1383" s="18"/>
      <c r="D1383" s="19"/>
    </row>
    <row r="1384" spans="1:4" ht="14">
      <c r="A1384" s="16">
        <v>41759</v>
      </c>
      <c r="B1384" s="17">
        <v>448.87571550000001</v>
      </c>
      <c r="C1384" s="18"/>
      <c r="D1384" s="19"/>
    </row>
    <row r="1385" spans="1:4" ht="14">
      <c r="A1385" s="16">
        <v>41760</v>
      </c>
      <c r="B1385" s="17">
        <v>460.19469830000003</v>
      </c>
      <c r="C1385" s="18"/>
      <c r="D1385" s="19"/>
    </row>
    <row r="1386" spans="1:4" ht="14">
      <c r="A1386" s="16">
        <v>41761</v>
      </c>
      <c r="B1386" s="17">
        <v>452.23977980000001</v>
      </c>
      <c r="C1386" s="18"/>
      <c r="D1386" s="19"/>
    </row>
    <row r="1387" spans="1:4" ht="14">
      <c r="A1387" s="16">
        <v>41762</v>
      </c>
      <c r="B1387" s="17">
        <v>438.978588</v>
      </c>
      <c r="C1387" s="18"/>
      <c r="D1387" s="19"/>
    </row>
    <row r="1388" spans="1:4" ht="14">
      <c r="A1388" s="16">
        <v>41763</v>
      </c>
      <c r="B1388" s="17">
        <v>436.67539859999999</v>
      </c>
      <c r="C1388" s="18"/>
      <c r="D1388" s="19"/>
    </row>
    <row r="1389" spans="1:4" ht="14">
      <c r="A1389" s="16">
        <v>41764</v>
      </c>
      <c r="B1389" s="17">
        <v>432.33817900000003</v>
      </c>
      <c r="C1389" s="18"/>
      <c r="D1389" s="19"/>
    </row>
    <row r="1390" spans="1:4" ht="14">
      <c r="A1390" s="16">
        <v>41765</v>
      </c>
      <c r="B1390" s="17">
        <v>430.12820540000001</v>
      </c>
      <c r="C1390" s="18"/>
      <c r="D1390" s="19"/>
    </row>
    <row r="1391" spans="1:4" ht="14">
      <c r="A1391" s="16">
        <v>41766</v>
      </c>
      <c r="B1391" s="17">
        <v>442.18287609999999</v>
      </c>
      <c r="C1391" s="18"/>
      <c r="D1391" s="19"/>
    </row>
    <row r="1392" spans="1:4" ht="14">
      <c r="A1392" s="16">
        <v>41767</v>
      </c>
      <c r="B1392" s="17">
        <v>440.40276269999998</v>
      </c>
      <c r="C1392" s="18"/>
      <c r="D1392" s="19"/>
    </row>
    <row r="1393" spans="1:4" ht="14">
      <c r="A1393" s="16">
        <v>41768</v>
      </c>
      <c r="B1393" s="17">
        <v>452.69799970000003</v>
      </c>
      <c r="C1393" s="18"/>
      <c r="D1393" s="19"/>
    </row>
    <row r="1394" spans="1:4" ht="14">
      <c r="A1394" s="16">
        <v>41769</v>
      </c>
      <c r="B1394" s="17">
        <v>456.75584629999997</v>
      </c>
      <c r="C1394" s="18"/>
      <c r="D1394" s="19"/>
    </row>
    <row r="1395" spans="1:4" ht="14">
      <c r="A1395" s="16">
        <v>41770</v>
      </c>
      <c r="B1395" s="17">
        <v>439.11447600000002</v>
      </c>
      <c r="C1395" s="18"/>
      <c r="D1395" s="19"/>
    </row>
    <row r="1396" spans="1:4" ht="14">
      <c r="A1396" s="16">
        <v>41771</v>
      </c>
      <c r="B1396" s="17">
        <v>441.28095560000003</v>
      </c>
      <c r="C1396" s="18"/>
      <c r="D1396" s="19"/>
    </row>
    <row r="1397" spans="1:4" ht="14">
      <c r="A1397" s="16">
        <v>41772</v>
      </c>
      <c r="B1397" s="17">
        <v>439.00577500000003</v>
      </c>
      <c r="C1397" s="18"/>
      <c r="D1397" s="19"/>
    </row>
    <row r="1398" spans="1:4" ht="14">
      <c r="A1398" s="16">
        <v>41773</v>
      </c>
      <c r="B1398" s="17">
        <v>444.84820569999999</v>
      </c>
      <c r="C1398" s="18"/>
      <c r="D1398" s="19"/>
    </row>
    <row r="1399" spans="1:4" ht="14">
      <c r="A1399" s="16">
        <v>41774</v>
      </c>
      <c r="B1399" s="17">
        <v>446.96155870000001</v>
      </c>
      <c r="C1399" s="18"/>
      <c r="D1399" s="19"/>
    </row>
    <row r="1400" spans="1:4" ht="14">
      <c r="A1400" s="16">
        <v>41775</v>
      </c>
      <c r="B1400" s="17">
        <v>448.74215370000002</v>
      </c>
      <c r="C1400" s="18"/>
      <c r="D1400" s="19"/>
    </row>
    <row r="1401" spans="1:4" ht="14">
      <c r="A1401" s="16">
        <v>41776</v>
      </c>
      <c r="B1401" s="17">
        <v>449.2222893</v>
      </c>
      <c r="C1401" s="18"/>
      <c r="D1401" s="19"/>
    </row>
    <row r="1402" spans="1:4" ht="14">
      <c r="A1402" s="16">
        <v>41777</v>
      </c>
      <c r="B1402" s="17">
        <v>446.9626414</v>
      </c>
      <c r="C1402" s="18"/>
      <c r="D1402" s="19"/>
    </row>
    <row r="1403" spans="1:4" ht="14">
      <c r="A1403" s="16">
        <v>41778</v>
      </c>
      <c r="B1403" s="17">
        <v>447.4048568</v>
      </c>
      <c r="C1403" s="18"/>
      <c r="D1403" s="19"/>
    </row>
    <row r="1404" spans="1:4" ht="14">
      <c r="A1404" s="16">
        <v>41779</v>
      </c>
      <c r="B1404" s="17">
        <v>490.33564819999998</v>
      </c>
      <c r="C1404" s="18"/>
      <c r="D1404" s="19"/>
    </row>
    <row r="1405" spans="1:4" ht="14">
      <c r="A1405" s="16">
        <v>41780</v>
      </c>
      <c r="B1405" s="17">
        <v>493.93349180000001</v>
      </c>
      <c r="C1405" s="18"/>
      <c r="D1405" s="19"/>
    </row>
    <row r="1406" spans="1:4" ht="14">
      <c r="A1406" s="16">
        <v>41781</v>
      </c>
      <c r="B1406" s="17">
        <v>526.81428840000001</v>
      </c>
      <c r="C1406" s="18"/>
      <c r="D1406" s="19"/>
    </row>
    <row r="1407" spans="1:4" ht="14">
      <c r="A1407" s="16">
        <v>41782</v>
      </c>
      <c r="B1407" s="17">
        <v>523.69932029999995</v>
      </c>
      <c r="C1407" s="18"/>
      <c r="D1407" s="19"/>
    </row>
    <row r="1408" spans="1:4" ht="14">
      <c r="A1408" s="16">
        <v>41783</v>
      </c>
      <c r="B1408" s="17">
        <v>527.69124309999995</v>
      </c>
      <c r="C1408" s="18"/>
      <c r="D1408" s="19"/>
    </row>
    <row r="1409" spans="1:4" ht="14">
      <c r="A1409" s="16">
        <v>41784</v>
      </c>
      <c r="B1409" s="17">
        <v>573.31245879999994</v>
      </c>
      <c r="C1409" s="18"/>
      <c r="D1409" s="19"/>
    </row>
    <row r="1410" spans="1:4" ht="14">
      <c r="A1410" s="16">
        <v>41785</v>
      </c>
      <c r="B1410" s="17">
        <v>584.84797490000005</v>
      </c>
      <c r="C1410" s="18"/>
      <c r="D1410" s="19"/>
    </row>
    <row r="1411" spans="1:4" ht="14">
      <c r="A1411" s="16">
        <v>41786</v>
      </c>
      <c r="B1411" s="17">
        <v>573.92826920000005</v>
      </c>
      <c r="C1411" s="18"/>
      <c r="D1411" s="19"/>
    </row>
    <row r="1412" spans="1:4" ht="14">
      <c r="A1412" s="16">
        <v>41787</v>
      </c>
      <c r="B1412" s="17">
        <v>579.18931880000002</v>
      </c>
      <c r="C1412" s="18"/>
      <c r="D1412" s="19"/>
    </row>
    <row r="1413" spans="1:4" ht="14">
      <c r="A1413" s="16">
        <v>41788</v>
      </c>
      <c r="B1413" s="17">
        <v>570.34931089999998</v>
      </c>
      <c r="C1413" s="18"/>
      <c r="D1413" s="19"/>
    </row>
    <row r="1414" spans="1:4" ht="14">
      <c r="A1414" s="16">
        <v>41789</v>
      </c>
      <c r="B1414" s="17">
        <v>620.84636060000003</v>
      </c>
      <c r="C1414" s="18"/>
      <c r="D1414" s="19"/>
    </row>
    <row r="1415" spans="1:4" ht="14">
      <c r="A1415" s="16">
        <v>41790</v>
      </c>
      <c r="B1415" s="17">
        <v>627.8924207</v>
      </c>
      <c r="C1415" s="18"/>
      <c r="D1415" s="19"/>
    </row>
    <row r="1416" spans="1:4" ht="14">
      <c r="A1416" s="16">
        <v>41791</v>
      </c>
      <c r="B1416" s="17">
        <v>630.07495349999999</v>
      </c>
      <c r="C1416" s="18"/>
      <c r="D1416" s="19"/>
    </row>
    <row r="1417" spans="1:4" ht="14">
      <c r="A1417" s="16">
        <v>41792</v>
      </c>
      <c r="B1417" s="17">
        <v>663.50572380000006</v>
      </c>
      <c r="C1417" s="18"/>
      <c r="D1417" s="19"/>
    </row>
    <row r="1418" spans="1:4" ht="14">
      <c r="A1418" s="16">
        <v>41793</v>
      </c>
      <c r="B1418" s="17">
        <v>672.38789710000003</v>
      </c>
      <c r="C1418" s="18"/>
      <c r="D1418" s="19"/>
    </row>
    <row r="1419" spans="1:4" ht="14">
      <c r="A1419" s="16">
        <v>41794</v>
      </c>
      <c r="B1419" s="17">
        <v>643.88736879999999</v>
      </c>
      <c r="C1419" s="18"/>
      <c r="D1419" s="19"/>
    </row>
    <row r="1420" spans="1:4" ht="14">
      <c r="A1420" s="16">
        <v>41795</v>
      </c>
      <c r="B1420" s="17">
        <v>661.50355820000004</v>
      </c>
      <c r="C1420" s="18"/>
      <c r="D1420" s="19"/>
    </row>
    <row r="1421" spans="1:4" ht="14">
      <c r="A1421" s="16">
        <v>41796</v>
      </c>
      <c r="B1421" s="17">
        <v>650.13331589999996</v>
      </c>
      <c r="C1421" s="18"/>
      <c r="D1421" s="19"/>
    </row>
    <row r="1422" spans="1:4" ht="14">
      <c r="A1422" s="16">
        <v>41797</v>
      </c>
      <c r="B1422" s="17">
        <v>656.80027180000002</v>
      </c>
      <c r="C1422" s="18"/>
      <c r="D1422" s="19"/>
    </row>
    <row r="1423" spans="1:4" ht="14">
      <c r="A1423" s="16">
        <v>41798</v>
      </c>
      <c r="B1423" s="17">
        <v>657.81997490000003</v>
      </c>
      <c r="C1423" s="18"/>
      <c r="D1423" s="19"/>
    </row>
    <row r="1424" spans="1:4" ht="14">
      <c r="A1424" s="16">
        <v>41799</v>
      </c>
      <c r="B1424" s="17">
        <v>648.33632230000001</v>
      </c>
      <c r="C1424" s="18"/>
      <c r="D1424" s="19"/>
    </row>
    <row r="1425" spans="1:4" ht="14">
      <c r="A1425" s="16">
        <v>41800</v>
      </c>
      <c r="B1425" s="17">
        <v>650.9366096</v>
      </c>
      <c r="C1425" s="18"/>
      <c r="D1425" s="19"/>
    </row>
    <row r="1426" spans="1:4" ht="14">
      <c r="A1426" s="16">
        <v>41801</v>
      </c>
      <c r="B1426" s="17">
        <v>631.48902220000002</v>
      </c>
      <c r="C1426" s="18"/>
      <c r="D1426" s="19"/>
    </row>
    <row r="1427" spans="1:4" ht="14">
      <c r="A1427" s="16">
        <v>41802</v>
      </c>
      <c r="B1427" s="17">
        <v>591.97507710000002</v>
      </c>
      <c r="C1427" s="18"/>
      <c r="D1427" s="19"/>
    </row>
    <row r="1428" spans="1:4" ht="14">
      <c r="A1428" s="16">
        <v>41803</v>
      </c>
      <c r="B1428" s="17">
        <v>597.04499969999995</v>
      </c>
      <c r="C1428" s="18"/>
      <c r="D1428" s="19"/>
    </row>
    <row r="1429" spans="1:4" ht="14">
      <c r="A1429" s="16">
        <v>41804</v>
      </c>
      <c r="B1429" s="17">
        <v>575.55946170000004</v>
      </c>
      <c r="C1429" s="18"/>
      <c r="D1429" s="19"/>
    </row>
    <row r="1430" spans="1:4" ht="14">
      <c r="A1430" s="16">
        <v>41805</v>
      </c>
      <c r="B1430" s="17">
        <v>589.72464639999998</v>
      </c>
      <c r="C1430" s="18"/>
      <c r="D1430" s="19"/>
    </row>
    <row r="1431" spans="1:4" ht="14">
      <c r="A1431" s="16">
        <v>41806</v>
      </c>
      <c r="B1431" s="17">
        <v>590.56748219999997</v>
      </c>
      <c r="C1431" s="18"/>
      <c r="D1431" s="19"/>
    </row>
    <row r="1432" spans="1:4" ht="14">
      <c r="A1432" s="16">
        <v>41807</v>
      </c>
      <c r="B1432" s="17">
        <v>609.08000289999995</v>
      </c>
      <c r="C1432" s="18"/>
      <c r="D1432" s="19"/>
    </row>
    <row r="1433" spans="1:4" ht="14">
      <c r="A1433" s="16">
        <v>41808</v>
      </c>
      <c r="B1433" s="17">
        <v>607.62979600000006</v>
      </c>
      <c r="C1433" s="18"/>
      <c r="D1433" s="19"/>
    </row>
    <row r="1434" spans="1:4" ht="14">
      <c r="A1434" s="16">
        <v>41809</v>
      </c>
      <c r="B1434" s="17">
        <v>595.75147689999994</v>
      </c>
      <c r="C1434" s="18"/>
      <c r="D1434" s="19"/>
    </row>
    <row r="1435" spans="1:4" ht="14">
      <c r="A1435" s="16">
        <v>41810</v>
      </c>
      <c r="B1435" s="17">
        <v>591.53152279999995</v>
      </c>
      <c r="C1435" s="18"/>
      <c r="D1435" s="19"/>
    </row>
    <row r="1436" spans="1:4" ht="14">
      <c r="A1436" s="16">
        <v>41811</v>
      </c>
      <c r="B1436" s="17">
        <v>592.76434949999998</v>
      </c>
      <c r="C1436" s="18"/>
      <c r="D1436" s="19"/>
    </row>
    <row r="1437" spans="1:4" ht="14">
      <c r="A1437" s="16">
        <v>41812</v>
      </c>
      <c r="B1437" s="17">
        <v>599.63463349999995</v>
      </c>
      <c r="C1437" s="18"/>
      <c r="D1437" s="19"/>
    </row>
    <row r="1438" spans="1:4" ht="14">
      <c r="A1438" s="16">
        <v>41813</v>
      </c>
      <c r="B1438" s="17">
        <v>589.55229980000001</v>
      </c>
      <c r="C1438" s="18"/>
      <c r="D1438" s="19"/>
    </row>
    <row r="1439" spans="1:4" ht="14">
      <c r="A1439" s="16">
        <v>41814</v>
      </c>
      <c r="B1439" s="17">
        <v>579.97371859999998</v>
      </c>
      <c r="C1439" s="18"/>
      <c r="D1439" s="19"/>
    </row>
    <row r="1440" spans="1:4" ht="14">
      <c r="A1440" s="16">
        <v>41815</v>
      </c>
      <c r="B1440" s="17">
        <v>562.23677999999995</v>
      </c>
      <c r="C1440" s="18"/>
      <c r="D1440" s="19"/>
    </row>
    <row r="1441" spans="1:4" ht="14">
      <c r="A1441" s="16">
        <v>41816</v>
      </c>
      <c r="B1441" s="17">
        <v>580.74923030000002</v>
      </c>
      <c r="C1441" s="18"/>
      <c r="D1441" s="19"/>
    </row>
    <row r="1442" spans="1:4" ht="14">
      <c r="A1442" s="16">
        <v>41817</v>
      </c>
      <c r="B1442" s="17">
        <v>600.63830540000004</v>
      </c>
      <c r="C1442" s="18"/>
      <c r="D1442" s="19"/>
    </row>
    <row r="1443" spans="1:4" ht="14">
      <c r="A1443" s="16">
        <v>41818</v>
      </c>
      <c r="B1443" s="17">
        <v>594.39030419999995</v>
      </c>
      <c r="C1443" s="18"/>
      <c r="D1443" s="19"/>
    </row>
    <row r="1444" spans="1:4" ht="14">
      <c r="A1444" s="16">
        <v>41819</v>
      </c>
      <c r="B1444" s="17">
        <v>600.84051839999995</v>
      </c>
      <c r="C1444" s="18"/>
      <c r="D1444" s="19"/>
    </row>
    <row r="1445" spans="1:4" ht="14">
      <c r="A1445" s="16">
        <v>41820</v>
      </c>
      <c r="B1445" s="17">
        <v>638.94611399999997</v>
      </c>
      <c r="C1445" s="18"/>
      <c r="D1445" s="19"/>
    </row>
    <row r="1446" spans="1:4" ht="14">
      <c r="A1446" s="16">
        <v>41821</v>
      </c>
      <c r="B1446" s="17">
        <v>642.95659669999998</v>
      </c>
      <c r="C1446" s="18"/>
      <c r="D1446" s="19"/>
    </row>
    <row r="1447" spans="1:4" ht="14">
      <c r="A1447" s="16">
        <v>41822</v>
      </c>
      <c r="B1447" s="17">
        <v>651.29834770000002</v>
      </c>
      <c r="C1447" s="18"/>
      <c r="D1447" s="19"/>
    </row>
    <row r="1448" spans="1:4" ht="14">
      <c r="A1448" s="16">
        <v>41823</v>
      </c>
      <c r="B1448" s="17">
        <v>646.41338910000002</v>
      </c>
      <c r="C1448" s="18"/>
      <c r="D1448" s="19"/>
    </row>
    <row r="1449" spans="1:4" ht="14">
      <c r="A1449" s="16">
        <v>41824</v>
      </c>
      <c r="B1449" s="17">
        <v>630.63550290000001</v>
      </c>
      <c r="C1449" s="18"/>
      <c r="D1449" s="19"/>
    </row>
    <row r="1450" spans="1:4" ht="14">
      <c r="A1450" s="16">
        <v>41825</v>
      </c>
      <c r="B1450" s="17">
        <v>630.46834190000004</v>
      </c>
      <c r="C1450" s="18"/>
      <c r="D1450" s="19"/>
    </row>
    <row r="1451" spans="1:4" ht="14">
      <c r="A1451" s="16">
        <v>41826</v>
      </c>
      <c r="B1451" s="17">
        <v>634.67267449999997</v>
      </c>
      <c r="C1451" s="18"/>
      <c r="D1451" s="19"/>
    </row>
    <row r="1452" spans="1:4" ht="14">
      <c r="A1452" s="16">
        <v>41827</v>
      </c>
      <c r="B1452" s="17">
        <v>622.85497899999996</v>
      </c>
      <c r="C1452" s="18"/>
      <c r="D1452" s="19"/>
    </row>
    <row r="1453" spans="1:4" ht="14">
      <c r="A1453" s="16">
        <v>41828</v>
      </c>
      <c r="B1453" s="17">
        <v>624.89433110000004</v>
      </c>
      <c r="C1453" s="18"/>
      <c r="D1453" s="19"/>
    </row>
    <row r="1454" spans="1:4" ht="14">
      <c r="A1454" s="16">
        <v>41829</v>
      </c>
      <c r="B1454" s="17">
        <v>621.93909180000003</v>
      </c>
      <c r="C1454" s="18"/>
      <c r="D1454" s="19"/>
    </row>
    <row r="1455" spans="1:4" ht="14">
      <c r="A1455" s="16">
        <v>41830</v>
      </c>
      <c r="B1455" s="17">
        <v>616.52284980000002</v>
      </c>
      <c r="C1455" s="18"/>
      <c r="D1455" s="19"/>
    </row>
    <row r="1456" spans="1:4" ht="14">
      <c r="A1456" s="16">
        <v>41831</v>
      </c>
      <c r="B1456" s="17">
        <v>634.49437809999995</v>
      </c>
      <c r="C1456" s="18"/>
      <c r="D1456" s="19"/>
    </row>
    <row r="1457" spans="1:4" ht="14">
      <c r="A1457" s="16">
        <v>41832</v>
      </c>
      <c r="B1457" s="17">
        <v>636.9239579</v>
      </c>
      <c r="C1457" s="18"/>
      <c r="D1457" s="19"/>
    </row>
    <row r="1458" spans="1:4" ht="14">
      <c r="A1458" s="16">
        <v>41833</v>
      </c>
      <c r="B1458" s="17">
        <v>629.87575040000002</v>
      </c>
      <c r="C1458" s="18"/>
      <c r="D1458" s="19"/>
    </row>
    <row r="1459" spans="1:4" ht="14">
      <c r="A1459" s="16">
        <v>41834</v>
      </c>
      <c r="B1459" s="17">
        <v>619.19745909999995</v>
      </c>
      <c r="C1459" s="18"/>
      <c r="D1459" s="19"/>
    </row>
    <row r="1460" spans="1:4" ht="14">
      <c r="A1460" s="16">
        <v>41835</v>
      </c>
      <c r="B1460" s="17">
        <v>621.93460140000002</v>
      </c>
      <c r="C1460" s="18"/>
      <c r="D1460" s="19"/>
    </row>
    <row r="1461" spans="1:4" ht="14">
      <c r="A1461" s="16">
        <v>41836</v>
      </c>
      <c r="B1461" s="17">
        <v>616.35188219999998</v>
      </c>
      <c r="C1461" s="18"/>
      <c r="D1461" s="19"/>
    </row>
    <row r="1462" spans="1:4" ht="14">
      <c r="A1462" s="16">
        <v>41837</v>
      </c>
      <c r="B1462" s="17">
        <v>624.259275</v>
      </c>
      <c r="C1462" s="18"/>
      <c r="D1462" s="19"/>
    </row>
    <row r="1463" spans="1:4" ht="14">
      <c r="A1463" s="16">
        <v>41838</v>
      </c>
      <c r="B1463" s="17">
        <v>630.7501403</v>
      </c>
      <c r="C1463" s="18"/>
      <c r="D1463" s="19"/>
    </row>
    <row r="1464" spans="1:4" ht="14">
      <c r="A1464" s="16">
        <v>41839</v>
      </c>
      <c r="B1464" s="17">
        <v>629.17336439999997</v>
      </c>
      <c r="C1464" s="18"/>
      <c r="D1464" s="19"/>
    </row>
    <row r="1465" spans="1:4" ht="14">
      <c r="A1465" s="16">
        <v>41840</v>
      </c>
      <c r="B1465" s="17">
        <v>625.24867619999998</v>
      </c>
      <c r="C1465" s="18"/>
      <c r="D1465" s="19"/>
    </row>
    <row r="1466" spans="1:4" ht="14">
      <c r="A1466" s="16">
        <v>41841</v>
      </c>
      <c r="B1466" s="17">
        <v>621.3053314</v>
      </c>
      <c r="C1466" s="18"/>
      <c r="D1466" s="19"/>
    </row>
    <row r="1467" spans="1:4" ht="14">
      <c r="A1467" s="16">
        <v>41842</v>
      </c>
      <c r="B1467" s="17">
        <v>619.82326450000005</v>
      </c>
      <c r="C1467" s="18"/>
      <c r="D1467" s="19"/>
    </row>
    <row r="1468" spans="1:4" ht="14">
      <c r="A1468" s="16">
        <v>41843</v>
      </c>
      <c r="B1468" s="17">
        <v>619.77281679999999</v>
      </c>
      <c r="C1468" s="18"/>
      <c r="D1468" s="19"/>
    </row>
    <row r="1469" spans="1:4" ht="14">
      <c r="A1469" s="16">
        <v>41844</v>
      </c>
      <c r="B1469" s="17">
        <v>602.87964550000004</v>
      </c>
      <c r="C1469" s="18"/>
      <c r="D1469" s="19"/>
    </row>
    <row r="1470" spans="1:4" ht="14">
      <c r="A1470" s="16">
        <v>41845</v>
      </c>
      <c r="B1470" s="17">
        <v>601.57851430000005</v>
      </c>
      <c r="C1470" s="18"/>
      <c r="D1470" s="19"/>
    </row>
    <row r="1471" spans="1:4" ht="14">
      <c r="A1471" s="16">
        <v>41846</v>
      </c>
      <c r="B1471" s="17">
        <v>594.70260719999999</v>
      </c>
      <c r="C1471" s="18"/>
      <c r="D1471" s="19"/>
    </row>
    <row r="1472" spans="1:4" ht="14">
      <c r="A1472" s="16">
        <v>41847</v>
      </c>
      <c r="B1472" s="17">
        <v>591.57544419999999</v>
      </c>
      <c r="C1472" s="18"/>
      <c r="D1472" s="19"/>
    </row>
    <row r="1473" spans="1:4" ht="14">
      <c r="A1473" s="16">
        <v>41848</v>
      </c>
      <c r="B1473" s="17">
        <v>587.49300500000004</v>
      </c>
      <c r="C1473" s="18"/>
      <c r="D1473" s="19"/>
    </row>
    <row r="1474" spans="1:4" ht="14">
      <c r="A1474" s="16">
        <v>41849</v>
      </c>
      <c r="B1474" s="17">
        <v>584.11239330000001</v>
      </c>
      <c r="C1474" s="18"/>
      <c r="D1474" s="19"/>
    </row>
    <row r="1475" spans="1:4" ht="14">
      <c r="A1475" s="16">
        <v>41850</v>
      </c>
      <c r="B1475" s="17">
        <v>562.91462509999997</v>
      </c>
      <c r="C1475" s="18"/>
      <c r="D1475" s="19"/>
    </row>
    <row r="1476" spans="1:4" ht="14">
      <c r="A1476" s="16">
        <v>41851</v>
      </c>
      <c r="B1476" s="17">
        <v>581.97556199999997</v>
      </c>
      <c r="C1476" s="18"/>
      <c r="D1476" s="19"/>
    </row>
    <row r="1477" spans="1:4" ht="14">
      <c r="A1477" s="16">
        <v>41852</v>
      </c>
      <c r="B1477" s="17">
        <v>596.50675920000003</v>
      </c>
      <c r="C1477" s="18"/>
      <c r="D1477" s="19"/>
    </row>
    <row r="1478" spans="1:4" ht="14">
      <c r="A1478" s="16">
        <v>41853</v>
      </c>
      <c r="B1478" s="17">
        <v>589.75726150000003</v>
      </c>
      <c r="C1478" s="18"/>
      <c r="D1478" s="19"/>
    </row>
    <row r="1479" spans="1:4" ht="14">
      <c r="A1479" s="16">
        <v>41854</v>
      </c>
      <c r="B1479" s="17">
        <v>586.75373669999999</v>
      </c>
      <c r="C1479" s="18"/>
      <c r="D1479" s="19"/>
    </row>
    <row r="1480" spans="1:4" ht="14">
      <c r="A1480" s="16">
        <v>41855</v>
      </c>
      <c r="B1480" s="17">
        <v>587.60833549999995</v>
      </c>
      <c r="C1480" s="18"/>
      <c r="D1480" s="19"/>
    </row>
    <row r="1481" spans="1:4" ht="14">
      <c r="A1481" s="16">
        <v>41856</v>
      </c>
      <c r="B1481" s="17">
        <v>581.8819886</v>
      </c>
      <c r="C1481" s="18"/>
      <c r="D1481" s="19"/>
    </row>
    <row r="1482" spans="1:4" ht="14">
      <c r="A1482" s="16">
        <v>41857</v>
      </c>
      <c r="B1482" s="17">
        <v>582.2483714</v>
      </c>
      <c r="C1482" s="18"/>
      <c r="D1482" s="19"/>
    </row>
    <row r="1483" spans="1:4" ht="14">
      <c r="A1483" s="16">
        <v>41858</v>
      </c>
      <c r="B1483" s="17">
        <v>586.04663349999998</v>
      </c>
      <c r="C1483" s="18"/>
      <c r="D1483" s="19"/>
    </row>
    <row r="1484" spans="1:4" ht="14">
      <c r="A1484" s="16">
        <v>41859</v>
      </c>
      <c r="B1484" s="17">
        <v>589.02441260000001</v>
      </c>
      <c r="C1484" s="18"/>
      <c r="D1484" s="19"/>
    </row>
    <row r="1485" spans="1:4" ht="14">
      <c r="A1485" s="16">
        <v>41860</v>
      </c>
      <c r="B1485" s="17">
        <v>588.97852130000001</v>
      </c>
      <c r="C1485" s="18"/>
      <c r="D1485" s="19"/>
    </row>
    <row r="1486" spans="1:4" ht="14">
      <c r="A1486" s="16">
        <v>41861</v>
      </c>
      <c r="B1486" s="17">
        <v>589.37350200000003</v>
      </c>
      <c r="C1486" s="18"/>
      <c r="D1486" s="19"/>
    </row>
    <row r="1487" spans="1:4" ht="14">
      <c r="A1487" s="16">
        <v>41862</v>
      </c>
      <c r="B1487" s="17">
        <v>573.44148389999998</v>
      </c>
      <c r="C1487" s="18"/>
      <c r="D1487" s="19"/>
    </row>
    <row r="1488" spans="1:4" ht="14">
      <c r="A1488" s="16">
        <v>41863</v>
      </c>
      <c r="B1488" s="17">
        <v>568.3075202</v>
      </c>
      <c r="C1488" s="18"/>
      <c r="D1488" s="19"/>
    </row>
    <row r="1489" spans="1:4" ht="14">
      <c r="A1489" s="16">
        <v>41864</v>
      </c>
      <c r="B1489" s="17">
        <v>548.37017530000003</v>
      </c>
      <c r="C1489" s="18"/>
      <c r="D1489" s="19"/>
    </row>
    <row r="1490" spans="1:4" ht="14">
      <c r="A1490" s="16">
        <v>41865</v>
      </c>
      <c r="B1490" s="17">
        <v>505.10749970000001</v>
      </c>
      <c r="C1490" s="18"/>
      <c r="D1490" s="19"/>
    </row>
    <row r="1491" spans="1:4" ht="14">
      <c r="A1491" s="16">
        <v>41866</v>
      </c>
      <c r="B1491" s="17">
        <v>500.32306010000002</v>
      </c>
      <c r="C1491" s="18"/>
      <c r="D1491" s="19"/>
    </row>
    <row r="1492" spans="1:4" ht="14">
      <c r="A1492" s="16">
        <v>41867</v>
      </c>
      <c r="B1492" s="17">
        <v>521.74796289999995</v>
      </c>
      <c r="C1492" s="18"/>
      <c r="D1492" s="19"/>
    </row>
    <row r="1493" spans="1:4" ht="14">
      <c r="A1493" s="16">
        <v>41868</v>
      </c>
      <c r="B1493" s="17">
        <v>497.76465899999999</v>
      </c>
      <c r="C1493" s="18"/>
      <c r="D1493" s="19"/>
    </row>
    <row r="1494" spans="1:4" ht="14">
      <c r="A1494" s="16">
        <v>41869</v>
      </c>
      <c r="B1494" s="17">
        <v>468.95791819999999</v>
      </c>
      <c r="C1494" s="18"/>
      <c r="D1494" s="19"/>
    </row>
    <row r="1495" spans="1:4" ht="14">
      <c r="A1495" s="16">
        <v>41870</v>
      </c>
      <c r="B1495" s="17">
        <v>486.7943507</v>
      </c>
      <c r="C1495" s="18"/>
      <c r="D1495" s="19"/>
    </row>
    <row r="1496" spans="1:4" ht="14">
      <c r="A1496" s="16">
        <v>41871</v>
      </c>
      <c r="B1496" s="17">
        <v>515.12035390000005</v>
      </c>
      <c r="C1496" s="18"/>
      <c r="D1496" s="19"/>
    </row>
    <row r="1497" spans="1:4" ht="14">
      <c r="A1497" s="16">
        <v>41872</v>
      </c>
      <c r="B1497" s="17">
        <v>519.30785209999999</v>
      </c>
      <c r="C1497" s="18"/>
      <c r="D1497" s="19"/>
    </row>
    <row r="1498" spans="1:4" ht="14">
      <c r="A1498" s="16">
        <v>41873</v>
      </c>
      <c r="B1498" s="17">
        <v>516.15936880000004</v>
      </c>
      <c r="C1498" s="18"/>
      <c r="D1498" s="19"/>
    </row>
    <row r="1499" spans="1:4" ht="14">
      <c r="A1499" s="16">
        <v>41874</v>
      </c>
      <c r="B1499" s="17">
        <v>497.12575950000002</v>
      </c>
      <c r="C1499" s="18"/>
      <c r="D1499" s="19"/>
    </row>
    <row r="1500" spans="1:4" ht="14">
      <c r="A1500" s="16">
        <v>41875</v>
      </c>
      <c r="B1500" s="17">
        <v>508.43074200000001</v>
      </c>
      <c r="C1500" s="18"/>
      <c r="D1500" s="19"/>
    </row>
    <row r="1501" spans="1:4" ht="14">
      <c r="A1501" s="16">
        <v>41876</v>
      </c>
      <c r="B1501" s="17">
        <v>501.61028670000002</v>
      </c>
      <c r="C1501" s="18"/>
      <c r="D1501" s="19"/>
    </row>
    <row r="1502" spans="1:4" ht="14">
      <c r="A1502" s="16">
        <v>41877</v>
      </c>
      <c r="B1502" s="17">
        <v>511.8523217</v>
      </c>
      <c r="C1502" s="18"/>
      <c r="D1502" s="19"/>
    </row>
    <row r="1503" spans="1:4" ht="14">
      <c r="A1503" s="16">
        <v>41878</v>
      </c>
      <c r="B1503" s="17">
        <v>510.16232380000002</v>
      </c>
      <c r="C1503" s="18"/>
      <c r="D1503" s="19"/>
    </row>
    <row r="1504" spans="1:4" ht="14">
      <c r="A1504" s="16">
        <v>41879</v>
      </c>
      <c r="B1504" s="17">
        <v>506.28515169999997</v>
      </c>
      <c r="C1504" s="18"/>
      <c r="D1504" s="19"/>
    </row>
    <row r="1505" spans="1:4" ht="14">
      <c r="A1505" s="16">
        <v>41880</v>
      </c>
      <c r="B1505" s="17">
        <v>508.8665719</v>
      </c>
      <c r="C1505" s="18"/>
      <c r="D1505" s="19"/>
    </row>
    <row r="1506" spans="1:4" ht="14">
      <c r="A1506" s="16">
        <v>41881</v>
      </c>
      <c r="B1506" s="17">
        <v>501.27572329999998</v>
      </c>
      <c r="C1506" s="18"/>
      <c r="D1506" s="19"/>
    </row>
    <row r="1507" spans="1:4" ht="14">
      <c r="A1507" s="16">
        <v>41882</v>
      </c>
      <c r="B1507" s="17">
        <v>478.51142549999997</v>
      </c>
      <c r="C1507" s="18"/>
      <c r="D1507" s="19"/>
    </row>
    <row r="1508" spans="1:4" ht="14">
      <c r="A1508" s="16">
        <v>41883</v>
      </c>
      <c r="B1508" s="17">
        <v>474.54148980000002</v>
      </c>
      <c r="C1508" s="18"/>
      <c r="D1508" s="19"/>
    </row>
    <row r="1509" spans="1:4" ht="14">
      <c r="A1509" s="16">
        <v>41884</v>
      </c>
      <c r="B1509" s="17">
        <v>474.43067070000001</v>
      </c>
      <c r="C1509" s="18"/>
      <c r="D1509" s="19"/>
    </row>
    <row r="1510" spans="1:4" ht="14">
      <c r="A1510" s="16">
        <v>41885</v>
      </c>
      <c r="B1510" s="17">
        <v>473.95920339999998</v>
      </c>
      <c r="C1510" s="18"/>
      <c r="D1510" s="19"/>
    </row>
    <row r="1511" spans="1:4" ht="14">
      <c r="A1511" s="16">
        <v>41886</v>
      </c>
      <c r="B1511" s="17">
        <v>489.55520130000002</v>
      </c>
      <c r="C1511" s="18"/>
      <c r="D1511" s="19"/>
    </row>
    <row r="1512" spans="1:4" ht="14">
      <c r="A1512" s="16">
        <v>41887</v>
      </c>
      <c r="B1512" s="17">
        <v>478.74978290000001</v>
      </c>
      <c r="C1512" s="18"/>
      <c r="D1512" s="19"/>
    </row>
    <row r="1513" spans="1:4" ht="14">
      <c r="A1513" s="16">
        <v>41888</v>
      </c>
      <c r="B1513" s="17">
        <v>480.64249180000002</v>
      </c>
      <c r="C1513" s="18"/>
      <c r="D1513" s="19"/>
    </row>
    <row r="1514" spans="1:4" ht="14">
      <c r="A1514" s="16">
        <v>41889</v>
      </c>
      <c r="B1514" s="17">
        <v>478.36550089999997</v>
      </c>
      <c r="C1514" s="18"/>
      <c r="D1514" s="19"/>
    </row>
    <row r="1515" spans="1:4" ht="14">
      <c r="A1515" s="16">
        <v>41890</v>
      </c>
      <c r="B1515" s="17">
        <v>468.9754959</v>
      </c>
      <c r="C1515" s="18"/>
      <c r="D1515" s="19"/>
    </row>
    <row r="1516" spans="1:4" ht="14">
      <c r="A1516" s="16">
        <v>41891</v>
      </c>
      <c r="B1516" s="17">
        <v>473.51202719999998</v>
      </c>
      <c r="C1516" s="18"/>
      <c r="D1516" s="19"/>
    </row>
    <row r="1517" spans="1:4" ht="14">
      <c r="A1517" s="16">
        <v>41892</v>
      </c>
      <c r="B1517" s="17">
        <v>477.77841760000001</v>
      </c>
      <c r="C1517" s="18"/>
      <c r="D1517" s="19"/>
    </row>
    <row r="1518" spans="1:4" ht="14">
      <c r="A1518" s="16">
        <v>41893</v>
      </c>
      <c r="B1518" s="17">
        <v>477.27068209999999</v>
      </c>
      <c r="C1518" s="18"/>
      <c r="D1518" s="19"/>
    </row>
    <row r="1519" spans="1:4" ht="14">
      <c r="A1519" s="16">
        <v>41894</v>
      </c>
      <c r="B1519" s="17">
        <v>473.99728229999999</v>
      </c>
      <c r="C1519" s="18"/>
      <c r="D1519" s="19"/>
    </row>
    <row r="1520" spans="1:4" ht="14">
      <c r="A1520" s="16">
        <v>41895</v>
      </c>
      <c r="B1520" s="17">
        <v>477.96097400000002</v>
      </c>
      <c r="C1520" s="18"/>
      <c r="D1520" s="19"/>
    </row>
    <row r="1521" spans="1:4" ht="14">
      <c r="A1521" s="16">
        <v>41896</v>
      </c>
      <c r="B1521" s="17">
        <v>475.64806399999998</v>
      </c>
      <c r="C1521" s="18"/>
      <c r="D1521" s="19"/>
    </row>
    <row r="1522" spans="1:4" ht="14">
      <c r="A1522" s="16">
        <v>41897</v>
      </c>
      <c r="B1522" s="17">
        <v>472.65562970000002</v>
      </c>
      <c r="C1522" s="18"/>
      <c r="D1522" s="19"/>
    </row>
    <row r="1523" spans="1:4" ht="14">
      <c r="A1523" s="16">
        <v>41898</v>
      </c>
      <c r="B1523" s="17">
        <v>464.17775449999999</v>
      </c>
      <c r="C1523" s="18"/>
      <c r="D1523" s="19"/>
    </row>
    <row r="1524" spans="1:4" ht="14">
      <c r="A1524" s="16">
        <v>41899</v>
      </c>
      <c r="B1524" s="17">
        <v>456.34</v>
      </c>
      <c r="C1524" s="18">
        <v>21056800</v>
      </c>
      <c r="D1524" s="19" t="str">
        <f t="shared" ref="D1524:D1778" si="0">IF(C1517&lt;&gt;"",SUM(C1517:C1523),"")</f>
        <v/>
      </c>
    </row>
    <row r="1525" spans="1:4" ht="14">
      <c r="A1525" s="16">
        <v>41900</v>
      </c>
      <c r="B1525" s="17">
        <v>426.88</v>
      </c>
      <c r="C1525" s="18">
        <v>34483200</v>
      </c>
      <c r="D1525" s="19" t="str">
        <f t="shared" si="0"/>
        <v/>
      </c>
    </row>
    <row r="1526" spans="1:4" ht="14">
      <c r="A1526" s="16">
        <v>41901</v>
      </c>
      <c r="B1526" s="17">
        <v>393.89</v>
      </c>
      <c r="C1526" s="18">
        <v>37919700</v>
      </c>
      <c r="D1526" s="19" t="str">
        <f t="shared" si="0"/>
        <v/>
      </c>
    </row>
    <row r="1527" spans="1:4" ht="14">
      <c r="A1527" s="16">
        <v>41902</v>
      </c>
      <c r="B1527" s="17">
        <v>411.04</v>
      </c>
      <c r="C1527" s="18">
        <v>36863600</v>
      </c>
      <c r="D1527" s="19" t="str">
        <f t="shared" si="0"/>
        <v/>
      </c>
    </row>
    <row r="1528" spans="1:4" ht="14">
      <c r="A1528" s="16">
        <v>41903</v>
      </c>
      <c r="B1528" s="17">
        <v>400.4</v>
      </c>
      <c r="C1528" s="18">
        <v>26580100</v>
      </c>
      <c r="D1528" s="19" t="str">
        <f t="shared" si="0"/>
        <v/>
      </c>
    </row>
    <row r="1529" spans="1:4" ht="14">
      <c r="A1529" s="16">
        <v>41904</v>
      </c>
      <c r="B1529" s="17">
        <v>400.88</v>
      </c>
      <c r="C1529" s="18">
        <v>24127600</v>
      </c>
      <c r="D1529" s="19" t="str">
        <f t="shared" si="0"/>
        <v/>
      </c>
    </row>
    <row r="1530" spans="1:4" ht="14">
      <c r="A1530" s="16">
        <v>41905</v>
      </c>
      <c r="B1530" s="17">
        <v>438.49</v>
      </c>
      <c r="C1530" s="18">
        <v>45099500</v>
      </c>
      <c r="D1530" s="19" t="str">
        <f t="shared" si="0"/>
        <v/>
      </c>
    </row>
    <row r="1531" spans="1:4" ht="14">
      <c r="A1531" s="16">
        <v>41906</v>
      </c>
      <c r="B1531" s="17">
        <v>423.7</v>
      </c>
      <c r="C1531" s="18">
        <v>30627700</v>
      </c>
      <c r="D1531" s="21">
        <f t="shared" si="0"/>
        <v>226130500</v>
      </c>
    </row>
    <row r="1532" spans="1:4" ht="14">
      <c r="A1532" s="16">
        <v>41907</v>
      </c>
      <c r="B1532" s="17">
        <v>409.54</v>
      </c>
      <c r="C1532" s="18">
        <v>26814400</v>
      </c>
      <c r="D1532" s="21">
        <f t="shared" si="0"/>
        <v>235701400</v>
      </c>
    </row>
    <row r="1533" spans="1:4" ht="14">
      <c r="A1533" s="16">
        <v>41908</v>
      </c>
      <c r="B1533" s="17">
        <v>405.3</v>
      </c>
      <c r="C1533" s="18">
        <v>21460800</v>
      </c>
      <c r="D1533" s="21">
        <f t="shared" si="0"/>
        <v>228032600</v>
      </c>
    </row>
    <row r="1534" spans="1:4" ht="14">
      <c r="A1534" s="16">
        <v>41909</v>
      </c>
      <c r="B1534" s="17">
        <v>400.6</v>
      </c>
      <c r="C1534" s="18">
        <v>15029300</v>
      </c>
      <c r="D1534" s="21">
        <f t="shared" si="0"/>
        <v>211573700</v>
      </c>
    </row>
    <row r="1535" spans="1:4" ht="14">
      <c r="A1535" s="16">
        <v>41910</v>
      </c>
      <c r="B1535" s="17">
        <v>375.55</v>
      </c>
      <c r="C1535" s="18">
        <v>23613300</v>
      </c>
      <c r="D1535" s="21">
        <f t="shared" si="0"/>
        <v>189739400</v>
      </c>
    </row>
    <row r="1536" spans="1:4" ht="14">
      <c r="A1536" s="16">
        <v>41911</v>
      </c>
      <c r="B1536" s="17">
        <v>373.06</v>
      </c>
      <c r="C1536" s="18">
        <v>32497700</v>
      </c>
      <c r="D1536" s="21">
        <f t="shared" si="0"/>
        <v>186772600</v>
      </c>
    </row>
    <row r="1537" spans="1:4" ht="14">
      <c r="A1537" s="16">
        <v>41912</v>
      </c>
      <c r="B1537" s="17">
        <v>389.26</v>
      </c>
      <c r="C1537" s="18">
        <v>34707300</v>
      </c>
      <c r="D1537" s="21">
        <f t="shared" si="0"/>
        <v>195142700</v>
      </c>
    </row>
    <row r="1538" spans="1:4" ht="14">
      <c r="A1538" s="16">
        <v>41913</v>
      </c>
      <c r="B1538" s="17">
        <v>382.91</v>
      </c>
      <c r="C1538" s="18">
        <v>26229400</v>
      </c>
      <c r="D1538" s="21">
        <f t="shared" si="0"/>
        <v>184750500</v>
      </c>
    </row>
    <row r="1539" spans="1:4" ht="14">
      <c r="A1539" s="16">
        <v>41914</v>
      </c>
      <c r="B1539" s="17">
        <v>372.53</v>
      </c>
      <c r="C1539" s="18">
        <v>21777700</v>
      </c>
      <c r="D1539" s="21">
        <f t="shared" si="0"/>
        <v>180352200</v>
      </c>
    </row>
    <row r="1540" spans="1:4" ht="14">
      <c r="A1540" s="16">
        <v>41915</v>
      </c>
      <c r="B1540" s="17">
        <v>357.67</v>
      </c>
      <c r="C1540" s="18">
        <v>30901200</v>
      </c>
      <c r="D1540" s="21">
        <f t="shared" si="0"/>
        <v>175315500</v>
      </c>
    </row>
    <row r="1541" spans="1:4" ht="14">
      <c r="A1541" s="16">
        <v>41916</v>
      </c>
      <c r="B1541" s="17">
        <v>328.83</v>
      </c>
      <c r="C1541" s="18">
        <v>47236500</v>
      </c>
      <c r="D1541" s="21">
        <f t="shared" si="0"/>
        <v>184755900</v>
      </c>
    </row>
    <row r="1542" spans="1:4" ht="14">
      <c r="A1542" s="16">
        <v>41917</v>
      </c>
      <c r="B1542" s="17">
        <v>322.83</v>
      </c>
      <c r="C1542" s="18">
        <v>83308096</v>
      </c>
      <c r="D1542" s="21">
        <f t="shared" si="0"/>
        <v>216963100</v>
      </c>
    </row>
    <row r="1543" spans="1:4" ht="14">
      <c r="A1543" s="16">
        <v>41918</v>
      </c>
      <c r="B1543" s="17">
        <v>326.8</v>
      </c>
      <c r="C1543" s="18">
        <v>79011800</v>
      </c>
      <c r="D1543" s="21">
        <f t="shared" si="0"/>
        <v>276657896</v>
      </c>
    </row>
    <row r="1544" spans="1:4" ht="14">
      <c r="A1544" s="16">
        <v>41919</v>
      </c>
      <c r="B1544" s="17">
        <v>333.57</v>
      </c>
      <c r="C1544" s="18">
        <v>49199900</v>
      </c>
      <c r="D1544" s="21">
        <f t="shared" si="0"/>
        <v>323171996</v>
      </c>
    </row>
    <row r="1545" spans="1:4" ht="14">
      <c r="A1545" s="16">
        <v>41920</v>
      </c>
      <c r="B1545" s="17">
        <v>354.41</v>
      </c>
      <c r="C1545" s="18">
        <v>54736300</v>
      </c>
      <c r="D1545" s="21">
        <f t="shared" si="0"/>
        <v>337664596</v>
      </c>
    </row>
    <row r="1546" spans="1:4" ht="14">
      <c r="A1546" s="16">
        <v>41921</v>
      </c>
      <c r="B1546" s="17">
        <v>361.72</v>
      </c>
      <c r="C1546" s="18">
        <v>83641104</v>
      </c>
      <c r="D1546" s="21">
        <f t="shared" si="0"/>
        <v>366171496</v>
      </c>
    </row>
    <row r="1547" spans="1:4" ht="14">
      <c r="A1547" s="16">
        <v>41922</v>
      </c>
      <c r="B1547" s="17">
        <v>358.89</v>
      </c>
      <c r="C1547" s="18">
        <v>43665700</v>
      </c>
      <c r="D1547" s="21">
        <f t="shared" si="0"/>
        <v>428034900</v>
      </c>
    </row>
    <row r="1548" spans="1:4" ht="14">
      <c r="A1548" s="16">
        <v>41923</v>
      </c>
      <c r="B1548" s="17">
        <v>361.91</v>
      </c>
      <c r="C1548" s="18">
        <v>13345200</v>
      </c>
      <c r="D1548" s="21">
        <f t="shared" si="0"/>
        <v>440799400</v>
      </c>
    </row>
    <row r="1549" spans="1:4" ht="14">
      <c r="A1549" s="16">
        <v>41924</v>
      </c>
      <c r="B1549" s="17">
        <v>377.87</v>
      </c>
      <c r="C1549" s="18">
        <v>17552800</v>
      </c>
      <c r="D1549" s="21">
        <f t="shared" si="0"/>
        <v>406908100</v>
      </c>
    </row>
    <row r="1550" spans="1:4" ht="14">
      <c r="A1550" s="16">
        <v>41925</v>
      </c>
      <c r="B1550" s="17">
        <v>391.99</v>
      </c>
      <c r="C1550" s="18">
        <v>35221400</v>
      </c>
      <c r="D1550" s="21">
        <f t="shared" si="0"/>
        <v>341152804</v>
      </c>
    </row>
    <row r="1551" spans="1:4" ht="14">
      <c r="A1551" s="16">
        <v>41926</v>
      </c>
      <c r="B1551" s="17">
        <v>400.88</v>
      </c>
      <c r="C1551" s="18">
        <v>38491500</v>
      </c>
      <c r="D1551" s="21">
        <f t="shared" si="0"/>
        <v>297362404</v>
      </c>
    </row>
    <row r="1552" spans="1:4" ht="14">
      <c r="A1552" s="16">
        <v>41927</v>
      </c>
      <c r="B1552" s="17">
        <v>394.63</v>
      </c>
      <c r="C1552" s="18">
        <v>25267100</v>
      </c>
      <c r="D1552" s="21">
        <f t="shared" si="0"/>
        <v>286654004</v>
      </c>
    </row>
    <row r="1553" spans="1:4" ht="14">
      <c r="A1553" s="16">
        <v>41928</v>
      </c>
      <c r="B1553" s="17">
        <v>382.32</v>
      </c>
      <c r="C1553" s="18">
        <v>26990000</v>
      </c>
      <c r="D1553" s="21">
        <f t="shared" si="0"/>
        <v>257184804</v>
      </c>
    </row>
    <row r="1554" spans="1:4" ht="14">
      <c r="A1554" s="16">
        <v>41929</v>
      </c>
      <c r="B1554" s="17">
        <v>382.2</v>
      </c>
      <c r="C1554" s="18">
        <v>13600700</v>
      </c>
      <c r="D1554" s="21">
        <f t="shared" si="0"/>
        <v>200533700</v>
      </c>
    </row>
    <row r="1555" spans="1:4" ht="14">
      <c r="A1555" s="16">
        <v>41930</v>
      </c>
      <c r="B1555" s="17">
        <v>391.29</v>
      </c>
      <c r="C1555" s="18">
        <v>11416800</v>
      </c>
      <c r="D1555" s="21">
        <f t="shared" si="0"/>
        <v>170468700</v>
      </c>
    </row>
    <row r="1556" spans="1:4" ht="14">
      <c r="A1556" s="16">
        <v>41931</v>
      </c>
      <c r="B1556" s="17">
        <v>388.68</v>
      </c>
      <c r="C1556" s="18">
        <v>5914570</v>
      </c>
      <c r="D1556" s="21">
        <f t="shared" si="0"/>
        <v>168540300</v>
      </c>
    </row>
    <row r="1557" spans="1:4" ht="14">
      <c r="A1557" s="16">
        <v>41932</v>
      </c>
      <c r="B1557" s="17">
        <v>381.19</v>
      </c>
      <c r="C1557" s="18">
        <v>16419000</v>
      </c>
      <c r="D1557" s="21">
        <f t="shared" si="0"/>
        <v>156902070</v>
      </c>
    </row>
    <row r="1558" spans="1:4" ht="14">
      <c r="A1558" s="16">
        <v>41933</v>
      </c>
      <c r="B1558" s="17">
        <v>385.2</v>
      </c>
      <c r="C1558" s="18">
        <v>14188900</v>
      </c>
      <c r="D1558" s="21">
        <f t="shared" si="0"/>
        <v>138099670</v>
      </c>
    </row>
    <row r="1559" spans="1:4" ht="14">
      <c r="A1559" s="16">
        <v>41934</v>
      </c>
      <c r="B1559" s="17">
        <v>380.78</v>
      </c>
      <c r="C1559" s="18">
        <v>11641300</v>
      </c>
      <c r="D1559" s="21">
        <f t="shared" si="0"/>
        <v>113797070</v>
      </c>
    </row>
    <row r="1560" spans="1:4" ht="14">
      <c r="A1560" s="16">
        <v>41935</v>
      </c>
      <c r="B1560" s="17">
        <v>357.34</v>
      </c>
      <c r="C1560" s="18">
        <v>26456900</v>
      </c>
      <c r="D1560" s="21">
        <f t="shared" si="0"/>
        <v>100171270</v>
      </c>
    </row>
    <row r="1561" spans="1:4" ht="14">
      <c r="A1561" s="16">
        <v>41936</v>
      </c>
      <c r="B1561" s="17">
        <v>357.49</v>
      </c>
      <c r="C1561" s="18">
        <v>15585700</v>
      </c>
      <c r="D1561" s="21">
        <f t="shared" si="0"/>
        <v>99638170</v>
      </c>
    </row>
    <row r="1562" spans="1:4" ht="14">
      <c r="A1562" s="16">
        <v>41937</v>
      </c>
      <c r="B1562" s="17">
        <v>345.81</v>
      </c>
      <c r="C1562" s="18">
        <v>18127500</v>
      </c>
      <c r="D1562" s="21">
        <f t="shared" si="0"/>
        <v>101623170</v>
      </c>
    </row>
    <row r="1563" spans="1:4" ht="14">
      <c r="A1563" s="16">
        <v>41938</v>
      </c>
      <c r="B1563" s="17">
        <v>353.08</v>
      </c>
      <c r="C1563" s="18">
        <v>11272500</v>
      </c>
      <c r="D1563" s="21">
        <f t="shared" si="0"/>
        <v>108333870</v>
      </c>
    </row>
    <row r="1564" spans="1:4" ht="14">
      <c r="A1564" s="16">
        <v>41939</v>
      </c>
      <c r="B1564" s="17">
        <v>350.02</v>
      </c>
      <c r="C1564" s="18">
        <v>13033000</v>
      </c>
      <c r="D1564" s="21">
        <f t="shared" si="0"/>
        <v>113691800</v>
      </c>
    </row>
    <row r="1565" spans="1:4" ht="14">
      <c r="A1565" s="16">
        <v>41940</v>
      </c>
      <c r="B1565" s="17">
        <v>354.65</v>
      </c>
      <c r="C1565" s="18">
        <v>7845880</v>
      </c>
      <c r="D1565" s="21">
        <f t="shared" si="0"/>
        <v>110305800</v>
      </c>
    </row>
    <row r="1566" spans="1:4" ht="14">
      <c r="A1566" s="16">
        <v>41941</v>
      </c>
      <c r="B1566" s="17">
        <v>333.6</v>
      </c>
      <c r="C1566" s="18">
        <v>18192700</v>
      </c>
      <c r="D1566" s="21">
        <f t="shared" si="0"/>
        <v>103962780</v>
      </c>
    </row>
    <row r="1567" spans="1:4" ht="14">
      <c r="A1567" s="16">
        <v>41942</v>
      </c>
      <c r="B1567" s="17">
        <v>344.61</v>
      </c>
      <c r="C1567" s="18">
        <v>30177900</v>
      </c>
      <c r="D1567" s="21">
        <f t="shared" si="0"/>
        <v>110514180</v>
      </c>
    </row>
    <row r="1568" spans="1:4" ht="14">
      <c r="A1568" s="16">
        <v>41943</v>
      </c>
      <c r="B1568" s="17">
        <v>337.18</v>
      </c>
      <c r="C1568" s="18">
        <v>12545400</v>
      </c>
      <c r="D1568" s="21">
        <f t="shared" si="0"/>
        <v>114235180</v>
      </c>
    </row>
    <row r="1569" spans="1:4" ht="14">
      <c r="A1569" s="16">
        <v>41944</v>
      </c>
      <c r="B1569" s="17">
        <v>324.37</v>
      </c>
      <c r="C1569" s="18">
        <v>16677200</v>
      </c>
      <c r="D1569" s="21">
        <f t="shared" si="0"/>
        <v>111194880</v>
      </c>
    </row>
    <row r="1570" spans="1:4" ht="14">
      <c r="A1570" s="16">
        <v>41945</v>
      </c>
      <c r="B1570" s="17">
        <v>324.25</v>
      </c>
      <c r="C1570" s="18">
        <v>8603620</v>
      </c>
      <c r="D1570" s="21">
        <f t="shared" si="0"/>
        <v>109744580</v>
      </c>
    </row>
    <row r="1571" spans="1:4" ht="14">
      <c r="A1571" s="16">
        <v>41946</v>
      </c>
      <c r="B1571" s="17">
        <v>325.36</v>
      </c>
      <c r="C1571" s="18">
        <v>12948500</v>
      </c>
      <c r="D1571" s="21">
        <f t="shared" si="0"/>
        <v>107075700</v>
      </c>
    </row>
    <row r="1572" spans="1:4" ht="14">
      <c r="A1572" s="16">
        <v>41947</v>
      </c>
      <c r="B1572" s="17">
        <v>329.66</v>
      </c>
      <c r="C1572" s="18">
        <v>15655500</v>
      </c>
      <c r="D1572" s="21">
        <f t="shared" si="0"/>
        <v>106991200</v>
      </c>
    </row>
    <row r="1573" spans="1:4" ht="14">
      <c r="A1573" s="16">
        <v>41948</v>
      </c>
      <c r="B1573" s="17">
        <v>338.81</v>
      </c>
      <c r="C1573" s="18">
        <v>19817200</v>
      </c>
      <c r="D1573" s="21">
        <f t="shared" si="0"/>
        <v>114800820</v>
      </c>
    </row>
    <row r="1574" spans="1:4" ht="14">
      <c r="A1574" s="16">
        <v>41949</v>
      </c>
      <c r="B1574" s="17">
        <v>349.69</v>
      </c>
      <c r="C1574" s="18">
        <v>18797000</v>
      </c>
      <c r="D1574" s="21">
        <f t="shared" si="0"/>
        <v>116425320</v>
      </c>
    </row>
    <row r="1575" spans="1:4" ht="14">
      <c r="A1575" s="16">
        <v>41950</v>
      </c>
      <c r="B1575" s="17">
        <v>342.13</v>
      </c>
      <c r="C1575" s="18">
        <v>16834200</v>
      </c>
      <c r="D1575" s="21">
        <f t="shared" si="0"/>
        <v>105044420</v>
      </c>
    </row>
    <row r="1576" spans="1:4" ht="14">
      <c r="A1576" s="16">
        <v>41951</v>
      </c>
      <c r="B1576" s="17">
        <v>345.72</v>
      </c>
      <c r="C1576" s="18">
        <v>8535470</v>
      </c>
      <c r="D1576" s="21">
        <f t="shared" si="0"/>
        <v>109333220</v>
      </c>
    </row>
    <row r="1577" spans="1:4" ht="14">
      <c r="A1577" s="16">
        <v>41952</v>
      </c>
      <c r="B1577" s="17">
        <v>363.61</v>
      </c>
      <c r="C1577" s="18">
        <v>24205600</v>
      </c>
      <c r="D1577" s="21">
        <f t="shared" si="0"/>
        <v>101191490</v>
      </c>
    </row>
    <row r="1578" spans="1:4" ht="14">
      <c r="A1578" s="16">
        <v>41953</v>
      </c>
      <c r="B1578" s="17">
        <v>365.5</v>
      </c>
      <c r="C1578" s="18">
        <v>30450100</v>
      </c>
      <c r="D1578" s="21">
        <f t="shared" si="0"/>
        <v>116793470</v>
      </c>
    </row>
    <row r="1579" spans="1:4" ht="14">
      <c r="A1579" s="16">
        <v>41954</v>
      </c>
      <c r="B1579" s="17">
        <v>367.83</v>
      </c>
      <c r="C1579" s="18">
        <v>15838900</v>
      </c>
      <c r="D1579" s="21">
        <f t="shared" si="0"/>
        <v>134295070</v>
      </c>
    </row>
    <row r="1580" spans="1:4" ht="14">
      <c r="A1580" s="16">
        <v>41955</v>
      </c>
      <c r="B1580" s="17">
        <v>422.59</v>
      </c>
      <c r="C1580" s="18">
        <v>45783200</v>
      </c>
      <c r="D1580" s="21">
        <f t="shared" si="0"/>
        <v>134478470</v>
      </c>
    </row>
    <row r="1581" spans="1:4" ht="14">
      <c r="A1581" s="16">
        <v>41956</v>
      </c>
      <c r="B1581" s="17">
        <v>421.91</v>
      </c>
      <c r="C1581" s="18">
        <v>58945000</v>
      </c>
      <c r="D1581" s="21">
        <f t="shared" si="0"/>
        <v>160444470</v>
      </c>
    </row>
    <row r="1582" spans="1:4" ht="14">
      <c r="A1582" s="16">
        <v>41957</v>
      </c>
      <c r="B1582" s="17">
        <v>398.39</v>
      </c>
      <c r="C1582" s="18">
        <v>29589200</v>
      </c>
      <c r="D1582" s="21">
        <f t="shared" si="0"/>
        <v>200592470</v>
      </c>
    </row>
    <row r="1583" spans="1:4" ht="14">
      <c r="A1583" s="16">
        <v>41958</v>
      </c>
      <c r="B1583" s="17">
        <v>377.99</v>
      </c>
      <c r="C1583" s="18">
        <v>15727500</v>
      </c>
      <c r="D1583" s="21">
        <f t="shared" si="0"/>
        <v>213347470</v>
      </c>
    </row>
    <row r="1584" spans="1:4" ht="14">
      <c r="A1584" s="16">
        <v>41959</v>
      </c>
      <c r="B1584" s="17">
        <v>390.21</v>
      </c>
      <c r="C1584" s="18">
        <v>11905600</v>
      </c>
      <c r="D1584" s="21">
        <f t="shared" si="0"/>
        <v>220539500</v>
      </c>
    </row>
    <row r="1585" spans="1:4" ht="14">
      <c r="A1585" s="16">
        <v>41960</v>
      </c>
      <c r="B1585" s="17">
        <v>387.5</v>
      </c>
      <c r="C1585" s="18">
        <v>41518800</v>
      </c>
      <c r="D1585" s="21">
        <f t="shared" si="0"/>
        <v>208239500</v>
      </c>
    </row>
    <row r="1586" spans="1:4" ht="14">
      <c r="A1586" s="16">
        <v>41961</v>
      </c>
      <c r="B1586" s="17">
        <v>373.86</v>
      </c>
      <c r="C1586" s="18">
        <v>32222500</v>
      </c>
      <c r="D1586" s="21">
        <f t="shared" si="0"/>
        <v>219308200</v>
      </c>
    </row>
    <row r="1587" spans="1:4" ht="14">
      <c r="A1587" s="16">
        <v>41962</v>
      </c>
      <c r="B1587" s="17">
        <v>377.61</v>
      </c>
      <c r="C1587" s="18">
        <v>18931800</v>
      </c>
      <c r="D1587" s="21">
        <f t="shared" si="0"/>
        <v>235691800</v>
      </c>
    </row>
    <row r="1588" spans="1:4" ht="14">
      <c r="A1588" s="16">
        <v>41963</v>
      </c>
      <c r="B1588" s="17">
        <v>356.18</v>
      </c>
      <c r="C1588" s="18">
        <v>25233200</v>
      </c>
      <c r="D1588" s="21">
        <f t="shared" si="0"/>
        <v>208840400</v>
      </c>
    </row>
    <row r="1589" spans="1:4" ht="14">
      <c r="A1589" s="16">
        <v>41964</v>
      </c>
      <c r="B1589" s="17">
        <v>350.75</v>
      </c>
      <c r="C1589" s="18">
        <v>29850100</v>
      </c>
      <c r="D1589" s="21">
        <f t="shared" si="0"/>
        <v>175128600</v>
      </c>
    </row>
    <row r="1590" spans="1:4" ht="14">
      <c r="A1590" s="16">
        <v>41965</v>
      </c>
      <c r="B1590" s="17">
        <v>352.46</v>
      </c>
      <c r="C1590" s="18">
        <v>15273000</v>
      </c>
      <c r="D1590" s="21">
        <f t="shared" si="0"/>
        <v>175389500</v>
      </c>
    </row>
    <row r="1591" spans="1:4" ht="14">
      <c r="A1591" s="16">
        <v>41966</v>
      </c>
      <c r="B1591" s="17">
        <v>367.77</v>
      </c>
      <c r="C1591" s="18">
        <v>15151600</v>
      </c>
      <c r="D1591" s="21">
        <f t="shared" si="0"/>
        <v>174935000</v>
      </c>
    </row>
    <row r="1592" spans="1:4" ht="14">
      <c r="A1592" s="16">
        <v>41967</v>
      </c>
      <c r="B1592" s="17">
        <v>376.99</v>
      </c>
      <c r="C1592" s="18">
        <v>30930100</v>
      </c>
      <c r="D1592" s="21">
        <f t="shared" si="0"/>
        <v>178181000</v>
      </c>
    </row>
    <row r="1593" spans="1:4" ht="14">
      <c r="A1593" s="16">
        <v>41968</v>
      </c>
      <c r="B1593" s="17">
        <v>376.76</v>
      </c>
      <c r="C1593" s="18">
        <v>25442200</v>
      </c>
      <c r="D1593" s="21">
        <f t="shared" si="0"/>
        <v>167592300</v>
      </c>
    </row>
    <row r="1594" spans="1:4" ht="14">
      <c r="A1594" s="16">
        <v>41969</v>
      </c>
      <c r="B1594" s="17">
        <v>367.53</v>
      </c>
      <c r="C1594" s="18">
        <v>18601700</v>
      </c>
      <c r="D1594" s="21">
        <f t="shared" si="0"/>
        <v>160812000</v>
      </c>
    </row>
    <row r="1595" spans="1:4" ht="14">
      <c r="A1595" s="16">
        <v>41970</v>
      </c>
      <c r="B1595" s="17">
        <v>369.53</v>
      </c>
      <c r="C1595" s="18">
        <v>8748030</v>
      </c>
      <c r="D1595" s="21">
        <f t="shared" si="0"/>
        <v>160481900</v>
      </c>
    </row>
    <row r="1596" spans="1:4" ht="14">
      <c r="A1596" s="16">
        <v>41971</v>
      </c>
      <c r="B1596" s="17">
        <v>377.9</v>
      </c>
      <c r="C1596" s="18">
        <v>22946500</v>
      </c>
      <c r="D1596" s="21">
        <f t="shared" si="0"/>
        <v>143996730</v>
      </c>
    </row>
    <row r="1597" spans="1:4" ht="14">
      <c r="A1597" s="16">
        <v>41972</v>
      </c>
      <c r="B1597" s="17">
        <v>376.08</v>
      </c>
      <c r="C1597" s="18">
        <v>15375600</v>
      </c>
      <c r="D1597" s="21">
        <f t="shared" si="0"/>
        <v>137093130</v>
      </c>
    </row>
    <row r="1598" spans="1:4" ht="14">
      <c r="A1598" s="16">
        <v>41973</v>
      </c>
      <c r="B1598" s="17">
        <v>378.69</v>
      </c>
      <c r="C1598" s="18">
        <v>9194440</v>
      </c>
      <c r="D1598" s="21">
        <f t="shared" si="0"/>
        <v>137195730</v>
      </c>
    </row>
    <row r="1599" spans="1:4" ht="14">
      <c r="A1599" s="16">
        <v>41974</v>
      </c>
      <c r="B1599" s="17">
        <v>379.11</v>
      </c>
      <c r="C1599" s="18">
        <v>11763000</v>
      </c>
      <c r="D1599" s="21">
        <f t="shared" si="0"/>
        <v>131238570</v>
      </c>
    </row>
    <row r="1600" spans="1:4" ht="14">
      <c r="A1600" s="16">
        <v>41975</v>
      </c>
      <c r="B1600" s="17">
        <v>382.95</v>
      </c>
      <c r="C1600" s="18">
        <v>12364100</v>
      </c>
      <c r="D1600" s="21">
        <f t="shared" si="0"/>
        <v>112071470</v>
      </c>
    </row>
    <row r="1601" spans="1:4" ht="14">
      <c r="A1601" s="16">
        <v>41976</v>
      </c>
      <c r="B1601" s="17">
        <v>375.92</v>
      </c>
      <c r="C1601" s="18">
        <v>13340100</v>
      </c>
      <c r="D1601" s="21">
        <f t="shared" si="0"/>
        <v>98993370</v>
      </c>
    </row>
    <row r="1602" spans="1:4" ht="14">
      <c r="A1602" s="16">
        <v>41977</v>
      </c>
      <c r="B1602" s="17">
        <v>368.85</v>
      </c>
      <c r="C1602" s="18">
        <v>14529600</v>
      </c>
      <c r="D1602" s="21">
        <f t="shared" si="0"/>
        <v>93731770</v>
      </c>
    </row>
    <row r="1603" spans="1:4" ht="14">
      <c r="A1603" s="16">
        <v>41978</v>
      </c>
      <c r="B1603" s="17">
        <v>378.43</v>
      </c>
      <c r="C1603" s="18">
        <v>15181800</v>
      </c>
      <c r="D1603" s="21">
        <f t="shared" si="0"/>
        <v>99513340</v>
      </c>
    </row>
    <row r="1604" spans="1:4" ht="14">
      <c r="A1604" s="16">
        <v>41979</v>
      </c>
      <c r="B1604" s="17">
        <v>375.14</v>
      </c>
      <c r="C1604" s="18">
        <v>7009320</v>
      </c>
      <c r="D1604" s="21">
        <f t="shared" si="0"/>
        <v>91748640</v>
      </c>
    </row>
    <row r="1605" spans="1:4" ht="14">
      <c r="A1605" s="16">
        <v>41980</v>
      </c>
      <c r="B1605" s="17">
        <v>376.64</v>
      </c>
      <c r="C1605" s="18">
        <v>6491650</v>
      </c>
      <c r="D1605" s="21">
        <f t="shared" si="0"/>
        <v>83382360</v>
      </c>
    </row>
    <row r="1606" spans="1:4" ht="14">
      <c r="A1606" s="16">
        <v>41981</v>
      </c>
      <c r="B1606" s="17">
        <v>363.22</v>
      </c>
      <c r="C1606" s="18">
        <v>18898700</v>
      </c>
      <c r="D1606" s="21">
        <f t="shared" si="0"/>
        <v>80679570</v>
      </c>
    </row>
    <row r="1607" spans="1:4" ht="14">
      <c r="A1607" s="16">
        <v>41982</v>
      </c>
      <c r="B1607" s="17">
        <v>351.11</v>
      </c>
      <c r="C1607" s="18">
        <v>32915500</v>
      </c>
      <c r="D1607" s="21">
        <f t="shared" si="0"/>
        <v>87815270</v>
      </c>
    </row>
    <row r="1608" spans="1:4" ht="14">
      <c r="A1608" s="16">
        <v>41983</v>
      </c>
      <c r="B1608" s="17">
        <v>347.88</v>
      </c>
      <c r="C1608" s="18">
        <v>16427700</v>
      </c>
      <c r="D1608" s="21">
        <f t="shared" si="0"/>
        <v>108366670</v>
      </c>
    </row>
    <row r="1609" spans="1:4" ht="14">
      <c r="A1609" s="16">
        <v>41984</v>
      </c>
      <c r="B1609" s="17">
        <v>348.59</v>
      </c>
      <c r="C1609" s="18">
        <v>32431300</v>
      </c>
      <c r="D1609" s="21">
        <f t="shared" si="0"/>
        <v>111454270</v>
      </c>
    </row>
    <row r="1610" spans="1:4" ht="14">
      <c r="A1610" s="16">
        <v>41985</v>
      </c>
      <c r="B1610" s="17">
        <v>353.19</v>
      </c>
      <c r="C1610" s="18">
        <v>16989800</v>
      </c>
      <c r="D1610" s="21">
        <f t="shared" si="0"/>
        <v>129355970</v>
      </c>
    </row>
    <row r="1611" spans="1:4" ht="14">
      <c r="A1611" s="16">
        <v>41986</v>
      </c>
      <c r="B1611" s="17">
        <v>349.24</v>
      </c>
      <c r="C1611" s="18">
        <v>11675900</v>
      </c>
      <c r="D1611" s="21">
        <f t="shared" si="0"/>
        <v>131163970</v>
      </c>
    </row>
    <row r="1612" spans="1:4" ht="14">
      <c r="A1612" s="16">
        <v>41987</v>
      </c>
      <c r="B1612" s="17">
        <v>356.08</v>
      </c>
      <c r="C1612" s="18">
        <v>12415200</v>
      </c>
      <c r="D1612" s="21">
        <f t="shared" si="0"/>
        <v>135830550</v>
      </c>
    </row>
    <row r="1613" spans="1:4" ht="14">
      <c r="A1613" s="16">
        <v>41988</v>
      </c>
      <c r="B1613" s="17">
        <v>347.1</v>
      </c>
      <c r="C1613" s="18">
        <v>17264200</v>
      </c>
      <c r="D1613" s="21">
        <f t="shared" si="0"/>
        <v>141754100</v>
      </c>
    </row>
    <row r="1614" spans="1:4" ht="14">
      <c r="A1614" s="16">
        <v>41989</v>
      </c>
      <c r="B1614" s="17">
        <v>328.61</v>
      </c>
      <c r="C1614" s="18">
        <v>30864900</v>
      </c>
      <c r="D1614" s="21">
        <f t="shared" si="0"/>
        <v>140119600</v>
      </c>
    </row>
    <row r="1615" spans="1:4" ht="14">
      <c r="A1615" s="16">
        <v>41990</v>
      </c>
      <c r="B1615" s="17">
        <v>320.3</v>
      </c>
      <c r="C1615" s="18">
        <v>37567900</v>
      </c>
      <c r="D1615" s="21">
        <f t="shared" si="0"/>
        <v>138069000</v>
      </c>
    </row>
    <row r="1616" spans="1:4" ht="14">
      <c r="A1616" s="16">
        <v>41991</v>
      </c>
      <c r="B1616" s="17">
        <v>313.51</v>
      </c>
      <c r="C1616" s="18">
        <v>39173000</v>
      </c>
      <c r="D1616" s="21">
        <f t="shared" si="0"/>
        <v>159209200</v>
      </c>
    </row>
    <row r="1617" spans="1:4" ht="14">
      <c r="A1617" s="16">
        <v>41992</v>
      </c>
      <c r="B1617" s="17">
        <v>318.24</v>
      </c>
      <c r="C1617" s="18">
        <v>23823100</v>
      </c>
      <c r="D1617" s="21">
        <f t="shared" si="0"/>
        <v>165950900</v>
      </c>
    </row>
    <row r="1618" spans="1:4" ht="14">
      <c r="A1618" s="16">
        <v>41993</v>
      </c>
      <c r="B1618" s="17">
        <v>330.07</v>
      </c>
      <c r="C1618" s="18">
        <v>20856700</v>
      </c>
      <c r="D1618" s="21">
        <f t="shared" si="0"/>
        <v>172784200</v>
      </c>
    </row>
    <row r="1619" spans="1:4" ht="14">
      <c r="A1619" s="16">
        <v>41994</v>
      </c>
      <c r="B1619" s="17">
        <v>320.99</v>
      </c>
      <c r="C1619" s="18">
        <v>15207600</v>
      </c>
      <c r="D1619" s="21">
        <f t="shared" si="0"/>
        <v>181965000</v>
      </c>
    </row>
    <row r="1620" spans="1:4" ht="14">
      <c r="A1620" s="16">
        <v>41995</v>
      </c>
      <c r="B1620" s="17">
        <v>331.84</v>
      </c>
      <c r="C1620" s="18">
        <v>22315100</v>
      </c>
      <c r="D1620" s="21">
        <f t="shared" si="0"/>
        <v>184757400</v>
      </c>
    </row>
    <row r="1621" spans="1:4" ht="14">
      <c r="A1621" s="16">
        <v>41996</v>
      </c>
      <c r="B1621" s="17">
        <v>336.08</v>
      </c>
      <c r="C1621" s="18">
        <v>16574200</v>
      </c>
      <c r="D1621" s="21">
        <f t="shared" si="0"/>
        <v>189808300</v>
      </c>
    </row>
    <row r="1622" spans="1:4" ht="14">
      <c r="A1622" s="16">
        <v>41997</v>
      </c>
      <c r="B1622" s="17">
        <v>323.02999999999997</v>
      </c>
      <c r="C1622" s="18">
        <v>15092300</v>
      </c>
      <c r="D1622" s="21">
        <f t="shared" si="0"/>
        <v>175517600</v>
      </c>
    </row>
    <row r="1623" spans="1:4" ht="14">
      <c r="A1623" s="16">
        <v>41998</v>
      </c>
      <c r="B1623" s="17">
        <v>319</v>
      </c>
      <c r="C1623" s="18">
        <v>9883640</v>
      </c>
      <c r="D1623" s="21">
        <f t="shared" si="0"/>
        <v>153042000</v>
      </c>
    </row>
    <row r="1624" spans="1:4" ht="14">
      <c r="A1624" s="16">
        <v>41999</v>
      </c>
      <c r="B1624" s="17">
        <v>329.21</v>
      </c>
      <c r="C1624" s="18">
        <v>16410500</v>
      </c>
      <c r="D1624" s="21">
        <f t="shared" si="0"/>
        <v>123752640</v>
      </c>
    </row>
    <row r="1625" spans="1:4" ht="14">
      <c r="A1625" s="16">
        <v>42000</v>
      </c>
      <c r="B1625" s="17">
        <v>315.97000000000003</v>
      </c>
      <c r="C1625" s="18">
        <v>15185200</v>
      </c>
      <c r="D1625" s="21">
        <f t="shared" si="0"/>
        <v>116340040</v>
      </c>
    </row>
    <row r="1626" spans="1:4" ht="14">
      <c r="A1626" s="16">
        <v>42001</v>
      </c>
      <c r="B1626" s="17">
        <v>317.01</v>
      </c>
      <c r="C1626" s="18">
        <v>11676600</v>
      </c>
      <c r="D1626" s="21">
        <f t="shared" si="0"/>
        <v>110668540</v>
      </c>
    </row>
    <row r="1627" spans="1:4" ht="14">
      <c r="A1627" s="16">
        <v>42002</v>
      </c>
      <c r="B1627" s="17">
        <v>313.07</v>
      </c>
      <c r="C1627" s="18">
        <v>12302500</v>
      </c>
      <c r="D1627" s="21">
        <f t="shared" si="0"/>
        <v>107137540</v>
      </c>
    </row>
    <row r="1628" spans="1:4" ht="14">
      <c r="A1628" s="16">
        <v>42003</v>
      </c>
      <c r="B1628" s="17">
        <v>310.44</v>
      </c>
      <c r="C1628" s="18">
        <v>12528300</v>
      </c>
      <c r="D1628" s="21">
        <f t="shared" si="0"/>
        <v>97124940</v>
      </c>
    </row>
    <row r="1629" spans="1:4" ht="14">
      <c r="A1629" s="16">
        <v>42004</v>
      </c>
      <c r="B1629" s="17">
        <v>320.66000000000003</v>
      </c>
      <c r="C1629" s="18">
        <v>13942900</v>
      </c>
      <c r="D1629" s="21">
        <f t="shared" si="0"/>
        <v>93079040</v>
      </c>
    </row>
    <row r="1630" spans="1:4" ht="14">
      <c r="A1630" s="16">
        <v>42005</v>
      </c>
      <c r="B1630" s="17">
        <v>314.77999999999997</v>
      </c>
      <c r="C1630" s="18">
        <v>8036550</v>
      </c>
      <c r="D1630" s="21">
        <f t="shared" si="0"/>
        <v>91929640</v>
      </c>
    </row>
    <row r="1631" spans="1:4" ht="14">
      <c r="A1631" s="16">
        <v>42006</v>
      </c>
      <c r="B1631" s="17">
        <v>315.94</v>
      </c>
      <c r="C1631" s="18">
        <v>7860650</v>
      </c>
      <c r="D1631" s="21">
        <f t="shared" si="0"/>
        <v>90082550</v>
      </c>
    </row>
    <row r="1632" spans="1:4" ht="14">
      <c r="A1632" s="16">
        <v>42007</v>
      </c>
      <c r="B1632" s="17">
        <v>285.64999999999998</v>
      </c>
      <c r="C1632" s="18">
        <v>33054400</v>
      </c>
      <c r="D1632" s="21">
        <f t="shared" si="0"/>
        <v>81532700</v>
      </c>
    </row>
    <row r="1633" spans="1:4" ht="14">
      <c r="A1633" s="16">
        <v>42008</v>
      </c>
      <c r="B1633" s="17">
        <v>263.33</v>
      </c>
      <c r="C1633" s="18">
        <v>55629100</v>
      </c>
      <c r="D1633" s="21">
        <f t="shared" si="0"/>
        <v>99401900</v>
      </c>
    </row>
    <row r="1634" spans="1:4" ht="14">
      <c r="A1634" s="16">
        <v>42009</v>
      </c>
      <c r="B1634" s="17">
        <v>275</v>
      </c>
      <c r="C1634" s="18">
        <v>43962800</v>
      </c>
      <c r="D1634" s="21">
        <f t="shared" si="0"/>
        <v>143354400</v>
      </c>
    </row>
    <row r="1635" spans="1:4" ht="14">
      <c r="A1635" s="16">
        <v>42010</v>
      </c>
      <c r="B1635" s="17">
        <v>287.55</v>
      </c>
      <c r="C1635" s="18">
        <v>23245700</v>
      </c>
      <c r="D1635" s="21">
        <f t="shared" si="0"/>
        <v>175014700</v>
      </c>
    </row>
    <row r="1636" spans="1:4" ht="14">
      <c r="A1636" s="16">
        <v>42011</v>
      </c>
      <c r="B1636" s="17">
        <v>297.54000000000002</v>
      </c>
      <c r="C1636" s="18">
        <v>24866800</v>
      </c>
      <c r="D1636" s="21">
        <f t="shared" si="0"/>
        <v>185732100</v>
      </c>
    </row>
    <row r="1637" spans="1:4" ht="14">
      <c r="A1637" s="16">
        <v>42012</v>
      </c>
      <c r="B1637" s="17">
        <v>284.33999999999997</v>
      </c>
      <c r="C1637" s="18">
        <v>19982500</v>
      </c>
      <c r="D1637" s="21">
        <f t="shared" si="0"/>
        <v>196656000</v>
      </c>
    </row>
    <row r="1638" spans="1:4" ht="14">
      <c r="A1638" s="16">
        <v>42013</v>
      </c>
      <c r="B1638" s="17">
        <v>292.5</v>
      </c>
      <c r="C1638" s="18">
        <v>18718600</v>
      </c>
      <c r="D1638" s="21">
        <f t="shared" si="0"/>
        <v>208601950</v>
      </c>
    </row>
    <row r="1639" spans="1:4" ht="14">
      <c r="A1639" s="16">
        <v>42014</v>
      </c>
      <c r="B1639" s="17">
        <v>276.23</v>
      </c>
      <c r="C1639" s="18">
        <v>15264300</v>
      </c>
      <c r="D1639" s="21">
        <f t="shared" si="0"/>
        <v>219459900</v>
      </c>
    </row>
    <row r="1640" spans="1:4" ht="14">
      <c r="A1640" s="16">
        <v>42015</v>
      </c>
      <c r="B1640" s="17">
        <v>268.76</v>
      </c>
      <c r="C1640" s="18">
        <v>18200800</v>
      </c>
      <c r="D1640" s="21">
        <f t="shared" si="0"/>
        <v>201669800</v>
      </c>
    </row>
    <row r="1641" spans="1:4" ht="14">
      <c r="A1641" s="16">
        <v>42016</v>
      </c>
      <c r="B1641" s="17">
        <v>268.62</v>
      </c>
      <c r="C1641" s="18">
        <v>18880300</v>
      </c>
      <c r="D1641" s="21">
        <f t="shared" si="0"/>
        <v>164241500</v>
      </c>
    </row>
    <row r="1642" spans="1:4" ht="14">
      <c r="A1642" s="16">
        <v>42017</v>
      </c>
      <c r="B1642" s="17">
        <v>224.11</v>
      </c>
      <c r="C1642" s="18">
        <v>72843904</v>
      </c>
      <c r="D1642" s="21">
        <f t="shared" si="0"/>
        <v>139159000</v>
      </c>
    </row>
    <row r="1643" spans="1:4" ht="14">
      <c r="A1643" s="16">
        <v>42018</v>
      </c>
      <c r="B1643" s="17">
        <v>175.64</v>
      </c>
      <c r="C1643" s="18">
        <v>97638704</v>
      </c>
      <c r="D1643" s="21">
        <f t="shared" si="0"/>
        <v>188757204</v>
      </c>
    </row>
    <row r="1644" spans="1:4" ht="14">
      <c r="A1644" s="16">
        <v>42019</v>
      </c>
      <c r="B1644" s="17">
        <v>212.34</v>
      </c>
      <c r="C1644" s="18">
        <v>81773504</v>
      </c>
      <c r="D1644" s="21">
        <f t="shared" si="0"/>
        <v>261529108</v>
      </c>
    </row>
    <row r="1645" spans="1:4" ht="14">
      <c r="A1645" s="16">
        <v>42020</v>
      </c>
      <c r="B1645" s="17">
        <v>207.6</v>
      </c>
      <c r="C1645" s="18">
        <v>38421000</v>
      </c>
      <c r="D1645" s="21">
        <f t="shared" si="0"/>
        <v>323320112</v>
      </c>
    </row>
    <row r="1646" spans="1:4" ht="14">
      <c r="A1646" s="16">
        <v>42021</v>
      </c>
      <c r="B1646" s="17">
        <v>199.82</v>
      </c>
      <c r="C1646" s="18">
        <v>23469700</v>
      </c>
      <c r="D1646" s="21">
        <f t="shared" si="0"/>
        <v>343022512</v>
      </c>
    </row>
    <row r="1647" spans="1:4" ht="14">
      <c r="A1647" s="16">
        <v>42022</v>
      </c>
      <c r="B1647" s="17">
        <v>211.13</v>
      </c>
      <c r="C1647" s="18">
        <v>30085100</v>
      </c>
      <c r="D1647" s="21">
        <f t="shared" si="0"/>
        <v>351227912</v>
      </c>
    </row>
    <row r="1648" spans="1:4" ht="14">
      <c r="A1648" s="16">
        <v>42023</v>
      </c>
      <c r="B1648" s="17">
        <v>216.89</v>
      </c>
      <c r="C1648" s="18">
        <v>18658300</v>
      </c>
      <c r="D1648" s="21">
        <f t="shared" si="0"/>
        <v>363112212</v>
      </c>
    </row>
    <row r="1649" spans="1:4" ht="14">
      <c r="A1649" s="16">
        <v>42024</v>
      </c>
      <c r="B1649" s="17">
        <v>211.92</v>
      </c>
      <c r="C1649" s="18">
        <v>24051100</v>
      </c>
      <c r="D1649" s="21">
        <f t="shared" si="0"/>
        <v>362890212</v>
      </c>
    </row>
    <row r="1650" spans="1:4" ht="14">
      <c r="A1650" s="16">
        <v>42025</v>
      </c>
      <c r="B1650" s="17">
        <v>227.9</v>
      </c>
      <c r="C1650" s="18">
        <v>29924600</v>
      </c>
      <c r="D1650" s="21">
        <f t="shared" si="0"/>
        <v>314097408</v>
      </c>
    </row>
    <row r="1651" spans="1:4" ht="14">
      <c r="A1651" s="16">
        <v>42026</v>
      </c>
      <c r="B1651" s="17">
        <v>233.65</v>
      </c>
      <c r="C1651" s="18">
        <v>33544600</v>
      </c>
      <c r="D1651" s="21">
        <f t="shared" si="0"/>
        <v>246383304</v>
      </c>
    </row>
    <row r="1652" spans="1:4" ht="14">
      <c r="A1652" s="16">
        <v>42027</v>
      </c>
      <c r="B1652" s="17">
        <v>233.13</v>
      </c>
      <c r="C1652" s="18">
        <v>24621700</v>
      </c>
      <c r="D1652" s="21">
        <f t="shared" si="0"/>
        <v>198154400</v>
      </c>
    </row>
    <row r="1653" spans="1:4" ht="14">
      <c r="A1653" s="16">
        <v>42028</v>
      </c>
      <c r="B1653" s="17">
        <v>249.08</v>
      </c>
      <c r="C1653" s="18">
        <v>24782500</v>
      </c>
      <c r="D1653" s="21">
        <f t="shared" si="0"/>
        <v>184355100</v>
      </c>
    </row>
    <row r="1654" spans="1:4" ht="14">
      <c r="A1654" s="16">
        <v>42029</v>
      </c>
      <c r="B1654" s="17">
        <v>254.52</v>
      </c>
      <c r="C1654" s="18">
        <v>33582700</v>
      </c>
      <c r="D1654" s="21">
        <f t="shared" si="0"/>
        <v>185667900</v>
      </c>
    </row>
    <row r="1655" spans="1:4" ht="14">
      <c r="A1655" s="16">
        <v>42030</v>
      </c>
      <c r="B1655" s="17">
        <v>273.95</v>
      </c>
      <c r="C1655" s="18">
        <v>106794000</v>
      </c>
      <c r="D1655" s="21">
        <f t="shared" si="0"/>
        <v>189165500</v>
      </c>
    </row>
    <row r="1656" spans="1:4" ht="14">
      <c r="A1656" s="16">
        <v>42031</v>
      </c>
      <c r="B1656" s="17">
        <v>264.75</v>
      </c>
      <c r="C1656" s="18">
        <v>44399000</v>
      </c>
      <c r="D1656" s="21">
        <f t="shared" si="0"/>
        <v>277301200</v>
      </c>
    </row>
    <row r="1657" spans="1:4" ht="14">
      <c r="A1657" s="16">
        <v>42032</v>
      </c>
      <c r="B1657" s="17">
        <v>235.74</v>
      </c>
      <c r="C1657" s="18">
        <v>44352200</v>
      </c>
      <c r="D1657" s="21">
        <f t="shared" si="0"/>
        <v>297649100</v>
      </c>
    </row>
    <row r="1658" spans="1:4" ht="14">
      <c r="A1658" s="16">
        <v>42033</v>
      </c>
      <c r="B1658" s="17">
        <v>233.96</v>
      </c>
      <c r="C1658" s="18">
        <v>32213400</v>
      </c>
      <c r="D1658" s="21">
        <f t="shared" si="0"/>
        <v>312076700</v>
      </c>
    </row>
    <row r="1659" spans="1:4" ht="14">
      <c r="A1659" s="16">
        <v>42034</v>
      </c>
      <c r="B1659" s="17">
        <v>228.9</v>
      </c>
      <c r="C1659" s="18">
        <v>26605200</v>
      </c>
      <c r="D1659" s="21">
        <f t="shared" si="0"/>
        <v>310745500</v>
      </c>
    </row>
    <row r="1660" spans="1:4" ht="14">
      <c r="A1660" s="16">
        <v>42035</v>
      </c>
      <c r="B1660" s="17">
        <v>217.33</v>
      </c>
      <c r="C1660" s="18">
        <v>23348200</v>
      </c>
      <c r="D1660" s="21">
        <f t="shared" si="0"/>
        <v>312729000</v>
      </c>
    </row>
    <row r="1661" spans="1:4" ht="14">
      <c r="A1661" s="16">
        <v>42036</v>
      </c>
      <c r="B1661" s="17">
        <v>227.11</v>
      </c>
      <c r="C1661" s="18">
        <v>29128500</v>
      </c>
      <c r="D1661" s="21">
        <f t="shared" si="0"/>
        <v>311294700</v>
      </c>
    </row>
    <row r="1662" spans="1:4" ht="14">
      <c r="A1662" s="16">
        <v>42037</v>
      </c>
      <c r="B1662" s="17">
        <v>240.09</v>
      </c>
      <c r="C1662" s="18">
        <v>30612100</v>
      </c>
      <c r="D1662" s="21">
        <f t="shared" si="0"/>
        <v>306840500</v>
      </c>
    </row>
    <row r="1663" spans="1:4" ht="14">
      <c r="A1663" s="16">
        <v>42038</v>
      </c>
      <c r="B1663" s="17">
        <v>227.78</v>
      </c>
      <c r="C1663" s="18">
        <v>40783700</v>
      </c>
      <c r="D1663" s="21">
        <f t="shared" si="0"/>
        <v>230658600</v>
      </c>
    </row>
    <row r="1664" spans="1:4" ht="14">
      <c r="A1664" s="16">
        <v>42039</v>
      </c>
      <c r="B1664" s="17">
        <v>226.78</v>
      </c>
      <c r="C1664" s="18">
        <v>26594300</v>
      </c>
      <c r="D1664" s="21">
        <f t="shared" si="0"/>
        <v>227043300</v>
      </c>
    </row>
    <row r="1665" spans="1:4" ht="14">
      <c r="A1665" s="16">
        <v>42040</v>
      </c>
      <c r="B1665" s="17">
        <v>217.01</v>
      </c>
      <c r="C1665" s="18">
        <v>22516400</v>
      </c>
      <c r="D1665" s="21">
        <f t="shared" si="0"/>
        <v>209285400</v>
      </c>
    </row>
    <row r="1666" spans="1:4" ht="14">
      <c r="A1666" s="16">
        <v>42041</v>
      </c>
      <c r="B1666" s="17">
        <v>222.72</v>
      </c>
      <c r="C1666" s="18">
        <v>24435300</v>
      </c>
      <c r="D1666" s="21">
        <f t="shared" si="0"/>
        <v>199588400</v>
      </c>
    </row>
    <row r="1667" spans="1:4" ht="14">
      <c r="A1667" s="16">
        <v>42042</v>
      </c>
      <c r="B1667" s="17">
        <v>228.65</v>
      </c>
      <c r="C1667" s="18">
        <v>21604200</v>
      </c>
      <c r="D1667" s="21">
        <f t="shared" si="0"/>
        <v>197418500</v>
      </c>
    </row>
    <row r="1668" spans="1:4" ht="14">
      <c r="A1668" s="16">
        <v>42043</v>
      </c>
      <c r="B1668" s="17">
        <v>224.04</v>
      </c>
      <c r="C1668" s="18">
        <v>17145200</v>
      </c>
      <c r="D1668" s="21">
        <f t="shared" si="0"/>
        <v>195674500</v>
      </c>
    </row>
    <row r="1669" spans="1:4" ht="14">
      <c r="A1669" s="16">
        <v>42044</v>
      </c>
      <c r="B1669" s="17">
        <v>220.77</v>
      </c>
      <c r="C1669" s="18">
        <v>27791300</v>
      </c>
      <c r="D1669" s="21">
        <f t="shared" si="0"/>
        <v>183691200</v>
      </c>
    </row>
    <row r="1670" spans="1:4" ht="14">
      <c r="A1670" s="16">
        <v>42045</v>
      </c>
      <c r="B1670" s="17">
        <v>220.89</v>
      </c>
      <c r="C1670" s="18">
        <v>21115100</v>
      </c>
      <c r="D1670" s="21">
        <f t="shared" si="0"/>
        <v>180870400</v>
      </c>
    </row>
    <row r="1671" spans="1:4" ht="14">
      <c r="A1671" s="16">
        <v>42046</v>
      </c>
      <c r="B1671" s="17">
        <v>219.5</v>
      </c>
      <c r="C1671" s="18">
        <v>17201900</v>
      </c>
      <c r="D1671" s="21">
        <f t="shared" si="0"/>
        <v>161201800</v>
      </c>
    </row>
    <row r="1672" spans="1:4" ht="14">
      <c r="A1672" s="16">
        <v>42047</v>
      </c>
      <c r="B1672" s="17">
        <v>222.58</v>
      </c>
      <c r="C1672" s="18">
        <v>15206200</v>
      </c>
      <c r="D1672" s="21">
        <f t="shared" si="0"/>
        <v>151809400</v>
      </c>
    </row>
    <row r="1673" spans="1:4" ht="14">
      <c r="A1673" s="16">
        <v>42048</v>
      </c>
      <c r="B1673" s="17">
        <v>236.56</v>
      </c>
      <c r="C1673" s="18">
        <v>42744400</v>
      </c>
      <c r="D1673" s="21">
        <f t="shared" si="0"/>
        <v>144499200</v>
      </c>
    </row>
    <row r="1674" spans="1:4" ht="14">
      <c r="A1674" s="16">
        <v>42049</v>
      </c>
      <c r="B1674" s="17">
        <v>257.63</v>
      </c>
      <c r="C1674" s="18">
        <v>49732500</v>
      </c>
      <c r="D1674" s="21">
        <f t="shared" si="0"/>
        <v>162808300</v>
      </c>
    </row>
    <row r="1675" spans="1:4" ht="14">
      <c r="A1675" s="16">
        <v>42050</v>
      </c>
      <c r="B1675" s="17">
        <v>234.45</v>
      </c>
      <c r="C1675" s="18">
        <v>56552400</v>
      </c>
      <c r="D1675" s="21">
        <f t="shared" si="0"/>
        <v>190936600</v>
      </c>
    </row>
    <row r="1676" spans="1:4" ht="14">
      <c r="A1676" s="16">
        <v>42051</v>
      </c>
      <c r="B1676" s="17">
        <v>235.09</v>
      </c>
      <c r="C1676" s="18">
        <v>28153700</v>
      </c>
      <c r="D1676" s="21">
        <f t="shared" si="0"/>
        <v>230343800</v>
      </c>
    </row>
    <row r="1677" spans="1:4" ht="14">
      <c r="A1677" s="16">
        <v>42052</v>
      </c>
      <c r="B1677" s="17">
        <v>243.91</v>
      </c>
      <c r="C1677" s="18">
        <v>27363100</v>
      </c>
      <c r="D1677" s="21">
        <f t="shared" si="0"/>
        <v>230706200</v>
      </c>
    </row>
    <row r="1678" spans="1:4" ht="14">
      <c r="A1678" s="16">
        <v>42053</v>
      </c>
      <c r="B1678" s="17">
        <v>236</v>
      </c>
      <c r="C1678" s="18">
        <v>25200800</v>
      </c>
      <c r="D1678" s="21">
        <f t="shared" si="0"/>
        <v>236954200</v>
      </c>
    </row>
    <row r="1679" spans="1:4" ht="14">
      <c r="A1679" s="16">
        <v>42054</v>
      </c>
      <c r="B1679" s="17">
        <v>241.87</v>
      </c>
      <c r="C1679" s="18">
        <v>18270500</v>
      </c>
      <c r="D1679" s="21">
        <f t="shared" si="0"/>
        <v>244953100</v>
      </c>
    </row>
    <row r="1680" spans="1:4" ht="14">
      <c r="A1680" s="16">
        <v>42055</v>
      </c>
      <c r="B1680" s="17">
        <v>245.53</v>
      </c>
      <c r="C1680" s="18">
        <v>23876700</v>
      </c>
      <c r="D1680" s="21">
        <f t="shared" si="0"/>
        <v>248017400</v>
      </c>
    </row>
    <row r="1681" spans="1:4" ht="14">
      <c r="A1681" s="16">
        <v>42056</v>
      </c>
      <c r="B1681" s="17">
        <v>245.6</v>
      </c>
      <c r="C1681" s="18">
        <v>12284200</v>
      </c>
      <c r="D1681" s="21">
        <f t="shared" si="0"/>
        <v>229149700</v>
      </c>
    </row>
    <row r="1682" spans="1:4" ht="14">
      <c r="A1682" s="16">
        <v>42057</v>
      </c>
      <c r="B1682" s="17">
        <v>236.69</v>
      </c>
      <c r="C1682" s="18">
        <v>19527000</v>
      </c>
      <c r="D1682" s="21">
        <f t="shared" si="0"/>
        <v>191701400</v>
      </c>
    </row>
    <row r="1683" spans="1:4" ht="14">
      <c r="A1683" s="16">
        <v>42058</v>
      </c>
      <c r="B1683" s="17">
        <v>239.07</v>
      </c>
      <c r="C1683" s="18">
        <v>16400000</v>
      </c>
      <c r="D1683" s="21">
        <f t="shared" si="0"/>
        <v>154676000</v>
      </c>
    </row>
    <row r="1684" spans="1:4" ht="14">
      <c r="A1684" s="16">
        <v>42059</v>
      </c>
      <c r="B1684" s="17">
        <v>239.87</v>
      </c>
      <c r="C1684" s="18">
        <v>14200400</v>
      </c>
      <c r="D1684" s="21">
        <f t="shared" si="0"/>
        <v>142922300</v>
      </c>
    </row>
    <row r="1685" spans="1:4" ht="14">
      <c r="A1685" s="16">
        <v>42060</v>
      </c>
      <c r="B1685" s="17">
        <v>238.24</v>
      </c>
      <c r="C1685" s="18">
        <v>11496200</v>
      </c>
      <c r="D1685" s="21">
        <f t="shared" si="0"/>
        <v>129759600</v>
      </c>
    </row>
    <row r="1686" spans="1:4" ht="14">
      <c r="A1686" s="16">
        <v>42061</v>
      </c>
      <c r="B1686" s="17">
        <v>237.04</v>
      </c>
      <c r="C1686" s="18">
        <v>13619400</v>
      </c>
      <c r="D1686" s="21">
        <f t="shared" si="0"/>
        <v>116055000</v>
      </c>
    </row>
    <row r="1687" spans="1:4" ht="14">
      <c r="A1687" s="16">
        <v>42062</v>
      </c>
      <c r="B1687" s="17">
        <v>255.12</v>
      </c>
      <c r="C1687" s="18">
        <v>44013900</v>
      </c>
      <c r="D1687" s="21">
        <f t="shared" si="0"/>
        <v>111403900</v>
      </c>
    </row>
    <row r="1688" spans="1:4" ht="14">
      <c r="A1688" s="16">
        <v>42063</v>
      </c>
      <c r="B1688" s="17">
        <v>254.95</v>
      </c>
      <c r="C1688" s="18">
        <v>13949300</v>
      </c>
      <c r="D1688" s="21">
        <f t="shared" si="0"/>
        <v>131541100</v>
      </c>
    </row>
    <row r="1689" spans="1:4" ht="14">
      <c r="A1689" s="16">
        <v>42064</v>
      </c>
      <c r="B1689" s="17">
        <v>260.64999999999998</v>
      </c>
      <c r="C1689" s="18">
        <v>25213700</v>
      </c>
      <c r="D1689" s="21">
        <f t="shared" si="0"/>
        <v>133206200</v>
      </c>
    </row>
    <row r="1690" spans="1:4" ht="14">
      <c r="A1690" s="16">
        <v>42065</v>
      </c>
      <c r="B1690" s="17">
        <v>276.32</v>
      </c>
      <c r="C1690" s="18">
        <v>40465700</v>
      </c>
      <c r="D1690" s="21">
        <f t="shared" si="0"/>
        <v>138892900</v>
      </c>
    </row>
    <row r="1691" spans="1:4" ht="14">
      <c r="A1691" s="16">
        <v>42066</v>
      </c>
      <c r="B1691" s="17">
        <v>282.70999999999998</v>
      </c>
      <c r="C1691" s="18">
        <v>50461300</v>
      </c>
      <c r="D1691" s="21">
        <f t="shared" si="0"/>
        <v>162958600</v>
      </c>
    </row>
    <row r="1692" spans="1:4" ht="14">
      <c r="A1692" s="16">
        <v>42067</v>
      </c>
      <c r="B1692" s="17">
        <v>273.45</v>
      </c>
      <c r="C1692" s="18">
        <v>41383000</v>
      </c>
      <c r="D1692" s="21">
        <f t="shared" si="0"/>
        <v>199219500</v>
      </c>
    </row>
    <row r="1693" spans="1:4" ht="14">
      <c r="A1693" s="16">
        <v>42068</v>
      </c>
      <c r="B1693" s="17">
        <v>276.27</v>
      </c>
      <c r="C1693" s="18">
        <v>41302400</v>
      </c>
      <c r="D1693" s="21">
        <f t="shared" si="0"/>
        <v>229106300</v>
      </c>
    </row>
    <row r="1694" spans="1:4" ht="14">
      <c r="A1694" s="16">
        <v>42069</v>
      </c>
      <c r="B1694" s="17">
        <v>273.32</v>
      </c>
      <c r="C1694" s="18">
        <v>28918900</v>
      </c>
      <c r="D1694" s="21">
        <f t="shared" si="0"/>
        <v>256789300</v>
      </c>
    </row>
    <row r="1695" spans="1:4" ht="14">
      <c r="A1695" s="16">
        <v>42070</v>
      </c>
      <c r="B1695" s="17">
        <v>276.39999999999998</v>
      </c>
      <c r="C1695" s="18">
        <v>17825900</v>
      </c>
      <c r="D1695" s="21">
        <f t="shared" si="0"/>
        <v>241694300</v>
      </c>
    </row>
    <row r="1696" spans="1:4" ht="14">
      <c r="A1696" s="16">
        <v>42071</v>
      </c>
      <c r="B1696" s="17">
        <v>275.33999999999997</v>
      </c>
      <c r="C1696" s="18">
        <v>22067900</v>
      </c>
      <c r="D1696" s="21">
        <f t="shared" si="0"/>
        <v>245570900</v>
      </c>
    </row>
    <row r="1697" spans="1:4" ht="14">
      <c r="A1697" s="16">
        <v>42072</v>
      </c>
      <c r="B1697" s="17">
        <v>290.13</v>
      </c>
      <c r="C1697" s="18">
        <v>59178200</v>
      </c>
      <c r="D1697" s="21">
        <f t="shared" si="0"/>
        <v>242425100</v>
      </c>
    </row>
    <row r="1698" spans="1:4" ht="14">
      <c r="A1698" s="16">
        <v>42073</v>
      </c>
      <c r="B1698" s="17">
        <v>292.32</v>
      </c>
      <c r="C1698" s="18">
        <v>67770800</v>
      </c>
      <c r="D1698" s="21">
        <f t="shared" si="0"/>
        <v>261137600</v>
      </c>
    </row>
    <row r="1699" spans="1:4" ht="14">
      <c r="A1699" s="16">
        <v>42074</v>
      </c>
      <c r="B1699" s="17">
        <v>296.69</v>
      </c>
      <c r="C1699" s="18">
        <v>33963900</v>
      </c>
      <c r="D1699" s="21">
        <f t="shared" si="0"/>
        <v>278447100</v>
      </c>
    </row>
    <row r="1700" spans="1:4" ht="14">
      <c r="A1700" s="16">
        <v>42075</v>
      </c>
      <c r="B1700" s="17">
        <v>295.8</v>
      </c>
      <c r="C1700" s="18">
        <v>32585200</v>
      </c>
      <c r="D1700" s="21">
        <f t="shared" si="0"/>
        <v>271028000</v>
      </c>
    </row>
    <row r="1701" spans="1:4" ht="14">
      <c r="A1701" s="16">
        <v>42076</v>
      </c>
      <c r="B1701" s="17">
        <v>285.91000000000003</v>
      </c>
      <c r="C1701" s="18">
        <v>31421500</v>
      </c>
      <c r="D1701" s="21">
        <f t="shared" si="0"/>
        <v>262310800</v>
      </c>
    </row>
    <row r="1702" spans="1:4" ht="14">
      <c r="A1702" s="16">
        <v>42077</v>
      </c>
      <c r="B1702" s="17">
        <v>283.61</v>
      </c>
      <c r="C1702" s="18">
        <v>22612300</v>
      </c>
      <c r="D1702" s="21">
        <f t="shared" si="0"/>
        <v>264813400</v>
      </c>
    </row>
    <row r="1703" spans="1:4" ht="14">
      <c r="A1703" s="16">
        <v>42078</v>
      </c>
      <c r="B1703" s="17">
        <v>287.27</v>
      </c>
      <c r="C1703" s="18">
        <v>11970100</v>
      </c>
      <c r="D1703" s="21">
        <f t="shared" si="0"/>
        <v>269599800</v>
      </c>
    </row>
    <row r="1704" spans="1:4" ht="14">
      <c r="A1704" s="16">
        <v>42079</v>
      </c>
      <c r="B1704" s="17">
        <v>291.39</v>
      </c>
      <c r="C1704" s="18">
        <v>21516100</v>
      </c>
      <c r="D1704" s="21">
        <f t="shared" si="0"/>
        <v>259502000</v>
      </c>
    </row>
    <row r="1705" spans="1:4" ht="14">
      <c r="A1705" s="16">
        <v>42080</v>
      </c>
      <c r="B1705" s="17">
        <v>285.25</v>
      </c>
      <c r="C1705" s="18">
        <v>21497200</v>
      </c>
      <c r="D1705" s="21">
        <f t="shared" si="0"/>
        <v>221839900</v>
      </c>
    </row>
    <row r="1706" spans="1:4" ht="14">
      <c r="A1706" s="16">
        <v>42081</v>
      </c>
      <c r="B1706" s="17">
        <v>257.29000000000002</v>
      </c>
      <c r="C1706" s="18">
        <v>57008000</v>
      </c>
      <c r="D1706" s="21">
        <f t="shared" si="0"/>
        <v>175566300</v>
      </c>
    </row>
    <row r="1707" spans="1:4" ht="14">
      <c r="A1707" s="16">
        <v>42082</v>
      </c>
      <c r="B1707" s="17">
        <v>262.08999999999997</v>
      </c>
      <c r="C1707" s="18">
        <v>52732000</v>
      </c>
      <c r="D1707" s="21">
        <f t="shared" si="0"/>
        <v>198610400</v>
      </c>
    </row>
    <row r="1708" spans="1:4" ht="14">
      <c r="A1708" s="16">
        <v>42083</v>
      </c>
      <c r="B1708" s="17">
        <v>262.97000000000003</v>
      </c>
      <c r="C1708" s="18">
        <v>18456700</v>
      </c>
      <c r="D1708" s="21">
        <f t="shared" si="0"/>
        <v>218757200</v>
      </c>
    </row>
    <row r="1709" spans="1:4" ht="14">
      <c r="A1709" s="16">
        <v>42084</v>
      </c>
      <c r="B1709" s="17">
        <v>261.18</v>
      </c>
      <c r="C1709" s="18">
        <v>17130100</v>
      </c>
      <c r="D1709" s="21">
        <f t="shared" si="0"/>
        <v>205792400</v>
      </c>
    </row>
    <row r="1710" spans="1:4" ht="14">
      <c r="A1710" s="16">
        <v>42085</v>
      </c>
      <c r="B1710" s="17">
        <v>268.89999999999998</v>
      </c>
      <c r="C1710" s="18">
        <v>18438100</v>
      </c>
      <c r="D1710" s="21">
        <f t="shared" si="0"/>
        <v>200310200</v>
      </c>
    </row>
    <row r="1711" spans="1:4" ht="14">
      <c r="A1711" s="16">
        <v>42086</v>
      </c>
      <c r="B1711" s="17">
        <v>266.77999999999997</v>
      </c>
      <c r="C1711" s="18">
        <v>22811900</v>
      </c>
      <c r="D1711" s="21">
        <f t="shared" si="0"/>
        <v>206778200</v>
      </c>
    </row>
    <row r="1712" spans="1:4" ht="14">
      <c r="A1712" s="16">
        <v>42087</v>
      </c>
      <c r="B1712" s="17">
        <v>246.84</v>
      </c>
      <c r="C1712" s="18">
        <v>40073700</v>
      </c>
      <c r="D1712" s="21">
        <f t="shared" si="0"/>
        <v>208074000</v>
      </c>
    </row>
    <row r="1713" spans="1:4" ht="14">
      <c r="A1713" s="16">
        <v>42088</v>
      </c>
      <c r="B1713" s="17">
        <v>246.72</v>
      </c>
      <c r="C1713" s="18">
        <v>35866900</v>
      </c>
      <c r="D1713" s="21">
        <f t="shared" si="0"/>
        <v>226650500</v>
      </c>
    </row>
    <row r="1714" spans="1:4" ht="14">
      <c r="A1714" s="16">
        <v>42089</v>
      </c>
      <c r="B1714" s="17">
        <v>249.53</v>
      </c>
      <c r="C1714" s="18">
        <v>25730000</v>
      </c>
      <c r="D1714" s="21">
        <f t="shared" si="0"/>
        <v>205509400</v>
      </c>
    </row>
    <row r="1715" spans="1:4" ht="14">
      <c r="A1715" s="16">
        <v>42090</v>
      </c>
      <c r="B1715" s="17">
        <v>247.38</v>
      </c>
      <c r="C1715" s="18">
        <v>17274900</v>
      </c>
      <c r="D1715" s="21">
        <f t="shared" si="0"/>
        <v>178507400</v>
      </c>
    </row>
    <row r="1716" spans="1:4" ht="14">
      <c r="A1716" s="16">
        <v>42091</v>
      </c>
      <c r="B1716" s="17">
        <v>253.23</v>
      </c>
      <c r="C1716" s="18">
        <v>16040900</v>
      </c>
      <c r="D1716" s="21">
        <f t="shared" si="0"/>
        <v>177325600</v>
      </c>
    </row>
    <row r="1717" spans="1:4" ht="14">
      <c r="A1717" s="16">
        <v>42092</v>
      </c>
      <c r="B1717" s="17">
        <v>242.97</v>
      </c>
      <c r="C1717" s="18">
        <v>21699400</v>
      </c>
      <c r="D1717" s="21">
        <f t="shared" si="0"/>
        <v>176236400</v>
      </c>
    </row>
    <row r="1718" spans="1:4" ht="14">
      <c r="A1718" s="16">
        <v>42093</v>
      </c>
      <c r="B1718" s="17">
        <v>248.34</v>
      </c>
      <c r="C1718" s="18">
        <v>23009600</v>
      </c>
      <c r="D1718" s="21">
        <f t="shared" si="0"/>
        <v>179497700</v>
      </c>
    </row>
    <row r="1719" spans="1:4" ht="14">
      <c r="A1719" s="16">
        <v>42094</v>
      </c>
      <c r="B1719" s="17">
        <v>244.71</v>
      </c>
      <c r="C1719" s="18">
        <v>22672000</v>
      </c>
      <c r="D1719" s="21">
        <f t="shared" si="0"/>
        <v>179695400</v>
      </c>
    </row>
    <row r="1720" spans="1:4" ht="14">
      <c r="A1720" s="16">
        <v>42095</v>
      </c>
      <c r="B1720" s="17">
        <v>247.19</v>
      </c>
      <c r="C1720" s="18">
        <v>22877200</v>
      </c>
      <c r="D1720" s="21">
        <f t="shared" si="0"/>
        <v>162293700</v>
      </c>
    </row>
    <row r="1721" spans="1:4" ht="14">
      <c r="A1721" s="16">
        <v>42096</v>
      </c>
      <c r="B1721" s="17">
        <v>253.63</v>
      </c>
      <c r="C1721" s="18">
        <v>26272600</v>
      </c>
      <c r="D1721" s="21">
        <f t="shared" si="0"/>
        <v>149304000</v>
      </c>
    </row>
    <row r="1722" spans="1:4" ht="14">
      <c r="A1722" s="16">
        <v>42097</v>
      </c>
      <c r="B1722" s="17">
        <v>254.83</v>
      </c>
      <c r="C1722" s="18">
        <v>23146600</v>
      </c>
      <c r="D1722" s="21">
        <f t="shared" si="0"/>
        <v>149846600</v>
      </c>
    </row>
    <row r="1723" spans="1:4" ht="14">
      <c r="A1723" s="16">
        <v>42098</v>
      </c>
      <c r="B1723" s="17">
        <v>253.95</v>
      </c>
      <c r="C1723" s="18">
        <v>12493500</v>
      </c>
      <c r="D1723" s="21">
        <f t="shared" si="0"/>
        <v>155718300</v>
      </c>
    </row>
    <row r="1724" spans="1:4" ht="14">
      <c r="A1724" s="16">
        <v>42099</v>
      </c>
      <c r="B1724" s="17">
        <v>261.11</v>
      </c>
      <c r="C1724" s="18">
        <v>19649200</v>
      </c>
      <c r="D1724" s="21">
        <f t="shared" si="0"/>
        <v>152170900</v>
      </c>
    </row>
    <row r="1725" spans="1:4" ht="14">
      <c r="A1725" s="16">
        <v>42100</v>
      </c>
      <c r="B1725" s="17">
        <v>256.37</v>
      </c>
      <c r="C1725" s="18">
        <v>20034200</v>
      </c>
      <c r="D1725" s="21">
        <f t="shared" si="0"/>
        <v>150120700</v>
      </c>
    </row>
    <row r="1726" spans="1:4" ht="14">
      <c r="A1726" s="16">
        <v>42101</v>
      </c>
      <c r="B1726" s="17">
        <v>254.83</v>
      </c>
      <c r="C1726" s="18">
        <v>18467400</v>
      </c>
      <c r="D1726" s="21">
        <f t="shared" si="0"/>
        <v>147145300</v>
      </c>
    </row>
    <row r="1727" spans="1:4" ht="14">
      <c r="A1727" s="16">
        <v>42102</v>
      </c>
      <c r="B1727" s="17">
        <v>245.83</v>
      </c>
      <c r="C1727" s="18">
        <v>30086400</v>
      </c>
      <c r="D1727" s="21">
        <f t="shared" si="0"/>
        <v>142940700</v>
      </c>
    </row>
    <row r="1728" spans="1:4" ht="14">
      <c r="A1728" s="16">
        <v>42103</v>
      </c>
      <c r="B1728" s="17">
        <v>243.86</v>
      </c>
      <c r="C1728" s="18">
        <v>21643500</v>
      </c>
      <c r="D1728" s="21">
        <f t="shared" si="0"/>
        <v>150149900</v>
      </c>
    </row>
    <row r="1729" spans="1:4" ht="14">
      <c r="A1729" s="16">
        <v>42104</v>
      </c>
      <c r="B1729" s="17">
        <v>235.87</v>
      </c>
      <c r="C1729" s="18">
        <v>28882000</v>
      </c>
      <c r="D1729" s="21">
        <f t="shared" si="0"/>
        <v>145520800</v>
      </c>
    </row>
    <row r="1730" spans="1:4" ht="14">
      <c r="A1730" s="16">
        <v>42105</v>
      </c>
      <c r="B1730" s="17">
        <v>237.41</v>
      </c>
      <c r="C1730" s="18">
        <v>16365200</v>
      </c>
      <c r="D1730" s="21">
        <f t="shared" si="0"/>
        <v>151256200</v>
      </c>
    </row>
    <row r="1731" spans="1:4" ht="14">
      <c r="A1731" s="16">
        <v>42106</v>
      </c>
      <c r="B1731" s="17">
        <v>237.14</v>
      </c>
      <c r="C1731" s="18">
        <v>12387900</v>
      </c>
      <c r="D1731" s="21">
        <f t="shared" si="0"/>
        <v>155127900</v>
      </c>
    </row>
    <row r="1732" spans="1:4" ht="14">
      <c r="A1732" s="16">
        <v>42107</v>
      </c>
      <c r="B1732" s="17">
        <v>225.51</v>
      </c>
      <c r="C1732" s="18">
        <v>31181800</v>
      </c>
      <c r="D1732" s="21">
        <f t="shared" si="0"/>
        <v>147866600</v>
      </c>
    </row>
    <row r="1733" spans="1:4" ht="14">
      <c r="A1733" s="16">
        <v>42108</v>
      </c>
      <c r="B1733" s="17">
        <v>219.76</v>
      </c>
      <c r="C1733" s="18">
        <v>31719000</v>
      </c>
      <c r="D1733" s="21">
        <f t="shared" si="0"/>
        <v>159014200</v>
      </c>
    </row>
    <row r="1734" spans="1:4" ht="14">
      <c r="A1734" s="16">
        <v>42109</v>
      </c>
      <c r="B1734" s="17">
        <v>223.31</v>
      </c>
      <c r="C1734" s="18">
        <v>22562000</v>
      </c>
      <c r="D1734" s="21">
        <f t="shared" si="0"/>
        <v>172265800</v>
      </c>
    </row>
    <row r="1735" spans="1:4" ht="14">
      <c r="A1735" s="16">
        <v>42110</v>
      </c>
      <c r="B1735" s="17">
        <v>228.49</v>
      </c>
      <c r="C1735" s="18">
        <v>24805400</v>
      </c>
      <c r="D1735" s="21">
        <f t="shared" si="0"/>
        <v>164741400</v>
      </c>
    </row>
    <row r="1736" spans="1:4" ht="14">
      <c r="A1736" s="16">
        <v>42111</v>
      </c>
      <c r="B1736" s="17">
        <v>222.79</v>
      </c>
      <c r="C1736" s="18">
        <v>20429800</v>
      </c>
      <c r="D1736" s="21">
        <f t="shared" si="0"/>
        <v>167903300</v>
      </c>
    </row>
    <row r="1737" spans="1:4" ht="14">
      <c r="A1737" s="16">
        <v>42112</v>
      </c>
      <c r="B1737" s="17">
        <v>223.4</v>
      </c>
      <c r="C1737" s="18">
        <v>12939000</v>
      </c>
      <c r="D1737" s="21">
        <f t="shared" si="0"/>
        <v>159451100</v>
      </c>
    </row>
    <row r="1738" spans="1:4" ht="14">
      <c r="A1738" s="16">
        <v>42113</v>
      </c>
      <c r="B1738" s="17">
        <v>223.28</v>
      </c>
      <c r="C1738" s="18">
        <v>15021500</v>
      </c>
      <c r="D1738" s="21">
        <f t="shared" si="0"/>
        <v>156024900</v>
      </c>
    </row>
    <row r="1739" spans="1:4" ht="14">
      <c r="A1739" s="16">
        <v>42114</v>
      </c>
      <c r="B1739" s="17">
        <v>224.89</v>
      </c>
      <c r="C1739" s="18">
        <v>18364700</v>
      </c>
      <c r="D1739" s="21">
        <f t="shared" si="0"/>
        <v>158658500</v>
      </c>
    </row>
    <row r="1740" spans="1:4" ht="14">
      <c r="A1740" s="16">
        <v>42115</v>
      </c>
      <c r="B1740" s="17">
        <v>234.94</v>
      </c>
      <c r="C1740" s="18">
        <v>24978000</v>
      </c>
      <c r="D1740" s="21">
        <f t="shared" si="0"/>
        <v>145841400</v>
      </c>
    </row>
    <row r="1741" spans="1:4" ht="14">
      <c r="A1741" s="16">
        <v>42116</v>
      </c>
      <c r="B1741" s="17">
        <v>233.82</v>
      </c>
      <c r="C1741" s="18">
        <v>23847900</v>
      </c>
      <c r="D1741" s="21">
        <f t="shared" si="0"/>
        <v>139100400</v>
      </c>
    </row>
    <row r="1742" spans="1:4" ht="14">
      <c r="A1742" s="16">
        <v>42117</v>
      </c>
      <c r="B1742" s="17">
        <v>235.93</v>
      </c>
      <c r="C1742" s="18">
        <v>17036000</v>
      </c>
      <c r="D1742" s="21">
        <f t="shared" si="0"/>
        <v>140386300</v>
      </c>
    </row>
    <row r="1743" spans="1:4" ht="14">
      <c r="A1743" s="16">
        <v>42118</v>
      </c>
      <c r="B1743" s="17">
        <v>231.46</v>
      </c>
      <c r="C1743" s="18">
        <v>21448700</v>
      </c>
      <c r="D1743" s="21">
        <f t="shared" si="0"/>
        <v>132616900</v>
      </c>
    </row>
    <row r="1744" spans="1:4" ht="14">
      <c r="A1744" s="16">
        <v>42119</v>
      </c>
      <c r="B1744" s="17">
        <v>226.45</v>
      </c>
      <c r="C1744" s="18">
        <v>13957200</v>
      </c>
      <c r="D1744" s="21">
        <f t="shared" si="0"/>
        <v>133635800</v>
      </c>
    </row>
    <row r="1745" spans="1:4" ht="14">
      <c r="A1745" s="16">
        <v>42120</v>
      </c>
      <c r="B1745" s="17">
        <v>220.5</v>
      </c>
      <c r="C1745" s="18">
        <v>28943700</v>
      </c>
      <c r="D1745" s="21">
        <f t="shared" si="0"/>
        <v>134654000</v>
      </c>
    </row>
    <row r="1746" spans="1:4" ht="14">
      <c r="A1746" s="16">
        <v>42121</v>
      </c>
      <c r="B1746" s="17">
        <v>227.33</v>
      </c>
      <c r="C1746" s="18">
        <v>38574000</v>
      </c>
      <c r="D1746" s="21">
        <f t="shared" si="0"/>
        <v>148576200</v>
      </c>
    </row>
    <row r="1747" spans="1:4" ht="14">
      <c r="A1747" s="16">
        <v>42122</v>
      </c>
      <c r="B1747" s="17">
        <v>225.55</v>
      </c>
      <c r="C1747" s="18">
        <v>21469200</v>
      </c>
      <c r="D1747" s="21">
        <f t="shared" si="0"/>
        <v>168785500</v>
      </c>
    </row>
    <row r="1748" spans="1:4" ht="14">
      <c r="A1748" s="16">
        <v>42123</v>
      </c>
      <c r="B1748" s="17">
        <v>225.67</v>
      </c>
      <c r="C1748" s="18">
        <v>18936500</v>
      </c>
      <c r="D1748" s="21">
        <f t="shared" si="0"/>
        <v>165276700</v>
      </c>
    </row>
    <row r="1749" spans="1:4" ht="14">
      <c r="A1749" s="16">
        <v>42124</v>
      </c>
      <c r="B1749" s="17">
        <v>236.33</v>
      </c>
      <c r="C1749" s="18">
        <v>33818600</v>
      </c>
      <c r="D1749" s="21">
        <f t="shared" si="0"/>
        <v>160365300</v>
      </c>
    </row>
    <row r="1750" spans="1:4" ht="14">
      <c r="A1750" s="16">
        <v>42125</v>
      </c>
      <c r="B1750" s="17">
        <v>232.75</v>
      </c>
      <c r="C1750" s="18">
        <v>18815300</v>
      </c>
      <c r="D1750" s="21">
        <f t="shared" si="0"/>
        <v>177147900</v>
      </c>
    </row>
    <row r="1751" spans="1:4" ht="14">
      <c r="A1751" s="16">
        <v>42126</v>
      </c>
      <c r="B1751" s="17">
        <v>235.54</v>
      </c>
      <c r="C1751" s="18">
        <v>12535500</v>
      </c>
      <c r="D1751" s="21">
        <f t="shared" si="0"/>
        <v>174514500</v>
      </c>
    </row>
    <row r="1752" spans="1:4" ht="14">
      <c r="A1752" s="16">
        <v>42127</v>
      </c>
      <c r="B1752" s="17">
        <v>240.46</v>
      </c>
      <c r="C1752" s="18">
        <v>18494100</v>
      </c>
      <c r="D1752" s="21">
        <f t="shared" si="0"/>
        <v>173092800</v>
      </c>
    </row>
    <row r="1753" spans="1:4" ht="14">
      <c r="A1753" s="16">
        <v>42128</v>
      </c>
      <c r="B1753" s="17">
        <v>238.98</v>
      </c>
      <c r="C1753" s="18">
        <v>21223400</v>
      </c>
      <c r="D1753" s="21">
        <f t="shared" si="0"/>
        <v>162643200</v>
      </c>
    </row>
    <row r="1754" spans="1:4" ht="14">
      <c r="A1754" s="16">
        <v>42129</v>
      </c>
      <c r="B1754" s="17">
        <v>236.02</v>
      </c>
      <c r="C1754" s="18">
        <v>23929100</v>
      </c>
      <c r="D1754" s="21">
        <f t="shared" si="0"/>
        <v>145292600</v>
      </c>
    </row>
    <row r="1755" spans="1:4" ht="14">
      <c r="A1755" s="16">
        <v>42130</v>
      </c>
      <c r="B1755" s="17">
        <v>229.48</v>
      </c>
      <c r="C1755" s="18">
        <v>29587200</v>
      </c>
      <c r="D1755" s="21">
        <f t="shared" si="0"/>
        <v>147752500</v>
      </c>
    </row>
    <row r="1756" spans="1:4" ht="14">
      <c r="A1756" s="16">
        <v>42131</v>
      </c>
      <c r="B1756" s="17">
        <v>237.13</v>
      </c>
      <c r="C1756" s="18">
        <v>29064400</v>
      </c>
      <c r="D1756" s="21">
        <f t="shared" si="0"/>
        <v>158403200</v>
      </c>
    </row>
    <row r="1757" spans="1:4" ht="14">
      <c r="A1757" s="16">
        <v>42132</v>
      </c>
      <c r="B1757" s="17">
        <v>244.38</v>
      </c>
      <c r="C1757" s="18">
        <v>27445500</v>
      </c>
      <c r="D1757" s="21">
        <f t="shared" si="0"/>
        <v>153649000</v>
      </c>
    </row>
    <row r="1758" spans="1:4" ht="14">
      <c r="A1758" s="16">
        <v>42133</v>
      </c>
      <c r="B1758" s="17">
        <v>242.71</v>
      </c>
      <c r="C1758" s="18">
        <v>19790500</v>
      </c>
      <c r="D1758" s="21">
        <f t="shared" si="0"/>
        <v>162279200</v>
      </c>
    </row>
    <row r="1759" spans="1:4" ht="14">
      <c r="A1759" s="16">
        <v>42134</v>
      </c>
      <c r="B1759" s="17">
        <v>240.73</v>
      </c>
      <c r="C1759" s="18">
        <v>15019100</v>
      </c>
      <c r="D1759" s="21">
        <f t="shared" si="0"/>
        <v>169534200</v>
      </c>
    </row>
    <row r="1760" spans="1:4" ht="14">
      <c r="A1760" s="16">
        <v>42135</v>
      </c>
      <c r="B1760" s="17">
        <v>242.25</v>
      </c>
      <c r="C1760" s="18">
        <v>20892300</v>
      </c>
      <c r="D1760" s="21">
        <f t="shared" si="0"/>
        <v>166059200</v>
      </c>
    </row>
    <row r="1761" spans="1:4" ht="14">
      <c r="A1761" s="16">
        <v>42136</v>
      </c>
      <c r="B1761" s="17">
        <v>242.21</v>
      </c>
      <c r="C1761" s="18">
        <v>19282600</v>
      </c>
      <c r="D1761" s="21">
        <f t="shared" si="0"/>
        <v>165728100</v>
      </c>
    </row>
    <row r="1762" spans="1:4" ht="14">
      <c r="A1762" s="16">
        <v>42137</v>
      </c>
      <c r="B1762" s="17">
        <v>236.55</v>
      </c>
      <c r="C1762" s="18">
        <v>27180100</v>
      </c>
      <c r="D1762" s="21">
        <f t="shared" si="0"/>
        <v>161081600</v>
      </c>
    </row>
    <row r="1763" spans="1:4" ht="14">
      <c r="A1763" s="16">
        <v>42138</v>
      </c>
      <c r="B1763" s="17">
        <v>236.95</v>
      </c>
      <c r="C1763" s="18">
        <v>24413700</v>
      </c>
      <c r="D1763" s="21">
        <f t="shared" si="0"/>
        <v>158674500</v>
      </c>
    </row>
    <row r="1764" spans="1:4" ht="14">
      <c r="A1764" s="16">
        <v>42139</v>
      </c>
      <c r="B1764" s="17">
        <v>237.48</v>
      </c>
      <c r="C1764" s="18">
        <v>16329400</v>
      </c>
      <c r="D1764" s="21">
        <f t="shared" si="0"/>
        <v>154023800</v>
      </c>
    </row>
    <row r="1765" spans="1:4" ht="14">
      <c r="A1765" s="16">
        <v>42140</v>
      </c>
      <c r="B1765" s="17">
        <v>235.81</v>
      </c>
      <c r="C1765" s="18">
        <v>11089700</v>
      </c>
      <c r="D1765" s="21">
        <f t="shared" si="0"/>
        <v>142907700</v>
      </c>
    </row>
    <row r="1766" spans="1:4" ht="14">
      <c r="A1766" s="16">
        <v>42141</v>
      </c>
      <c r="B1766" s="17">
        <v>236.96</v>
      </c>
      <c r="C1766" s="18">
        <v>11134300</v>
      </c>
      <c r="D1766" s="21">
        <f t="shared" si="0"/>
        <v>134206900</v>
      </c>
    </row>
    <row r="1767" spans="1:4" ht="14">
      <c r="A1767" s="16">
        <v>42142</v>
      </c>
      <c r="B1767" s="17">
        <v>232.88</v>
      </c>
      <c r="C1767" s="18">
        <v>16780300</v>
      </c>
      <c r="D1767" s="21">
        <f t="shared" si="0"/>
        <v>130322100</v>
      </c>
    </row>
    <row r="1768" spans="1:4" ht="14">
      <c r="A1768" s="16">
        <v>42143</v>
      </c>
      <c r="B1768" s="17">
        <v>231.97</v>
      </c>
      <c r="C1768" s="18">
        <v>14241900</v>
      </c>
      <c r="D1768" s="21">
        <f t="shared" si="0"/>
        <v>126210100</v>
      </c>
    </row>
    <row r="1769" spans="1:4" ht="14">
      <c r="A1769" s="16">
        <v>42144</v>
      </c>
      <c r="B1769" s="17">
        <v>234.19</v>
      </c>
      <c r="C1769" s="18">
        <v>15499400</v>
      </c>
      <c r="D1769" s="21">
        <f t="shared" si="0"/>
        <v>121169400</v>
      </c>
    </row>
    <row r="1770" spans="1:4" ht="14">
      <c r="A1770" s="16">
        <v>42145</v>
      </c>
      <c r="B1770" s="17">
        <v>235.55</v>
      </c>
      <c r="C1770" s="18">
        <v>15108900</v>
      </c>
      <c r="D1770" s="21">
        <f t="shared" si="0"/>
        <v>109488700</v>
      </c>
    </row>
    <row r="1771" spans="1:4" ht="14">
      <c r="A1771" s="16">
        <v>42146</v>
      </c>
      <c r="B1771" s="17">
        <v>240.32</v>
      </c>
      <c r="C1771" s="18">
        <v>27003000</v>
      </c>
      <c r="D1771" s="21">
        <f t="shared" si="0"/>
        <v>100183900</v>
      </c>
    </row>
    <row r="1772" spans="1:4" ht="14">
      <c r="A1772" s="16">
        <v>42147</v>
      </c>
      <c r="B1772" s="17">
        <v>238.96</v>
      </c>
      <c r="C1772" s="18">
        <v>14605000</v>
      </c>
      <c r="D1772" s="21">
        <f t="shared" si="0"/>
        <v>110857500</v>
      </c>
    </row>
    <row r="1773" spans="1:4" ht="14">
      <c r="A1773" s="16">
        <v>42148</v>
      </c>
      <c r="B1773" s="17">
        <v>240.71</v>
      </c>
      <c r="C1773" s="18">
        <v>11508000</v>
      </c>
      <c r="D1773" s="21">
        <f t="shared" si="0"/>
        <v>114372800</v>
      </c>
    </row>
    <row r="1774" spans="1:4" ht="14">
      <c r="A1774" s="16">
        <v>42149</v>
      </c>
      <c r="B1774" s="17">
        <v>237</v>
      </c>
      <c r="C1774" s="18">
        <v>14423900</v>
      </c>
      <c r="D1774" s="21">
        <f t="shared" si="0"/>
        <v>114746500</v>
      </c>
    </row>
    <row r="1775" spans="1:4" ht="14">
      <c r="A1775" s="16">
        <v>42150</v>
      </c>
      <c r="B1775" s="17">
        <v>236.8</v>
      </c>
      <c r="C1775" s="18">
        <v>16425000</v>
      </c>
      <c r="D1775" s="21">
        <f t="shared" si="0"/>
        <v>112390100</v>
      </c>
    </row>
    <row r="1776" spans="1:4" ht="14">
      <c r="A1776" s="16">
        <v>42151</v>
      </c>
      <c r="B1776" s="17">
        <v>237.2</v>
      </c>
      <c r="C1776" s="18">
        <v>18837000</v>
      </c>
      <c r="D1776" s="21">
        <f t="shared" si="0"/>
        <v>114573200</v>
      </c>
    </row>
    <row r="1777" spans="1:4" ht="14">
      <c r="A1777" s="16">
        <v>42152</v>
      </c>
      <c r="B1777" s="17">
        <v>236.96</v>
      </c>
      <c r="C1777" s="18">
        <v>13829600</v>
      </c>
      <c r="D1777" s="21">
        <f t="shared" si="0"/>
        <v>117910800</v>
      </c>
    </row>
    <row r="1778" spans="1:4" ht="14">
      <c r="A1778" s="16">
        <v>42153</v>
      </c>
      <c r="B1778" s="17">
        <v>236.65</v>
      </c>
      <c r="C1778" s="18">
        <v>14805000</v>
      </c>
      <c r="D1778" s="21">
        <f t="shared" si="0"/>
        <v>116631500</v>
      </c>
    </row>
    <row r="1779" spans="1:4" ht="14">
      <c r="A1779" s="16">
        <v>42154</v>
      </c>
      <c r="B1779" s="17">
        <v>232.79</v>
      </c>
      <c r="C1779" s="18">
        <v>14098600</v>
      </c>
      <c r="D1779" s="21">
        <f t="shared" ref="D1779:D2033" si="1">IF(C1772&lt;&gt;"",SUM(C1772:C1778),"")</f>
        <v>104433500</v>
      </c>
    </row>
    <row r="1780" spans="1:4" ht="14">
      <c r="A1780" s="16">
        <v>42155</v>
      </c>
      <c r="B1780" s="17">
        <v>229.45</v>
      </c>
      <c r="C1780" s="18">
        <v>14730800</v>
      </c>
      <c r="D1780" s="21">
        <f t="shared" si="1"/>
        <v>103927100</v>
      </c>
    </row>
    <row r="1781" spans="1:4" ht="14">
      <c r="A1781" s="16">
        <v>42156</v>
      </c>
      <c r="B1781" s="17">
        <v>223.28</v>
      </c>
      <c r="C1781" s="18">
        <v>26090500</v>
      </c>
      <c r="D1781" s="21">
        <f t="shared" si="1"/>
        <v>107149900</v>
      </c>
    </row>
    <row r="1782" spans="1:4" ht="14">
      <c r="A1782" s="16">
        <v>42157</v>
      </c>
      <c r="B1782" s="17">
        <v>225.32</v>
      </c>
      <c r="C1782" s="18">
        <v>20459000</v>
      </c>
      <c r="D1782" s="21">
        <f t="shared" si="1"/>
        <v>118816500</v>
      </c>
    </row>
    <row r="1783" spans="1:4" ht="14">
      <c r="A1783" s="16">
        <v>42158</v>
      </c>
      <c r="B1783" s="17">
        <v>225.21</v>
      </c>
      <c r="C1783" s="18">
        <v>17752400</v>
      </c>
      <c r="D1783" s="21">
        <f t="shared" si="1"/>
        <v>122850500</v>
      </c>
    </row>
    <row r="1784" spans="1:4" ht="14">
      <c r="A1784" s="16">
        <v>42159</v>
      </c>
      <c r="B1784" s="17">
        <v>223.54</v>
      </c>
      <c r="C1784" s="18">
        <v>14728100</v>
      </c>
      <c r="D1784" s="21">
        <f t="shared" si="1"/>
        <v>121765900</v>
      </c>
    </row>
    <row r="1785" spans="1:4" ht="14">
      <c r="A1785" s="16">
        <v>42160</v>
      </c>
      <c r="B1785" s="17">
        <v>224.73</v>
      </c>
      <c r="C1785" s="18">
        <v>18056500</v>
      </c>
      <c r="D1785" s="21">
        <f t="shared" si="1"/>
        <v>122664400</v>
      </c>
    </row>
    <row r="1786" spans="1:4" ht="14">
      <c r="A1786" s="16">
        <v>42161</v>
      </c>
      <c r="B1786" s="17">
        <v>225.16</v>
      </c>
      <c r="C1786" s="18">
        <v>11131500</v>
      </c>
      <c r="D1786" s="21">
        <f t="shared" si="1"/>
        <v>125915900</v>
      </c>
    </row>
    <row r="1787" spans="1:4" ht="14">
      <c r="A1787" s="16">
        <v>42162</v>
      </c>
      <c r="B1787" s="17">
        <v>223.41</v>
      </c>
      <c r="C1787" s="18">
        <v>13318400</v>
      </c>
      <c r="D1787" s="21">
        <f t="shared" si="1"/>
        <v>122948800</v>
      </c>
    </row>
    <row r="1788" spans="1:4" ht="14">
      <c r="A1788" s="16">
        <v>42163</v>
      </c>
      <c r="B1788" s="17">
        <v>228.77</v>
      </c>
      <c r="C1788" s="18">
        <v>23378400</v>
      </c>
      <c r="D1788" s="21">
        <f t="shared" si="1"/>
        <v>121536400</v>
      </c>
    </row>
    <row r="1789" spans="1:4" ht="14">
      <c r="A1789" s="16">
        <v>42164</v>
      </c>
      <c r="B1789" s="17">
        <v>229.37</v>
      </c>
      <c r="C1789" s="18">
        <v>28353100</v>
      </c>
      <c r="D1789" s="21">
        <f t="shared" si="1"/>
        <v>118824300</v>
      </c>
    </row>
    <row r="1790" spans="1:4" ht="14">
      <c r="A1790" s="16">
        <v>42165</v>
      </c>
      <c r="B1790" s="17">
        <v>228.59</v>
      </c>
      <c r="C1790" s="18">
        <v>15904800</v>
      </c>
      <c r="D1790" s="21">
        <f t="shared" si="1"/>
        <v>126718400</v>
      </c>
    </row>
    <row r="1791" spans="1:4" ht="14">
      <c r="A1791" s="16">
        <v>42166</v>
      </c>
      <c r="B1791" s="17">
        <v>229.58</v>
      </c>
      <c r="C1791" s="18">
        <v>14416000</v>
      </c>
      <c r="D1791" s="21">
        <f t="shared" si="1"/>
        <v>124870800</v>
      </c>
    </row>
    <row r="1792" spans="1:4" ht="14">
      <c r="A1792" s="16">
        <v>42167</v>
      </c>
      <c r="B1792" s="17">
        <v>229.81</v>
      </c>
      <c r="C1792" s="18">
        <v>14017700</v>
      </c>
      <c r="D1792" s="21">
        <f t="shared" si="1"/>
        <v>124558700</v>
      </c>
    </row>
    <row r="1793" spans="1:4" ht="14">
      <c r="A1793" s="16">
        <v>42168</v>
      </c>
      <c r="B1793" s="17">
        <v>233.02</v>
      </c>
      <c r="C1793" s="18">
        <v>13305300</v>
      </c>
      <c r="D1793" s="21">
        <f t="shared" si="1"/>
        <v>120519900</v>
      </c>
    </row>
    <row r="1794" spans="1:4" ht="14">
      <c r="A1794" s="16">
        <v>42169</v>
      </c>
      <c r="B1794" s="17">
        <v>232.51</v>
      </c>
      <c r="C1794" s="18">
        <v>12165900</v>
      </c>
      <c r="D1794" s="21">
        <f t="shared" si="1"/>
        <v>122693700</v>
      </c>
    </row>
    <row r="1795" spans="1:4" ht="14">
      <c r="A1795" s="16">
        <v>42170</v>
      </c>
      <c r="B1795" s="17">
        <v>236.79</v>
      </c>
      <c r="C1795" s="18">
        <v>19912100</v>
      </c>
      <c r="D1795" s="21">
        <f t="shared" si="1"/>
        <v>121541200</v>
      </c>
    </row>
    <row r="1796" spans="1:4" ht="14">
      <c r="A1796" s="16">
        <v>42171</v>
      </c>
      <c r="B1796" s="17">
        <v>251.43</v>
      </c>
      <c r="C1796" s="18">
        <v>41612000</v>
      </c>
      <c r="D1796" s="21">
        <f t="shared" si="1"/>
        <v>118074900</v>
      </c>
    </row>
    <row r="1797" spans="1:4" ht="14">
      <c r="A1797" s="16">
        <v>42172</v>
      </c>
      <c r="B1797" s="17">
        <v>247.97</v>
      </c>
      <c r="C1797" s="18">
        <v>43858400</v>
      </c>
      <c r="D1797" s="21">
        <f t="shared" si="1"/>
        <v>131333800</v>
      </c>
    </row>
    <row r="1798" spans="1:4" ht="14">
      <c r="A1798" s="16">
        <v>42173</v>
      </c>
      <c r="B1798" s="17">
        <v>249.01</v>
      </c>
      <c r="C1798" s="18">
        <v>30980200</v>
      </c>
      <c r="D1798" s="21">
        <f t="shared" si="1"/>
        <v>159287400</v>
      </c>
    </row>
    <row r="1799" spans="1:4" ht="14">
      <c r="A1799" s="16">
        <v>42174</v>
      </c>
      <c r="B1799" s="17">
        <v>244.8</v>
      </c>
      <c r="C1799" s="18">
        <v>23965300</v>
      </c>
      <c r="D1799" s="21">
        <f t="shared" si="1"/>
        <v>175851600</v>
      </c>
    </row>
    <row r="1800" spans="1:4" ht="14">
      <c r="A1800" s="16">
        <v>42175</v>
      </c>
      <c r="B1800" s="17">
        <v>245.58</v>
      </c>
      <c r="C1800" s="18">
        <v>20608100</v>
      </c>
      <c r="D1800" s="21">
        <f t="shared" si="1"/>
        <v>185799200</v>
      </c>
    </row>
    <row r="1801" spans="1:4" ht="14">
      <c r="A1801" s="16">
        <v>42176</v>
      </c>
      <c r="B1801" s="17">
        <v>244.3</v>
      </c>
      <c r="C1801" s="18">
        <v>10600900</v>
      </c>
      <c r="D1801" s="21">
        <f t="shared" si="1"/>
        <v>193102000</v>
      </c>
    </row>
    <row r="1802" spans="1:4" ht="14">
      <c r="A1802" s="16">
        <v>42177</v>
      </c>
      <c r="B1802" s="17">
        <v>247.02</v>
      </c>
      <c r="C1802" s="18">
        <v>17692500</v>
      </c>
      <c r="D1802" s="21">
        <f t="shared" si="1"/>
        <v>191537000</v>
      </c>
    </row>
    <row r="1803" spans="1:4" ht="14">
      <c r="A1803" s="16">
        <v>42178</v>
      </c>
      <c r="B1803" s="17">
        <v>244.18</v>
      </c>
      <c r="C1803" s="18">
        <v>15108700</v>
      </c>
      <c r="D1803" s="21">
        <f t="shared" si="1"/>
        <v>189317400</v>
      </c>
    </row>
    <row r="1804" spans="1:4" ht="14">
      <c r="A1804" s="16">
        <v>42179</v>
      </c>
      <c r="B1804" s="17">
        <v>240.45</v>
      </c>
      <c r="C1804" s="18">
        <v>17344900</v>
      </c>
      <c r="D1804" s="21">
        <f t="shared" si="1"/>
        <v>162814100</v>
      </c>
    </row>
    <row r="1805" spans="1:4" ht="14">
      <c r="A1805" s="16">
        <v>42180</v>
      </c>
      <c r="B1805" s="17">
        <v>242.35</v>
      </c>
      <c r="C1805" s="18">
        <v>16133100</v>
      </c>
      <c r="D1805" s="21">
        <f t="shared" si="1"/>
        <v>136300600</v>
      </c>
    </row>
    <row r="1806" spans="1:4" ht="14">
      <c r="A1806" s="16">
        <v>42181</v>
      </c>
      <c r="B1806" s="17">
        <v>242.97</v>
      </c>
      <c r="C1806" s="18">
        <v>13983500</v>
      </c>
      <c r="D1806" s="21">
        <f t="shared" si="1"/>
        <v>121453500</v>
      </c>
    </row>
    <row r="1807" spans="1:4" ht="14">
      <c r="A1807" s="16">
        <v>42182</v>
      </c>
      <c r="B1807" s="17">
        <v>251.53</v>
      </c>
      <c r="C1807" s="18">
        <v>20488600</v>
      </c>
      <c r="D1807" s="21">
        <f t="shared" si="1"/>
        <v>111471700</v>
      </c>
    </row>
    <row r="1808" spans="1:4" ht="14">
      <c r="A1808" s="16">
        <v>42183</v>
      </c>
      <c r="B1808" s="17">
        <v>249.06</v>
      </c>
      <c r="C1808" s="18">
        <v>15137600</v>
      </c>
      <c r="D1808" s="21">
        <f t="shared" si="1"/>
        <v>111352200</v>
      </c>
    </row>
    <row r="1809" spans="1:4" ht="14">
      <c r="A1809" s="16">
        <v>42184</v>
      </c>
      <c r="B1809" s="17">
        <v>256.64999999999998</v>
      </c>
      <c r="C1809" s="18">
        <v>34742900</v>
      </c>
      <c r="D1809" s="21">
        <f t="shared" si="1"/>
        <v>115888900</v>
      </c>
    </row>
    <row r="1810" spans="1:4" ht="14">
      <c r="A1810" s="16">
        <v>42185</v>
      </c>
      <c r="B1810" s="17">
        <v>263.85000000000002</v>
      </c>
      <c r="C1810" s="18">
        <v>44533800</v>
      </c>
      <c r="D1810" s="21">
        <f t="shared" si="1"/>
        <v>132939300</v>
      </c>
    </row>
    <row r="1811" spans="1:4" ht="14">
      <c r="A1811" s="16">
        <v>42186</v>
      </c>
      <c r="B1811" s="17">
        <v>258.04000000000002</v>
      </c>
      <c r="C1811" s="18">
        <v>27029800</v>
      </c>
      <c r="D1811" s="21">
        <f t="shared" si="1"/>
        <v>162364400</v>
      </c>
    </row>
    <row r="1812" spans="1:4" ht="14">
      <c r="A1812" s="16">
        <v>42187</v>
      </c>
      <c r="B1812" s="17">
        <v>254.75</v>
      </c>
      <c r="C1812" s="18">
        <v>21551900</v>
      </c>
      <c r="D1812" s="21">
        <f t="shared" si="1"/>
        <v>172049300</v>
      </c>
    </row>
    <row r="1813" spans="1:4" ht="14">
      <c r="A1813" s="16">
        <v>42188</v>
      </c>
      <c r="B1813" s="17">
        <v>256.08999999999997</v>
      </c>
      <c r="C1813" s="18">
        <v>19033800</v>
      </c>
      <c r="D1813" s="21">
        <f t="shared" si="1"/>
        <v>177468100</v>
      </c>
    </row>
    <row r="1814" spans="1:4" ht="14">
      <c r="A1814" s="16">
        <v>42189</v>
      </c>
      <c r="B1814" s="17">
        <v>260.51</v>
      </c>
      <c r="C1814" s="18">
        <v>15620400</v>
      </c>
      <c r="D1814" s="21">
        <f t="shared" si="1"/>
        <v>182518400</v>
      </c>
    </row>
    <row r="1815" spans="1:4" ht="14">
      <c r="A1815" s="16">
        <v>42190</v>
      </c>
      <c r="B1815" s="17">
        <v>271.3</v>
      </c>
      <c r="C1815" s="18">
        <v>44156100</v>
      </c>
      <c r="D1815" s="21">
        <f t="shared" si="1"/>
        <v>177650200</v>
      </c>
    </row>
    <row r="1816" spans="1:4" ht="14">
      <c r="A1816" s="16">
        <v>42191</v>
      </c>
      <c r="B1816" s="17">
        <v>269.14</v>
      </c>
      <c r="C1816" s="18">
        <v>49154800</v>
      </c>
      <c r="D1816" s="21">
        <f t="shared" si="1"/>
        <v>206668700</v>
      </c>
    </row>
    <row r="1817" spans="1:4" ht="14">
      <c r="A1817" s="16">
        <v>42192</v>
      </c>
      <c r="B1817" s="17">
        <v>266.47000000000003</v>
      </c>
      <c r="C1817" s="18">
        <v>28857600</v>
      </c>
      <c r="D1817" s="21">
        <f t="shared" si="1"/>
        <v>221080600</v>
      </c>
    </row>
    <row r="1818" spans="1:4" ht="14">
      <c r="A1818" s="16">
        <v>42193</v>
      </c>
      <c r="B1818" s="17">
        <v>270.58</v>
      </c>
      <c r="C1818" s="18">
        <v>36980200</v>
      </c>
      <c r="D1818" s="21">
        <f t="shared" si="1"/>
        <v>205404400</v>
      </c>
    </row>
    <row r="1819" spans="1:4" ht="14">
      <c r="A1819" s="16">
        <v>42194</v>
      </c>
      <c r="B1819" s="17">
        <v>269.68</v>
      </c>
      <c r="C1819" s="18">
        <v>40301200</v>
      </c>
      <c r="D1819" s="21">
        <f t="shared" si="1"/>
        <v>215354800</v>
      </c>
    </row>
    <row r="1820" spans="1:4" ht="14">
      <c r="A1820" s="16">
        <v>42195</v>
      </c>
      <c r="B1820" s="17">
        <v>285.56</v>
      </c>
      <c r="C1820" s="18">
        <v>100390000</v>
      </c>
      <c r="D1820" s="21">
        <f t="shared" si="1"/>
        <v>234104100</v>
      </c>
    </row>
    <row r="1821" spans="1:4" ht="14">
      <c r="A1821" s="16">
        <v>42196</v>
      </c>
      <c r="B1821" s="17">
        <v>293.92</v>
      </c>
      <c r="C1821" s="18">
        <v>41109900</v>
      </c>
      <c r="D1821" s="21">
        <f t="shared" si="1"/>
        <v>315460300</v>
      </c>
    </row>
    <row r="1822" spans="1:4" ht="14">
      <c r="A1822" s="16">
        <v>42197</v>
      </c>
      <c r="B1822" s="17">
        <v>311.48</v>
      </c>
      <c r="C1822" s="18">
        <v>56405000</v>
      </c>
      <c r="D1822" s="21">
        <f t="shared" si="1"/>
        <v>340949800</v>
      </c>
    </row>
    <row r="1823" spans="1:4" ht="14">
      <c r="A1823" s="16">
        <v>42198</v>
      </c>
      <c r="B1823" s="17">
        <v>292.64999999999998</v>
      </c>
      <c r="C1823" s="18">
        <v>62053900</v>
      </c>
      <c r="D1823" s="21">
        <f t="shared" si="1"/>
        <v>353198700</v>
      </c>
    </row>
    <row r="1824" spans="1:4" ht="14">
      <c r="A1824" s="16">
        <v>42199</v>
      </c>
      <c r="B1824" s="17">
        <v>287.74</v>
      </c>
      <c r="C1824" s="18">
        <v>28727200</v>
      </c>
      <c r="D1824" s="21">
        <f t="shared" si="1"/>
        <v>366097800</v>
      </c>
    </row>
    <row r="1825" spans="1:4" ht="14">
      <c r="A1825" s="16">
        <v>42200</v>
      </c>
      <c r="B1825" s="17">
        <v>285.92</v>
      </c>
      <c r="C1825" s="18">
        <v>27486600</v>
      </c>
      <c r="D1825" s="21">
        <f t="shared" si="1"/>
        <v>365967400</v>
      </c>
    </row>
    <row r="1826" spans="1:4" ht="14">
      <c r="A1826" s="16">
        <v>42201</v>
      </c>
      <c r="B1826" s="17">
        <v>278.52999999999997</v>
      </c>
      <c r="C1826" s="18">
        <v>49482600</v>
      </c>
      <c r="D1826" s="21">
        <f t="shared" si="1"/>
        <v>356473800</v>
      </c>
    </row>
    <row r="1827" spans="1:4" ht="14">
      <c r="A1827" s="16">
        <v>42202</v>
      </c>
      <c r="B1827" s="17">
        <v>280.06</v>
      </c>
      <c r="C1827" s="18">
        <v>27591400</v>
      </c>
      <c r="D1827" s="21">
        <f t="shared" si="1"/>
        <v>365655200</v>
      </c>
    </row>
    <row r="1828" spans="1:4" ht="14">
      <c r="A1828" s="16">
        <v>42203</v>
      </c>
      <c r="B1828" s="17">
        <v>277.35000000000002</v>
      </c>
      <c r="C1828" s="18">
        <v>25187100</v>
      </c>
      <c r="D1828" s="21">
        <f t="shared" si="1"/>
        <v>292856600</v>
      </c>
    </row>
    <row r="1829" spans="1:4" ht="14">
      <c r="A1829" s="16">
        <v>42204</v>
      </c>
      <c r="B1829" s="17">
        <v>275.27999999999997</v>
      </c>
      <c r="C1829" s="18">
        <v>15332500</v>
      </c>
      <c r="D1829" s="21">
        <f t="shared" si="1"/>
        <v>276933800</v>
      </c>
    </row>
    <row r="1830" spans="1:4" ht="14">
      <c r="A1830" s="16">
        <v>42205</v>
      </c>
      <c r="B1830" s="17">
        <v>279.11</v>
      </c>
      <c r="C1830" s="18">
        <v>22711400</v>
      </c>
      <c r="D1830" s="21">
        <f t="shared" si="1"/>
        <v>235861300</v>
      </c>
    </row>
    <row r="1831" spans="1:4" ht="14">
      <c r="A1831" s="16">
        <v>42206</v>
      </c>
      <c r="B1831" s="17">
        <v>276.64999999999998</v>
      </c>
      <c r="C1831" s="18">
        <v>22930700</v>
      </c>
      <c r="D1831" s="21">
        <f t="shared" si="1"/>
        <v>196518800</v>
      </c>
    </row>
    <row r="1832" spans="1:4" ht="14">
      <c r="A1832" s="16">
        <v>42207</v>
      </c>
      <c r="B1832" s="17">
        <v>277.76</v>
      </c>
      <c r="C1832" s="18">
        <v>19389800</v>
      </c>
      <c r="D1832" s="21">
        <f t="shared" si="1"/>
        <v>190722300</v>
      </c>
    </row>
    <row r="1833" spans="1:4" ht="14">
      <c r="A1833" s="16">
        <v>42208</v>
      </c>
      <c r="B1833" s="17">
        <v>276.81</v>
      </c>
      <c r="C1833" s="18">
        <v>18531300</v>
      </c>
      <c r="D1833" s="21">
        <f t="shared" si="1"/>
        <v>182625500</v>
      </c>
    </row>
    <row r="1834" spans="1:4" ht="14">
      <c r="A1834" s="16">
        <v>42209</v>
      </c>
      <c r="B1834" s="17">
        <v>289.31</v>
      </c>
      <c r="C1834" s="18">
        <v>37199400</v>
      </c>
      <c r="D1834" s="21">
        <f t="shared" si="1"/>
        <v>151674200</v>
      </c>
    </row>
    <row r="1835" spans="1:4" ht="14">
      <c r="A1835" s="16">
        <v>42210</v>
      </c>
      <c r="B1835" s="17">
        <v>289.51</v>
      </c>
      <c r="C1835" s="18">
        <v>20662200</v>
      </c>
      <c r="D1835" s="21">
        <f t="shared" si="1"/>
        <v>161282200</v>
      </c>
    </row>
    <row r="1836" spans="1:4" ht="14">
      <c r="A1836" s="16">
        <v>42211</v>
      </c>
      <c r="B1836" s="17">
        <v>293.31</v>
      </c>
      <c r="C1836" s="18">
        <v>16032300</v>
      </c>
      <c r="D1836" s="21">
        <f t="shared" si="1"/>
        <v>156757300</v>
      </c>
    </row>
    <row r="1837" spans="1:4" ht="14">
      <c r="A1837" s="16">
        <v>42212</v>
      </c>
      <c r="B1837" s="17">
        <v>294.43</v>
      </c>
      <c r="C1837" s="18">
        <v>30592000</v>
      </c>
      <c r="D1837" s="21">
        <f t="shared" si="1"/>
        <v>157457100</v>
      </c>
    </row>
    <row r="1838" spans="1:4" ht="14">
      <c r="A1838" s="16">
        <v>42213</v>
      </c>
      <c r="B1838" s="17">
        <v>295.41000000000003</v>
      </c>
      <c r="C1838" s="18">
        <v>25453600</v>
      </c>
      <c r="D1838" s="21">
        <f t="shared" si="1"/>
        <v>165337700</v>
      </c>
    </row>
    <row r="1839" spans="1:4" ht="14">
      <c r="A1839" s="16">
        <v>42214</v>
      </c>
      <c r="B1839" s="17">
        <v>289.86</v>
      </c>
      <c r="C1839" s="18">
        <v>24672600</v>
      </c>
      <c r="D1839" s="21">
        <f t="shared" si="1"/>
        <v>167860600</v>
      </c>
    </row>
    <row r="1840" spans="1:4" ht="14">
      <c r="A1840" s="16">
        <v>42215</v>
      </c>
      <c r="B1840" s="17">
        <v>288.24</v>
      </c>
      <c r="C1840" s="18">
        <v>21635800</v>
      </c>
      <c r="D1840" s="21">
        <f t="shared" si="1"/>
        <v>173143400</v>
      </c>
    </row>
    <row r="1841" spans="1:4" ht="14">
      <c r="A1841" s="16">
        <v>42216</v>
      </c>
      <c r="B1841" s="17">
        <v>284.60000000000002</v>
      </c>
      <c r="C1841" s="18">
        <v>23629100</v>
      </c>
      <c r="D1841" s="21">
        <f t="shared" si="1"/>
        <v>176247900</v>
      </c>
    </row>
    <row r="1842" spans="1:4" ht="14">
      <c r="A1842" s="16">
        <v>42217</v>
      </c>
      <c r="B1842" s="17">
        <v>281.67</v>
      </c>
      <c r="C1842" s="18">
        <v>18995000</v>
      </c>
      <c r="D1842" s="21">
        <f t="shared" si="1"/>
        <v>162677600</v>
      </c>
    </row>
    <row r="1843" spans="1:4" ht="14">
      <c r="A1843" s="16">
        <v>42218</v>
      </c>
      <c r="B1843" s="17">
        <v>282.42</v>
      </c>
      <c r="C1843" s="18">
        <v>17722200</v>
      </c>
      <c r="D1843" s="21">
        <f t="shared" si="1"/>
        <v>161010400</v>
      </c>
    </row>
    <row r="1844" spans="1:4" ht="14">
      <c r="A1844" s="16">
        <v>42219</v>
      </c>
      <c r="B1844" s="17">
        <v>282.19</v>
      </c>
      <c r="C1844" s="18">
        <v>21474100</v>
      </c>
      <c r="D1844" s="21">
        <f t="shared" si="1"/>
        <v>162700300</v>
      </c>
    </row>
    <row r="1845" spans="1:4" ht="14">
      <c r="A1845" s="16">
        <v>42220</v>
      </c>
      <c r="B1845" s="17">
        <v>285.29000000000002</v>
      </c>
      <c r="C1845" s="18">
        <v>21908700</v>
      </c>
      <c r="D1845" s="21">
        <f t="shared" si="1"/>
        <v>153582400</v>
      </c>
    </row>
    <row r="1846" spans="1:4" ht="14">
      <c r="A1846" s="16">
        <v>42221</v>
      </c>
      <c r="B1846" s="17">
        <v>282.33999999999997</v>
      </c>
      <c r="C1846" s="18">
        <v>20128000</v>
      </c>
      <c r="D1846" s="21">
        <f t="shared" si="1"/>
        <v>150037500</v>
      </c>
    </row>
    <row r="1847" spans="1:4" ht="14">
      <c r="A1847" s="16">
        <v>42222</v>
      </c>
      <c r="B1847" s="17">
        <v>279</v>
      </c>
      <c r="C1847" s="18">
        <v>18792100</v>
      </c>
      <c r="D1847" s="21">
        <f t="shared" si="1"/>
        <v>145492900</v>
      </c>
    </row>
    <row r="1848" spans="1:4" ht="14">
      <c r="A1848" s="16">
        <v>42223</v>
      </c>
      <c r="B1848" s="17">
        <v>279.49</v>
      </c>
      <c r="C1848" s="18">
        <v>42484800</v>
      </c>
      <c r="D1848" s="21">
        <f t="shared" si="1"/>
        <v>142649200</v>
      </c>
    </row>
    <row r="1849" spans="1:4" ht="14">
      <c r="A1849" s="16">
        <v>42224</v>
      </c>
      <c r="B1849" s="17">
        <v>261.45</v>
      </c>
      <c r="C1849" s="18">
        <v>58533000</v>
      </c>
      <c r="D1849" s="21">
        <f t="shared" si="1"/>
        <v>161504900</v>
      </c>
    </row>
    <row r="1850" spans="1:4" ht="14">
      <c r="A1850" s="16">
        <v>42225</v>
      </c>
      <c r="B1850" s="17">
        <v>266.33999999999997</v>
      </c>
      <c r="C1850" s="18">
        <v>23789600</v>
      </c>
      <c r="D1850" s="21">
        <f t="shared" si="1"/>
        <v>201042900</v>
      </c>
    </row>
    <row r="1851" spans="1:4" ht="14">
      <c r="A1851" s="16">
        <v>42226</v>
      </c>
      <c r="B1851" s="17">
        <v>264.93</v>
      </c>
      <c r="C1851" s="18">
        <v>20979400</v>
      </c>
      <c r="D1851" s="21">
        <f t="shared" si="1"/>
        <v>207110300</v>
      </c>
    </row>
    <row r="1852" spans="1:4" ht="14">
      <c r="A1852" s="16">
        <v>42227</v>
      </c>
      <c r="B1852" s="17">
        <v>271.42</v>
      </c>
      <c r="C1852" s="18">
        <v>25433900</v>
      </c>
      <c r="D1852" s="21">
        <f t="shared" si="1"/>
        <v>206615600</v>
      </c>
    </row>
    <row r="1853" spans="1:4" ht="14">
      <c r="A1853" s="16">
        <v>42228</v>
      </c>
      <c r="B1853" s="17">
        <v>268.14</v>
      </c>
      <c r="C1853" s="18">
        <v>26815400</v>
      </c>
      <c r="D1853" s="21">
        <f t="shared" si="1"/>
        <v>210140800</v>
      </c>
    </row>
    <row r="1854" spans="1:4" ht="14">
      <c r="A1854" s="16">
        <v>42229</v>
      </c>
      <c r="B1854" s="17">
        <v>264.69</v>
      </c>
      <c r="C1854" s="18">
        <v>27685500</v>
      </c>
      <c r="D1854" s="21">
        <f t="shared" si="1"/>
        <v>216828200</v>
      </c>
    </row>
    <row r="1855" spans="1:4" ht="14">
      <c r="A1855" s="16">
        <v>42230</v>
      </c>
      <c r="B1855" s="17">
        <v>266.36</v>
      </c>
      <c r="C1855" s="18">
        <v>27091200</v>
      </c>
      <c r="D1855" s="21">
        <f t="shared" si="1"/>
        <v>225721600</v>
      </c>
    </row>
    <row r="1856" spans="1:4" ht="14">
      <c r="A1856" s="16">
        <v>42231</v>
      </c>
      <c r="B1856" s="17">
        <v>261.94</v>
      </c>
      <c r="C1856" s="18">
        <v>19321100</v>
      </c>
      <c r="D1856" s="21">
        <f t="shared" si="1"/>
        <v>210328000</v>
      </c>
    </row>
    <row r="1857" spans="1:4" ht="14">
      <c r="A1857" s="16">
        <v>42232</v>
      </c>
      <c r="B1857" s="17">
        <v>258.93</v>
      </c>
      <c r="C1857" s="18">
        <v>29717000</v>
      </c>
      <c r="D1857" s="21">
        <f t="shared" si="1"/>
        <v>171116100</v>
      </c>
    </row>
    <row r="1858" spans="1:4" ht="14">
      <c r="A1858" s="16">
        <v>42233</v>
      </c>
      <c r="B1858" s="17">
        <v>258.01</v>
      </c>
      <c r="C1858" s="18">
        <v>21617900</v>
      </c>
      <c r="D1858" s="21">
        <f t="shared" si="1"/>
        <v>177043500</v>
      </c>
    </row>
    <row r="1859" spans="1:4" ht="14">
      <c r="A1859" s="16">
        <v>42234</v>
      </c>
      <c r="B1859" s="17">
        <v>217.89</v>
      </c>
      <c r="C1859" s="18">
        <v>42147200</v>
      </c>
      <c r="D1859" s="21">
        <f t="shared" si="1"/>
        <v>177682000</v>
      </c>
    </row>
    <row r="1860" spans="1:4" ht="14">
      <c r="A1860" s="16">
        <v>42235</v>
      </c>
      <c r="B1860" s="17">
        <v>227.22</v>
      </c>
      <c r="C1860" s="18">
        <v>60869200</v>
      </c>
      <c r="D1860" s="21">
        <f t="shared" si="1"/>
        <v>194395300</v>
      </c>
    </row>
    <row r="1861" spans="1:4" ht="14">
      <c r="A1861" s="16">
        <v>42236</v>
      </c>
      <c r="B1861" s="17">
        <v>235.52</v>
      </c>
      <c r="C1861" s="18">
        <v>32275000</v>
      </c>
      <c r="D1861" s="21">
        <f t="shared" si="1"/>
        <v>228449100</v>
      </c>
    </row>
    <row r="1862" spans="1:4" ht="14">
      <c r="A1862" s="16">
        <v>42237</v>
      </c>
      <c r="B1862" s="17">
        <v>232.8</v>
      </c>
      <c r="C1862" s="18">
        <v>23173800</v>
      </c>
      <c r="D1862" s="21">
        <f t="shared" si="1"/>
        <v>233038600</v>
      </c>
    </row>
    <row r="1863" spans="1:4" ht="14">
      <c r="A1863" s="16">
        <v>42238</v>
      </c>
      <c r="B1863" s="17">
        <v>230.64</v>
      </c>
      <c r="C1863" s="18">
        <v>23205900</v>
      </c>
      <c r="D1863" s="21">
        <f t="shared" si="1"/>
        <v>229121200</v>
      </c>
    </row>
    <row r="1864" spans="1:4" ht="14">
      <c r="A1864" s="16">
        <v>42239</v>
      </c>
      <c r="B1864" s="17">
        <v>228.67</v>
      </c>
      <c r="C1864" s="18">
        <v>18406600</v>
      </c>
      <c r="D1864" s="21">
        <f t="shared" si="1"/>
        <v>233006000</v>
      </c>
    </row>
    <row r="1865" spans="1:4" ht="14">
      <c r="A1865" s="16">
        <v>42240</v>
      </c>
      <c r="B1865" s="17">
        <v>211.96</v>
      </c>
      <c r="C1865" s="18">
        <v>59220700</v>
      </c>
      <c r="D1865" s="21">
        <f t="shared" si="1"/>
        <v>221695600</v>
      </c>
    </row>
    <row r="1866" spans="1:4" ht="14">
      <c r="A1866" s="16">
        <v>42241</v>
      </c>
      <c r="B1866" s="17">
        <v>222.66</v>
      </c>
      <c r="C1866" s="18">
        <v>61089200</v>
      </c>
      <c r="D1866" s="21">
        <f t="shared" si="1"/>
        <v>259298400</v>
      </c>
    </row>
    <row r="1867" spans="1:4" ht="14">
      <c r="A1867" s="16">
        <v>42242</v>
      </c>
      <c r="B1867" s="17">
        <v>226.12</v>
      </c>
      <c r="C1867" s="18">
        <v>31808000</v>
      </c>
      <c r="D1867" s="21">
        <f t="shared" si="1"/>
        <v>278240400</v>
      </c>
    </row>
    <row r="1868" spans="1:4" ht="14">
      <c r="A1868" s="16">
        <v>42243</v>
      </c>
      <c r="B1868" s="17">
        <v>224.94</v>
      </c>
      <c r="C1868" s="18">
        <v>21905400</v>
      </c>
      <c r="D1868" s="21">
        <f t="shared" si="1"/>
        <v>249179200</v>
      </c>
    </row>
    <row r="1869" spans="1:4" ht="14">
      <c r="A1869" s="16">
        <v>42244</v>
      </c>
      <c r="B1869" s="17">
        <v>232.17</v>
      </c>
      <c r="C1869" s="18">
        <v>31336600</v>
      </c>
      <c r="D1869" s="21">
        <f t="shared" si="1"/>
        <v>238809600</v>
      </c>
    </row>
    <row r="1870" spans="1:4" ht="14">
      <c r="A1870" s="16">
        <v>42245</v>
      </c>
      <c r="B1870" s="17">
        <v>229.83</v>
      </c>
      <c r="C1870" s="18">
        <v>17142500</v>
      </c>
      <c r="D1870" s="21">
        <f t="shared" si="1"/>
        <v>246972400</v>
      </c>
    </row>
    <row r="1871" spans="1:4" ht="14">
      <c r="A1871" s="16">
        <v>42246</v>
      </c>
      <c r="B1871" s="17">
        <v>229.02</v>
      </c>
      <c r="C1871" s="18">
        <v>19412600</v>
      </c>
      <c r="D1871" s="21">
        <f t="shared" si="1"/>
        <v>240909000</v>
      </c>
    </row>
    <row r="1872" spans="1:4" ht="14">
      <c r="A1872" s="16">
        <v>42247</v>
      </c>
      <c r="B1872" s="17">
        <v>230.69</v>
      </c>
      <c r="C1872" s="18">
        <v>20710700</v>
      </c>
      <c r="D1872" s="21">
        <f t="shared" si="1"/>
        <v>241915000</v>
      </c>
    </row>
    <row r="1873" spans="1:4" ht="14">
      <c r="A1873" s="16">
        <v>42248</v>
      </c>
      <c r="B1873" s="17">
        <v>227.96</v>
      </c>
      <c r="C1873" s="18">
        <v>20575200</v>
      </c>
      <c r="D1873" s="21">
        <f t="shared" si="1"/>
        <v>203405000</v>
      </c>
    </row>
    <row r="1874" spans="1:4" ht="14">
      <c r="A1874" s="16">
        <v>42249</v>
      </c>
      <c r="B1874" s="17">
        <v>229.5</v>
      </c>
      <c r="C1874" s="18">
        <v>18760400</v>
      </c>
      <c r="D1874" s="21">
        <f t="shared" si="1"/>
        <v>162891000</v>
      </c>
    </row>
    <row r="1875" spans="1:4" ht="14">
      <c r="A1875" s="16">
        <v>42250</v>
      </c>
      <c r="B1875" s="17">
        <v>227.11</v>
      </c>
      <c r="C1875" s="18">
        <v>17482000</v>
      </c>
      <c r="D1875" s="21">
        <f t="shared" si="1"/>
        <v>149843400</v>
      </c>
    </row>
    <row r="1876" spans="1:4" ht="14">
      <c r="A1876" s="16">
        <v>42251</v>
      </c>
      <c r="B1876" s="17">
        <v>231.18</v>
      </c>
      <c r="C1876" s="18">
        <v>20962400</v>
      </c>
      <c r="D1876" s="21">
        <f t="shared" si="1"/>
        <v>145420000</v>
      </c>
    </row>
    <row r="1877" spans="1:4" ht="14">
      <c r="A1877" s="16">
        <v>42252</v>
      </c>
      <c r="B1877" s="17">
        <v>235.9</v>
      </c>
      <c r="C1877" s="18">
        <v>20671400</v>
      </c>
      <c r="D1877" s="21">
        <f t="shared" si="1"/>
        <v>135045800</v>
      </c>
    </row>
    <row r="1878" spans="1:4" ht="14">
      <c r="A1878" s="16">
        <v>42253</v>
      </c>
      <c r="B1878" s="17">
        <v>240.81</v>
      </c>
      <c r="C1878" s="18">
        <v>25473700</v>
      </c>
      <c r="D1878" s="21">
        <f t="shared" si="1"/>
        <v>138574700</v>
      </c>
    </row>
    <row r="1879" spans="1:4" ht="14">
      <c r="A1879" s="16">
        <v>42254</v>
      </c>
      <c r="B1879" s="17">
        <v>240.63</v>
      </c>
      <c r="C1879" s="18">
        <v>21192200</v>
      </c>
      <c r="D1879" s="21">
        <f t="shared" si="1"/>
        <v>144635800</v>
      </c>
    </row>
    <row r="1880" spans="1:4" ht="14">
      <c r="A1880" s="16">
        <v>42255</v>
      </c>
      <c r="B1880" s="17">
        <v>244.17</v>
      </c>
      <c r="C1880" s="18">
        <v>26879200</v>
      </c>
      <c r="D1880" s="21">
        <f t="shared" si="1"/>
        <v>145117300</v>
      </c>
    </row>
    <row r="1881" spans="1:4" ht="14">
      <c r="A1881" s="16">
        <v>42256</v>
      </c>
      <c r="B1881" s="17">
        <v>238.72</v>
      </c>
      <c r="C1881" s="18">
        <v>23635700</v>
      </c>
      <c r="D1881" s="21">
        <f t="shared" si="1"/>
        <v>151421300</v>
      </c>
    </row>
    <row r="1882" spans="1:4" ht="14">
      <c r="A1882" s="16">
        <v>42257</v>
      </c>
      <c r="B1882" s="17">
        <v>238.75</v>
      </c>
      <c r="C1882" s="18">
        <v>21215500</v>
      </c>
      <c r="D1882" s="21">
        <f t="shared" si="1"/>
        <v>156296600</v>
      </c>
    </row>
    <row r="1883" spans="1:4" ht="14">
      <c r="A1883" s="16">
        <v>42258</v>
      </c>
      <c r="B1883" s="17">
        <v>240.85</v>
      </c>
      <c r="C1883" s="18">
        <v>19224700</v>
      </c>
      <c r="D1883" s="21">
        <f t="shared" si="1"/>
        <v>160030100</v>
      </c>
    </row>
    <row r="1884" spans="1:4" ht="14">
      <c r="A1884" s="16">
        <v>42259</v>
      </c>
      <c r="B1884" s="17">
        <v>236.35</v>
      </c>
      <c r="C1884" s="18">
        <v>17962600</v>
      </c>
      <c r="D1884" s="21">
        <f t="shared" si="1"/>
        <v>158292400</v>
      </c>
    </row>
    <row r="1885" spans="1:4" ht="14">
      <c r="A1885" s="16">
        <v>42260</v>
      </c>
      <c r="B1885" s="17">
        <v>230.55</v>
      </c>
      <c r="C1885" s="18">
        <v>18478800</v>
      </c>
      <c r="D1885" s="21">
        <f t="shared" si="1"/>
        <v>155583600</v>
      </c>
    </row>
    <row r="1886" spans="1:4" ht="14">
      <c r="A1886" s="16">
        <v>42261</v>
      </c>
      <c r="B1886" s="17">
        <v>230.95</v>
      </c>
      <c r="C1886" s="18">
        <v>20997800</v>
      </c>
      <c r="D1886" s="21">
        <f t="shared" si="1"/>
        <v>148588700</v>
      </c>
    </row>
    <row r="1887" spans="1:4" ht="14">
      <c r="A1887" s="16">
        <v>42262</v>
      </c>
      <c r="B1887" s="17">
        <v>230.4</v>
      </c>
      <c r="C1887" s="18">
        <v>19177800</v>
      </c>
      <c r="D1887" s="21">
        <f t="shared" si="1"/>
        <v>148394300</v>
      </c>
    </row>
    <row r="1888" spans="1:4" ht="14">
      <c r="A1888" s="16">
        <v>42263</v>
      </c>
      <c r="B1888" s="17">
        <v>229.04</v>
      </c>
      <c r="C1888" s="18">
        <v>20144200</v>
      </c>
      <c r="D1888" s="21">
        <f t="shared" si="1"/>
        <v>140692900</v>
      </c>
    </row>
    <row r="1889" spans="1:4" ht="14">
      <c r="A1889" s="16">
        <v>42264</v>
      </c>
      <c r="B1889" s="17">
        <v>233.2</v>
      </c>
      <c r="C1889" s="18">
        <v>18935400</v>
      </c>
      <c r="D1889" s="21">
        <f t="shared" si="1"/>
        <v>137201400</v>
      </c>
    </row>
    <row r="1890" spans="1:4" ht="14">
      <c r="A1890" s="16">
        <v>42265</v>
      </c>
      <c r="B1890" s="17">
        <v>233.18</v>
      </c>
      <c r="C1890" s="18">
        <v>20242200</v>
      </c>
      <c r="D1890" s="21">
        <f t="shared" si="1"/>
        <v>134921300</v>
      </c>
    </row>
    <row r="1891" spans="1:4" ht="14">
      <c r="A1891" s="16">
        <v>42266</v>
      </c>
      <c r="B1891" s="17">
        <v>232.24</v>
      </c>
      <c r="C1891" s="18">
        <v>12712600</v>
      </c>
      <c r="D1891" s="21">
        <f t="shared" si="1"/>
        <v>135938800</v>
      </c>
    </row>
    <row r="1892" spans="1:4" ht="14">
      <c r="A1892" s="16">
        <v>42267</v>
      </c>
      <c r="B1892" s="17">
        <v>231.36</v>
      </c>
      <c r="C1892" s="18">
        <v>14444700</v>
      </c>
      <c r="D1892" s="21">
        <f t="shared" si="1"/>
        <v>130688800</v>
      </c>
    </row>
    <row r="1893" spans="1:4" ht="14">
      <c r="A1893" s="16">
        <v>42268</v>
      </c>
      <c r="B1893" s="17">
        <v>226.77</v>
      </c>
      <c r="C1893" s="18">
        <v>19678800</v>
      </c>
      <c r="D1893" s="21">
        <f t="shared" si="1"/>
        <v>126654700</v>
      </c>
    </row>
    <row r="1894" spans="1:4" ht="14">
      <c r="A1894" s="16">
        <v>42269</v>
      </c>
      <c r="B1894" s="17">
        <v>230.63</v>
      </c>
      <c r="C1894" s="18">
        <v>25009300</v>
      </c>
      <c r="D1894" s="21">
        <f t="shared" si="1"/>
        <v>125335700</v>
      </c>
    </row>
    <row r="1895" spans="1:4" ht="14">
      <c r="A1895" s="16">
        <v>42270</v>
      </c>
      <c r="B1895" s="17">
        <v>230.13</v>
      </c>
      <c r="C1895" s="18">
        <v>17254100</v>
      </c>
      <c r="D1895" s="21">
        <f t="shared" si="1"/>
        <v>131167200</v>
      </c>
    </row>
    <row r="1896" spans="1:4" ht="14">
      <c r="A1896" s="16">
        <v>42271</v>
      </c>
      <c r="B1896" s="17">
        <v>234.32</v>
      </c>
      <c r="C1896" s="18">
        <v>25097800</v>
      </c>
      <c r="D1896" s="21">
        <f t="shared" si="1"/>
        <v>128277100</v>
      </c>
    </row>
    <row r="1897" spans="1:4" ht="14">
      <c r="A1897" s="16">
        <v>42272</v>
      </c>
      <c r="B1897" s="17">
        <v>235.54</v>
      </c>
      <c r="C1897" s="18">
        <v>22363600</v>
      </c>
      <c r="D1897" s="21">
        <f t="shared" si="1"/>
        <v>134439500</v>
      </c>
    </row>
    <row r="1898" spans="1:4" ht="14">
      <c r="A1898" s="16">
        <v>42273</v>
      </c>
      <c r="B1898" s="17">
        <v>234.59</v>
      </c>
      <c r="C1898" s="18">
        <v>13724100</v>
      </c>
      <c r="D1898" s="21">
        <f t="shared" si="1"/>
        <v>136560900</v>
      </c>
    </row>
    <row r="1899" spans="1:4" ht="14">
      <c r="A1899" s="16">
        <v>42274</v>
      </c>
      <c r="B1899" s="17">
        <v>233.24</v>
      </c>
      <c r="C1899" s="18">
        <v>14179900</v>
      </c>
      <c r="D1899" s="21">
        <f t="shared" si="1"/>
        <v>137572400</v>
      </c>
    </row>
    <row r="1900" spans="1:4" ht="14">
      <c r="A1900" s="16">
        <v>42275</v>
      </c>
      <c r="B1900" s="17">
        <v>240.02</v>
      </c>
      <c r="C1900" s="18">
        <v>24713000</v>
      </c>
      <c r="D1900" s="21">
        <f t="shared" si="1"/>
        <v>137307600</v>
      </c>
    </row>
    <row r="1901" spans="1:4" ht="14">
      <c r="A1901" s="16">
        <v>42276</v>
      </c>
      <c r="B1901" s="17">
        <v>237.34</v>
      </c>
      <c r="C1901" s="18">
        <v>22691300</v>
      </c>
      <c r="D1901" s="21">
        <f t="shared" si="1"/>
        <v>142341800</v>
      </c>
    </row>
    <row r="1902" spans="1:4" ht="14">
      <c r="A1902" s="16">
        <v>42277</v>
      </c>
      <c r="B1902" s="17">
        <v>236.74</v>
      </c>
      <c r="C1902" s="18">
        <v>19743500</v>
      </c>
      <c r="D1902" s="21">
        <f t="shared" si="1"/>
        <v>140023800</v>
      </c>
    </row>
    <row r="1903" spans="1:4" ht="14">
      <c r="A1903" s="16">
        <v>42278</v>
      </c>
      <c r="B1903" s="17">
        <v>238.23</v>
      </c>
      <c r="C1903" s="18">
        <v>20488800</v>
      </c>
      <c r="D1903" s="21">
        <f t="shared" si="1"/>
        <v>142513200</v>
      </c>
    </row>
    <row r="1904" spans="1:4" ht="14">
      <c r="A1904" s="16">
        <v>42279</v>
      </c>
      <c r="B1904" s="17">
        <v>237.94</v>
      </c>
      <c r="C1904" s="18">
        <v>19677900</v>
      </c>
      <c r="D1904" s="21">
        <f t="shared" si="1"/>
        <v>137904200</v>
      </c>
    </row>
    <row r="1905" spans="1:4" ht="14">
      <c r="A1905" s="16">
        <v>42280</v>
      </c>
      <c r="B1905" s="17">
        <v>239.74</v>
      </c>
      <c r="C1905" s="18">
        <v>16482700</v>
      </c>
      <c r="D1905" s="21">
        <f t="shared" si="1"/>
        <v>135218500</v>
      </c>
    </row>
    <row r="1906" spans="1:4" ht="14">
      <c r="A1906" s="16">
        <v>42281</v>
      </c>
      <c r="B1906" s="17">
        <v>239.52</v>
      </c>
      <c r="C1906" s="18">
        <v>12999000</v>
      </c>
      <c r="D1906" s="21">
        <f t="shared" si="1"/>
        <v>137977100</v>
      </c>
    </row>
    <row r="1907" spans="1:4" ht="14">
      <c r="A1907" s="16">
        <v>42282</v>
      </c>
      <c r="B1907" s="17">
        <v>240.96</v>
      </c>
      <c r="C1907" s="18">
        <v>23335900</v>
      </c>
      <c r="D1907" s="21">
        <f t="shared" si="1"/>
        <v>136796200</v>
      </c>
    </row>
    <row r="1908" spans="1:4" ht="14">
      <c r="A1908" s="16">
        <v>42283</v>
      </c>
      <c r="B1908" s="17">
        <v>246.94</v>
      </c>
      <c r="C1908" s="18">
        <v>27535100</v>
      </c>
      <c r="D1908" s="21">
        <f t="shared" si="1"/>
        <v>135419100</v>
      </c>
    </row>
    <row r="1909" spans="1:4" ht="14">
      <c r="A1909" s="16">
        <v>42284</v>
      </c>
      <c r="B1909" s="17">
        <v>243.73</v>
      </c>
      <c r="C1909" s="18">
        <v>22999200</v>
      </c>
      <c r="D1909" s="21">
        <f t="shared" si="1"/>
        <v>140262900</v>
      </c>
    </row>
    <row r="1910" spans="1:4" ht="14">
      <c r="A1910" s="16">
        <v>42285</v>
      </c>
      <c r="B1910" s="17">
        <v>243.03</v>
      </c>
      <c r="C1910" s="18">
        <v>18515300</v>
      </c>
      <c r="D1910" s="21">
        <f t="shared" si="1"/>
        <v>143518600</v>
      </c>
    </row>
    <row r="1911" spans="1:4" ht="14">
      <c r="A1911" s="16">
        <v>42286</v>
      </c>
      <c r="B1911" s="17">
        <v>244.45</v>
      </c>
      <c r="C1911" s="18">
        <v>17353100</v>
      </c>
      <c r="D1911" s="21">
        <f t="shared" si="1"/>
        <v>141545100</v>
      </c>
    </row>
    <row r="1912" spans="1:4" ht="14">
      <c r="A1912" s="16">
        <v>42287</v>
      </c>
      <c r="B1912" s="17">
        <v>245.96</v>
      </c>
      <c r="C1912" s="18">
        <v>15912700</v>
      </c>
      <c r="D1912" s="21">
        <f t="shared" si="1"/>
        <v>139220300</v>
      </c>
    </row>
    <row r="1913" spans="1:4" ht="14">
      <c r="A1913" s="16">
        <v>42288</v>
      </c>
      <c r="B1913" s="17">
        <v>248.53</v>
      </c>
      <c r="C1913" s="18">
        <v>16827300</v>
      </c>
      <c r="D1913" s="21">
        <f t="shared" si="1"/>
        <v>138650300</v>
      </c>
    </row>
    <row r="1914" spans="1:4" ht="14">
      <c r="A1914" s="16">
        <v>42289</v>
      </c>
      <c r="B1914" s="17">
        <v>246.09</v>
      </c>
      <c r="C1914" s="18">
        <v>17388300</v>
      </c>
      <c r="D1914" s="21">
        <f t="shared" si="1"/>
        <v>142478600</v>
      </c>
    </row>
    <row r="1915" spans="1:4" ht="14">
      <c r="A1915" s="16">
        <v>42290</v>
      </c>
      <c r="B1915" s="17">
        <v>250.47</v>
      </c>
      <c r="C1915" s="18">
        <v>28198500</v>
      </c>
      <c r="D1915" s="21">
        <f t="shared" si="1"/>
        <v>136531000</v>
      </c>
    </row>
    <row r="1916" spans="1:4" ht="14">
      <c r="A1916" s="16">
        <v>42291</v>
      </c>
      <c r="B1916" s="17">
        <v>253.14</v>
      </c>
      <c r="C1916" s="18">
        <v>27462600</v>
      </c>
      <c r="D1916" s="21">
        <f t="shared" si="1"/>
        <v>137194400</v>
      </c>
    </row>
    <row r="1917" spans="1:4" ht="14">
      <c r="A1917" s="16">
        <v>42292</v>
      </c>
      <c r="B1917" s="17">
        <v>254.69</v>
      </c>
      <c r="C1917" s="18">
        <v>25223500</v>
      </c>
      <c r="D1917" s="21">
        <f t="shared" si="1"/>
        <v>141657800</v>
      </c>
    </row>
    <row r="1918" spans="1:4" ht="14">
      <c r="A1918" s="16">
        <v>42293</v>
      </c>
      <c r="B1918" s="17">
        <v>262.74</v>
      </c>
      <c r="C1918" s="18">
        <v>35901500</v>
      </c>
      <c r="D1918" s="21">
        <f t="shared" si="1"/>
        <v>148366000</v>
      </c>
    </row>
    <row r="1919" spans="1:4" ht="14">
      <c r="A1919" s="16">
        <v>42294</v>
      </c>
      <c r="B1919" s="17">
        <v>271.93</v>
      </c>
      <c r="C1919" s="18">
        <v>43199600</v>
      </c>
      <c r="D1919" s="21">
        <f t="shared" si="1"/>
        <v>166914400</v>
      </c>
    </row>
    <row r="1920" spans="1:4" ht="14">
      <c r="A1920" s="16">
        <v>42295</v>
      </c>
      <c r="B1920" s="17">
        <v>263.48</v>
      </c>
      <c r="C1920" s="18">
        <v>22434300</v>
      </c>
      <c r="D1920" s="21">
        <f t="shared" si="1"/>
        <v>194201300</v>
      </c>
    </row>
    <row r="1921" spans="1:4" ht="14">
      <c r="A1921" s="16">
        <v>42296</v>
      </c>
      <c r="B1921" s="17">
        <v>264.36</v>
      </c>
      <c r="C1921" s="18">
        <v>25258800</v>
      </c>
      <c r="D1921" s="21">
        <f t="shared" si="1"/>
        <v>199808300</v>
      </c>
    </row>
    <row r="1922" spans="1:4" ht="14">
      <c r="A1922" s="16">
        <v>42297</v>
      </c>
      <c r="B1922" s="17">
        <v>270.83</v>
      </c>
      <c r="C1922" s="18">
        <v>30889800</v>
      </c>
      <c r="D1922" s="21">
        <f t="shared" si="1"/>
        <v>207678800</v>
      </c>
    </row>
    <row r="1923" spans="1:4" ht="14">
      <c r="A1923" s="16">
        <v>42298</v>
      </c>
      <c r="B1923" s="17">
        <v>268.04000000000002</v>
      </c>
      <c r="C1923" s="18">
        <v>25637300</v>
      </c>
      <c r="D1923" s="21">
        <f t="shared" si="1"/>
        <v>210370100</v>
      </c>
    </row>
    <row r="1924" spans="1:4" ht="14">
      <c r="A1924" s="16">
        <v>42299</v>
      </c>
      <c r="B1924" s="17">
        <v>275.41000000000003</v>
      </c>
      <c r="C1924" s="18">
        <v>37808600</v>
      </c>
      <c r="D1924" s="21">
        <f t="shared" si="1"/>
        <v>208544800</v>
      </c>
    </row>
    <row r="1925" spans="1:4" ht="14">
      <c r="A1925" s="16">
        <v>42300</v>
      </c>
      <c r="B1925" s="17">
        <v>278.61</v>
      </c>
      <c r="C1925" s="18">
        <v>29442500</v>
      </c>
      <c r="D1925" s="21">
        <f t="shared" si="1"/>
        <v>221129900</v>
      </c>
    </row>
    <row r="1926" spans="1:4" ht="14">
      <c r="A1926" s="16">
        <v>42301</v>
      </c>
      <c r="B1926" s="17">
        <v>283.61</v>
      </c>
      <c r="C1926" s="18">
        <v>25942400</v>
      </c>
      <c r="D1926" s="21">
        <f t="shared" si="1"/>
        <v>214670900</v>
      </c>
    </row>
    <row r="1927" spans="1:4" ht="14">
      <c r="A1927" s="16">
        <v>42302</v>
      </c>
      <c r="B1927" s="17">
        <v>286.05</v>
      </c>
      <c r="C1927" s="18">
        <v>45717100</v>
      </c>
      <c r="D1927" s="21">
        <f t="shared" si="1"/>
        <v>197413700</v>
      </c>
    </row>
    <row r="1928" spans="1:4" ht="14">
      <c r="A1928" s="16">
        <v>42303</v>
      </c>
      <c r="B1928" s="17">
        <v>286.7</v>
      </c>
      <c r="C1928" s="18">
        <v>32108800</v>
      </c>
      <c r="D1928" s="21">
        <f t="shared" si="1"/>
        <v>220696500</v>
      </c>
    </row>
    <row r="1929" spans="1:4" ht="14">
      <c r="A1929" s="16">
        <v>42304</v>
      </c>
      <c r="B1929" s="17">
        <v>295.56</v>
      </c>
      <c r="C1929" s="18">
        <v>46331800</v>
      </c>
      <c r="D1929" s="21">
        <f t="shared" si="1"/>
        <v>227546500</v>
      </c>
    </row>
    <row r="1930" spans="1:4" ht="14">
      <c r="A1930" s="16">
        <v>42305</v>
      </c>
      <c r="B1930" s="17">
        <v>304.44</v>
      </c>
      <c r="C1930" s="18">
        <v>50808100</v>
      </c>
      <c r="D1930" s="21">
        <f t="shared" si="1"/>
        <v>242988500</v>
      </c>
    </row>
    <row r="1931" spans="1:4" ht="14">
      <c r="A1931" s="16">
        <v>42306</v>
      </c>
      <c r="B1931" s="17">
        <v>314.88</v>
      </c>
      <c r="C1931" s="18">
        <v>64495900</v>
      </c>
      <c r="D1931" s="21">
        <f t="shared" si="1"/>
        <v>268159300</v>
      </c>
    </row>
    <row r="1932" spans="1:4" ht="14">
      <c r="A1932" s="16">
        <v>42307</v>
      </c>
      <c r="B1932" s="17">
        <v>328.49</v>
      </c>
      <c r="C1932" s="18">
        <v>78305000</v>
      </c>
      <c r="D1932" s="21">
        <f t="shared" si="1"/>
        <v>294846600</v>
      </c>
    </row>
    <row r="1933" spans="1:4" ht="14">
      <c r="A1933" s="16">
        <v>42308</v>
      </c>
      <c r="B1933" s="17">
        <v>314.12</v>
      </c>
      <c r="C1933" s="18">
        <v>48598100</v>
      </c>
      <c r="D1933" s="21">
        <f t="shared" si="1"/>
        <v>343709100</v>
      </c>
    </row>
    <row r="1934" spans="1:4" ht="14">
      <c r="A1934" s="16">
        <v>42309</v>
      </c>
      <c r="B1934" s="17">
        <v>329.85</v>
      </c>
      <c r="C1934" s="18">
        <v>37001100</v>
      </c>
      <c r="D1934" s="21">
        <f t="shared" si="1"/>
        <v>366364800</v>
      </c>
    </row>
    <row r="1935" spans="1:4" ht="14">
      <c r="A1935" s="16">
        <v>42310</v>
      </c>
      <c r="B1935" s="17">
        <v>364.62</v>
      </c>
      <c r="C1935" s="18">
        <v>101918000</v>
      </c>
      <c r="D1935" s="21">
        <f t="shared" si="1"/>
        <v>357648800</v>
      </c>
    </row>
    <row r="1936" spans="1:4" ht="14">
      <c r="A1936" s="16">
        <v>42311</v>
      </c>
      <c r="B1936" s="17">
        <v>400.92</v>
      </c>
      <c r="C1936" s="18">
        <v>206162000</v>
      </c>
      <c r="D1936" s="21">
        <f t="shared" si="1"/>
        <v>427458000</v>
      </c>
    </row>
    <row r="1937" spans="1:4" ht="14">
      <c r="A1937" s="16">
        <v>42312</v>
      </c>
      <c r="B1937" s="17">
        <v>405.48</v>
      </c>
      <c r="C1937" s="18">
        <v>263900000</v>
      </c>
      <c r="D1937" s="21">
        <f t="shared" si="1"/>
        <v>587288200</v>
      </c>
    </row>
    <row r="1938" spans="1:4" ht="14">
      <c r="A1938" s="16">
        <v>42313</v>
      </c>
      <c r="B1938" s="17">
        <v>384.34</v>
      </c>
      <c r="C1938" s="18">
        <v>151824992</v>
      </c>
      <c r="D1938" s="21">
        <f t="shared" si="1"/>
        <v>800380100</v>
      </c>
    </row>
    <row r="1939" spans="1:4" ht="14">
      <c r="A1939" s="16">
        <v>42314</v>
      </c>
      <c r="B1939" s="17">
        <v>372.98</v>
      </c>
      <c r="C1939" s="18">
        <v>122687000</v>
      </c>
      <c r="D1939" s="21">
        <f t="shared" si="1"/>
        <v>887709192</v>
      </c>
    </row>
    <row r="1940" spans="1:4" ht="14">
      <c r="A1940" s="16">
        <v>42315</v>
      </c>
      <c r="B1940" s="17">
        <v>386.5</v>
      </c>
      <c r="C1940" s="18">
        <v>56625100</v>
      </c>
      <c r="D1940" s="21">
        <f t="shared" si="1"/>
        <v>932091192</v>
      </c>
    </row>
    <row r="1941" spans="1:4" ht="14">
      <c r="A1941" s="16">
        <v>42316</v>
      </c>
      <c r="B1941" s="17">
        <v>372.4</v>
      </c>
      <c r="C1941" s="18">
        <v>51817600</v>
      </c>
      <c r="D1941" s="21">
        <f t="shared" si="1"/>
        <v>940118192</v>
      </c>
    </row>
    <row r="1942" spans="1:4" ht="14">
      <c r="A1942" s="16">
        <v>42317</v>
      </c>
      <c r="B1942" s="17">
        <v>380.5</v>
      </c>
      <c r="C1942" s="18">
        <v>68224400</v>
      </c>
      <c r="D1942" s="21">
        <f t="shared" si="1"/>
        <v>954934692</v>
      </c>
    </row>
    <row r="1943" spans="1:4" ht="14">
      <c r="A1943" s="16">
        <v>42318</v>
      </c>
      <c r="B1943" s="17">
        <v>337.83</v>
      </c>
      <c r="C1943" s="18">
        <v>95797904</v>
      </c>
      <c r="D1943" s="21">
        <f t="shared" si="1"/>
        <v>921241092</v>
      </c>
    </row>
    <row r="1944" spans="1:4" ht="14">
      <c r="A1944" s="16">
        <v>42319</v>
      </c>
      <c r="B1944" s="17">
        <v>308.92</v>
      </c>
      <c r="C1944" s="18">
        <v>107070000</v>
      </c>
      <c r="D1944" s="21">
        <f t="shared" si="1"/>
        <v>810876996</v>
      </c>
    </row>
    <row r="1945" spans="1:4" ht="14">
      <c r="A1945" s="16">
        <v>42320</v>
      </c>
      <c r="B1945" s="17">
        <v>337.52</v>
      </c>
      <c r="C1945" s="18">
        <v>78477800</v>
      </c>
      <c r="D1945" s="21">
        <f t="shared" si="1"/>
        <v>654046996</v>
      </c>
    </row>
    <row r="1946" spans="1:4" ht="14">
      <c r="A1946" s="16">
        <v>42321</v>
      </c>
      <c r="B1946" s="17">
        <v>337.28</v>
      </c>
      <c r="C1946" s="18">
        <v>52003000</v>
      </c>
      <c r="D1946" s="21">
        <f t="shared" si="1"/>
        <v>580699804</v>
      </c>
    </row>
    <row r="1947" spans="1:4" ht="14">
      <c r="A1947" s="16">
        <v>42322</v>
      </c>
      <c r="B1947" s="17">
        <v>333.05</v>
      </c>
      <c r="C1947" s="18">
        <v>38612000</v>
      </c>
      <c r="D1947" s="21">
        <f t="shared" si="1"/>
        <v>510015804</v>
      </c>
    </row>
    <row r="1948" spans="1:4" ht="14">
      <c r="A1948" s="16">
        <v>42323</v>
      </c>
      <c r="B1948" s="17">
        <v>319.93</v>
      </c>
      <c r="C1948" s="18">
        <v>44213100</v>
      </c>
      <c r="D1948" s="21">
        <f t="shared" si="1"/>
        <v>492002704</v>
      </c>
    </row>
    <row r="1949" spans="1:4" ht="14">
      <c r="A1949" s="16">
        <v>42324</v>
      </c>
      <c r="B1949" s="17">
        <v>331.13</v>
      </c>
      <c r="C1949" s="18">
        <v>47980100</v>
      </c>
      <c r="D1949" s="21">
        <f t="shared" si="1"/>
        <v>484398204</v>
      </c>
    </row>
    <row r="1950" spans="1:4" ht="14">
      <c r="A1950" s="16">
        <v>42325</v>
      </c>
      <c r="B1950" s="17">
        <v>335.85</v>
      </c>
      <c r="C1950" s="18">
        <v>51001600</v>
      </c>
      <c r="D1950" s="21">
        <f t="shared" si="1"/>
        <v>464153904</v>
      </c>
    </row>
    <row r="1951" spans="1:4" ht="14">
      <c r="A1951" s="16">
        <v>42326</v>
      </c>
      <c r="B1951" s="17">
        <v>335.74</v>
      </c>
      <c r="C1951" s="18">
        <v>43783800</v>
      </c>
      <c r="D1951" s="21">
        <f t="shared" si="1"/>
        <v>419357600</v>
      </c>
    </row>
    <row r="1952" spans="1:4" ht="14">
      <c r="A1952" s="16">
        <v>42327</v>
      </c>
      <c r="B1952" s="17">
        <v>326.23</v>
      </c>
      <c r="C1952" s="18">
        <v>45011100</v>
      </c>
      <c r="D1952" s="21">
        <f t="shared" si="1"/>
        <v>356071400</v>
      </c>
    </row>
    <row r="1953" spans="1:4" ht="14">
      <c r="A1953" s="16">
        <v>42328</v>
      </c>
      <c r="B1953" s="17">
        <v>321.94</v>
      </c>
      <c r="C1953" s="18">
        <v>53152900</v>
      </c>
      <c r="D1953" s="21">
        <f t="shared" si="1"/>
        <v>322604700</v>
      </c>
    </row>
    <row r="1954" spans="1:4" ht="14">
      <c r="A1954" s="16">
        <v>42329</v>
      </c>
      <c r="B1954" s="17">
        <v>325.91000000000003</v>
      </c>
      <c r="C1954" s="18">
        <v>28200500</v>
      </c>
      <c r="D1954" s="21">
        <f t="shared" si="1"/>
        <v>323754600</v>
      </c>
    </row>
    <row r="1955" spans="1:4" ht="14">
      <c r="A1955" s="16">
        <v>42330</v>
      </c>
      <c r="B1955" s="17">
        <v>323.72000000000003</v>
      </c>
      <c r="C1955" s="18">
        <v>23439400</v>
      </c>
      <c r="D1955" s="21">
        <f t="shared" si="1"/>
        <v>313343100</v>
      </c>
    </row>
    <row r="1956" spans="1:4" ht="14">
      <c r="A1956" s="16">
        <v>42331</v>
      </c>
      <c r="B1956" s="17">
        <v>323.01</v>
      </c>
      <c r="C1956" s="18">
        <v>27478900</v>
      </c>
      <c r="D1956" s="21">
        <f t="shared" si="1"/>
        <v>292569400</v>
      </c>
    </row>
    <row r="1957" spans="1:4" ht="14">
      <c r="A1957" s="16">
        <v>42332</v>
      </c>
      <c r="B1957" s="17">
        <v>319.95999999999998</v>
      </c>
      <c r="C1957" s="18">
        <v>29362600</v>
      </c>
      <c r="D1957" s="21">
        <f t="shared" si="1"/>
        <v>272068200</v>
      </c>
    </row>
    <row r="1958" spans="1:4" ht="14">
      <c r="A1958" s="16">
        <v>42333</v>
      </c>
      <c r="B1958" s="17">
        <v>328.96</v>
      </c>
      <c r="C1958" s="18">
        <v>41666900</v>
      </c>
      <c r="D1958" s="21">
        <f t="shared" si="1"/>
        <v>250429200</v>
      </c>
    </row>
    <row r="1959" spans="1:4" ht="14">
      <c r="A1959" s="16">
        <v>42334</v>
      </c>
      <c r="B1959" s="17">
        <v>356.26</v>
      </c>
      <c r="C1959" s="18">
        <v>106105000</v>
      </c>
      <c r="D1959" s="21">
        <f t="shared" si="1"/>
        <v>248312300</v>
      </c>
    </row>
    <row r="1960" spans="1:4" ht="14">
      <c r="A1960" s="16">
        <v>42335</v>
      </c>
      <c r="B1960" s="17">
        <v>359.27</v>
      </c>
      <c r="C1960" s="18">
        <v>55179100</v>
      </c>
      <c r="D1960" s="21">
        <f t="shared" si="1"/>
        <v>309406200</v>
      </c>
    </row>
    <row r="1961" spans="1:4" ht="14">
      <c r="A1961" s="16">
        <v>42336</v>
      </c>
      <c r="B1961" s="17">
        <v>356.57</v>
      </c>
      <c r="C1961" s="18">
        <v>36816600</v>
      </c>
      <c r="D1961" s="21">
        <f t="shared" si="1"/>
        <v>311432400</v>
      </c>
    </row>
    <row r="1962" spans="1:4" ht="14">
      <c r="A1962" s="16">
        <v>42337</v>
      </c>
      <c r="B1962" s="17">
        <v>371.71</v>
      </c>
      <c r="C1962" s="18">
        <v>40409300</v>
      </c>
      <c r="D1962" s="21">
        <f t="shared" si="1"/>
        <v>320048500</v>
      </c>
    </row>
    <row r="1963" spans="1:4" ht="14">
      <c r="A1963" s="16">
        <v>42338</v>
      </c>
      <c r="B1963" s="17">
        <v>377.39</v>
      </c>
      <c r="C1963" s="18">
        <v>71701600</v>
      </c>
      <c r="D1963" s="21">
        <f t="shared" si="1"/>
        <v>337018400</v>
      </c>
    </row>
    <row r="1964" spans="1:4" ht="14">
      <c r="A1964" s="16">
        <v>42339</v>
      </c>
      <c r="B1964" s="17">
        <v>362.53</v>
      </c>
      <c r="C1964" s="18">
        <v>60452200</v>
      </c>
      <c r="D1964" s="21">
        <f t="shared" si="1"/>
        <v>381241100</v>
      </c>
    </row>
    <row r="1965" spans="1:4" ht="14">
      <c r="A1965" s="16">
        <v>42340</v>
      </c>
      <c r="B1965" s="17">
        <v>359.22</v>
      </c>
      <c r="C1965" s="18">
        <v>54160500</v>
      </c>
      <c r="D1965" s="21">
        <f t="shared" si="1"/>
        <v>412330700</v>
      </c>
    </row>
    <row r="1966" spans="1:4" ht="14">
      <c r="A1966" s="16">
        <v>42341</v>
      </c>
      <c r="B1966" s="17">
        <v>361.21</v>
      </c>
      <c r="C1966" s="18">
        <v>50714900</v>
      </c>
      <c r="D1966" s="21">
        <f t="shared" si="1"/>
        <v>424824300</v>
      </c>
    </row>
    <row r="1967" spans="1:4" ht="14">
      <c r="A1967" s="16">
        <v>42342</v>
      </c>
      <c r="B1967" s="17">
        <v>363.24</v>
      </c>
      <c r="C1967" s="18">
        <v>35784100</v>
      </c>
      <c r="D1967" s="21">
        <f t="shared" si="1"/>
        <v>369434200</v>
      </c>
    </row>
    <row r="1968" spans="1:4" ht="14">
      <c r="A1968" s="16">
        <v>42343</v>
      </c>
      <c r="B1968" s="17">
        <v>389.36</v>
      </c>
      <c r="C1968" s="18">
        <v>66282200</v>
      </c>
      <c r="D1968" s="21">
        <f t="shared" si="1"/>
        <v>350039200</v>
      </c>
    </row>
    <row r="1969" spans="1:4" ht="14">
      <c r="A1969" s="16">
        <v>42344</v>
      </c>
      <c r="B1969" s="17">
        <v>393.32</v>
      </c>
      <c r="C1969" s="18">
        <v>77762000</v>
      </c>
      <c r="D1969" s="21">
        <f t="shared" si="1"/>
        <v>379504800</v>
      </c>
    </row>
    <row r="1970" spans="1:4" ht="14">
      <c r="A1970" s="16">
        <v>42345</v>
      </c>
      <c r="B1970" s="17">
        <v>395.35</v>
      </c>
      <c r="C1970" s="18">
        <v>63455800</v>
      </c>
      <c r="D1970" s="21">
        <f t="shared" si="1"/>
        <v>416857500</v>
      </c>
    </row>
    <row r="1971" spans="1:4" ht="14">
      <c r="A1971" s="16">
        <v>42346</v>
      </c>
      <c r="B1971" s="17">
        <v>413.8</v>
      </c>
      <c r="C1971" s="18">
        <v>57801400</v>
      </c>
      <c r="D1971" s="21">
        <f t="shared" si="1"/>
        <v>408611700</v>
      </c>
    </row>
    <row r="1972" spans="1:4" ht="14">
      <c r="A1972" s="16">
        <v>42347</v>
      </c>
      <c r="B1972" s="17">
        <v>417.63</v>
      </c>
      <c r="C1972" s="18">
        <v>90917200</v>
      </c>
      <c r="D1972" s="21">
        <f t="shared" si="1"/>
        <v>405960900</v>
      </c>
    </row>
    <row r="1973" spans="1:4" ht="14">
      <c r="A1973" s="16">
        <v>42348</v>
      </c>
      <c r="B1973" s="17">
        <v>415.73</v>
      </c>
      <c r="C1973" s="18">
        <v>52138900</v>
      </c>
      <c r="D1973" s="21">
        <f t="shared" si="1"/>
        <v>442717600</v>
      </c>
    </row>
    <row r="1974" spans="1:4" ht="14">
      <c r="A1974" s="16">
        <v>42349</v>
      </c>
      <c r="B1974" s="17">
        <v>453.86</v>
      </c>
      <c r="C1974" s="18">
        <v>110944000</v>
      </c>
      <c r="D1974" s="21">
        <f t="shared" si="1"/>
        <v>444141600</v>
      </c>
    </row>
    <row r="1975" spans="1:4" ht="14">
      <c r="A1975" s="16">
        <v>42350</v>
      </c>
      <c r="B1975" s="17">
        <v>435.86</v>
      </c>
      <c r="C1975" s="18">
        <v>131969000</v>
      </c>
      <c r="D1975" s="21">
        <f t="shared" si="1"/>
        <v>519301500</v>
      </c>
    </row>
    <row r="1976" spans="1:4" ht="14">
      <c r="A1976" s="16">
        <v>42351</v>
      </c>
      <c r="B1976" s="17">
        <v>434.4</v>
      </c>
      <c r="C1976" s="18">
        <v>55050600</v>
      </c>
      <c r="D1976" s="21">
        <f t="shared" si="1"/>
        <v>584988300</v>
      </c>
    </row>
    <row r="1977" spans="1:4" ht="14">
      <c r="A1977" s="16">
        <v>42352</v>
      </c>
      <c r="B1977" s="17">
        <v>442.99</v>
      </c>
      <c r="C1977" s="18">
        <v>130496000</v>
      </c>
      <c r="D1977" s="21">
        <f t="shared" si="1"/>
        <v>562276900</v>
      </c>
    </row>
    <row r="1978" spans="1:4" ht="14">
      <c r="A1978" s="16">
        <v>42353</v>
      </c>
      <c r="B1978" s="17">
        <v>464.62</v>
      </c>
      <c r="C1978" s="18">
        <v>83121104</v>
      </c>
      <c r="D1978" s="21">
        <f t="shared" si="1"/>
        <v>629317100</v>
      </c>
    </row>
    <row r="1979" spans="1:4" ht="14">
      <c r="A1979" s="16">
        <v>42354</v>
      </c>
      <c r="B1979" s="17">
        <v>454.14</v>
      </c>
      <c r="C1979" s="18">
        <v>107944000</v>
      </c>
      <c r="D1979" s="21">
        <f t="shared" si="1"/>
        <v>654636804</v>
      </c>
    </row>
    <row r="1980" spans="1:4" ht="14">
      <c r="A1980" s="16">
        <v>42355</v>
      </c>
      <c r="B1980" s="17">
        <v>456.24</v>
      </c>
      <c r="C1980" s="18">
        <v>47978400</v>
      </c>
      <c r="D1980" s="21">
        <f t="shared" si="1"/>
        <v>671663604</v>
      </c>
    </row>
    <row r="1981" spans="1:4" ht="14">
      <c r="A1981" s="16">
        <v>42356</v>
      </c>
      <c r="B1981" s="17">
        <v>463.18</v>
      </c>
      <c r="C1981" s="18">
        <v>60220100</v>
      </c>
      <c r="D1981" s="21">
        <f t="shared" si="1"/>
        <v>667503104</v>
      </c>
    </row>
    <row r="1982" spans="1:4" ht="14">
      <c r="A1982" s="16">
        <v>42357</v>
      </c>
      <c r="B1982" s="17">
        <v>461.4</v>
      </c>
      <c r="C1982" s="18">
        <v>47892700</v>
      </c>
      <c r="D1982" s="21">
        <f t="shared" si="1"/>
        <v>616779204</v>
      </c>
    </row>
    <row r="1983" spans="1:4" ht="14">
      <c r="A1983" s="16">
        <v>42358</v>
      </c>
      <c r="B1983" s="17">
        <v>442.15</v>
      </c>
      <c r="C1983" s="18">
        <v>75409400</v>
      </c>
      <c r="D1983" s="21">
        <f t="shared" si="1"/>
        <v>532702904</v>
      </c>
    </row>
    <row r="1984" spans="1:4" ht="14">
      <c r="A1984" s="16">
        <v>42359</v>
      </c>
      <c r="B1984" s="17">
        <v>437.64</v>
      </c>
      <c r="C1984" s="18">
        <v>77639696</v>
      </c>
      <c r="D1984" s="21">
        <f t="shared" si="1"/>
        <v>553061704</v>
      </c>
    </row>
    <row r="1985" spans="1:4" ht="14">
      <c r="A1985" s="16">
        <v>42360</v>
      </c>
      <c r="B1985" s="17">
        <v>435.27</v>
      </c>
      <c r="C1985" s="18">
        <v>50840400</v>
      </c>
      <c r="D1985" s="21">
        <f t="shared" si="1"/>
        <v>500205400</v>
      </c>
    </row>
    <row r="1986" spans="1:4" ht="14">
      <c r="A1986" s="16">
        <v>42361</v>
      </c>
      <c r="B1986" s="17">
        <v>442.67</v>
      </c>
      <c r="C1986" s="18">
        <v>47161400</v>
      </c>
      <c r="D1986" s="21">
        <f t="shared" si="1"/>
        <v>467924696</v>
      </c>
    </row>
    <row r="1987" spans="1:4" ht="14">
      <c r="A1987" s="16">
        <v>42362</v>
      </c>
      <c r="B1987" s="17">
        <v>455.88</v>
      </c>
      <c r="C1987" s="18">
        <v>57157200</v>
      </c>
      <c r="D1987" s="21">
        <f t="shared" si="1"/>
        <v>407142096</v>
      </c>
    </row>
    <row r="1988" spans="1:4" ht="14">
      <c r="A1988" s="16">
        <v>42363</v>
      </c>
      <c r="B1988" s="17">
        <v>455.72</v>
      </c>
      <c r="C1988" s="18">
        <v>39078500</v>
      </c>
      <c r="D1988" s="21">
        <f t="shared" si="1"/>
        <v>416320896</v>
      </c>
    </row>
    <row r="1989" spans="1:4" ht="14">
      <c r="A1989" s="16">
        <v>42364</v>
      </c>
      <c r="B1989" s="17">
        <v>418.22</v>
      </c>
      <c r="C1989" s="18">
        <v>116166000</v>
      </c>
      <c r="D1989" s="21">
        <f t="shared" si="1"/>
        <v>395179296</v>
      </c>
    </row>
    <row r="1990" spans="1:4" ht="14">
      <c r="A1990" s="16">
        <v>42365</v>
      </c>
      <c r="B1990" s="17">
        <v>422.71</v>
      </c>
      <c r="C1990" s="18">
        <v>53591200</v>
      </c>
      <c r="D1990" s="21">
        <f t="shared" si="1"/>
        <v>463452596</v>
      </c>
    </row>
    <row r="1991" spans="1:4" ht="14">
      <c r="A1991" s="16">
        <v>42366</v>
      </c>
      <c r="B1991" s="17">
        <v>421.05</v>
      </c>
      <c r="C1991" s="18">
        <v>49638600</v>
      </c>
      <c r="D1991" s="21">
        <f t="shared" si="1"/>
        <v>441634396</v>
      </c>
    </row>
    <row r="1992" spans="1:4" ht="14">
      <c r="A1992" s="16">
        <v>42367</v>
      </c>
      <c r="B1992" s="17">
        <v>431.34</v>
      </c>
      <c r="C1992" s="18">
        <v>51596500</v>
      </c>
      <c r="D1992" s="21">
        <f t="shared" si="1"/>
        <v>413633300</v>
      </c>
    </row>
    <row r="1993" spans="1:4" ht="14">
      <c r="A1993" s="16">
        <v>42368</v>
      </c>
      <c r="B1993" s="17">
        <v>426.04</v>
      </c>
      <c r="C1993" s="18">
        <v>46889400</v>
      </c>
      <c r="D1993" s="21">
        <f t="shared" si="1"/>
        <v>414389400</v>
      </c>
    </row>
    <row r="1994" spans="1:4" ht="14">
      <c r="A1994" s="16">
        <v>42369</v>
      </c>
      <c r="B1994" s="17">
        <v>429.68</v>
      </c>
      <c r="C1994" s="18">
        <v>45996600</v>
      </c>
      <c r="D1994" s="21">
        <f t="shared" si="1"/>
        <v>414117400</v>
      </c>
    </row>
    <row r="1995" spans="1:4" ht="14">
      <c r="A1995" s="16">
        <v>42370</v>
      </c>
      <c r="B1995" s="17">
        <v>434.68</v>
      </c>
      <c r="C1995" s="18">
        <v>36278900</v>
      </c>
      <c r="D1995" s="21">
        <f t="shared" si="1"/>
        <v>402956800</v>
      </c>
    </row>
    <row r="1996" spans="1:4" ht="14">
      <c r="A1996" s="16">
        <v>42371</v>
      </c>
      <c r="B1996" s="17">
        <v>434.44</v>
      </c>
      <c r="C1996" s="18">
        <v>30096600</v>
      </c>
      <c r="D1996" s="21">
        <f t="shared" si="1"/>
        <v>400157200</v>
      </c>
    </row>
    <row r="1997" spans="1:4" ht="14">
      <c r="A1997" s="16">
        <v>42372</v>
      </c>
      <c r="B1997" s="17">
        <v>430.14</v>
      </c>
      <c r="C1997" s="18">
        <v>39633800</v>
      </c>
      <c r="D1997" s="21">
        <f t="shared" si="1"/>
        <v>314087800</v>
      </c>
    </row>
    <row r="1998" spans="1:4" ht="14">
      <c r="A1998" s="16">
        <v>42373</v>
      </c>
      <c r="B1998" s="17">
        <v>433.45</v>
      </c>
      <c r="C1998" s="18">
        <v>38477500</v>
      </c>
      <c r="D1998" s="21">
        <f t="shared" si="1"/>
        <v>300130400</v>
      </c>
    </row>
    <row r="1999" spans="1:4" ht="14">
      <c r="A1999" s="16">
        <v>42374</v>
      </c>
      <c r="B1999" s="17">
        <v>432.67</v>
      </c>
      <c r="C1999" s="18">
        <v>34522600</v>
      </c>
      <c r="D1999" s="21">
        <f t="shared" si="1"/>
        <v>288969300</v>
      </c>
    </row>
    <row r="2000" spans="1:4" ht="14">
      <c r="A2000" s="16">
        <v>42375</v>
      </c>
      <c r="B2000" s="17">
        <v>430.68</v>
      </c>
      <c r="C2000" s="18">
        <v>34042500</v>
      </c>
      <c r="D2000" s="21">
        <f t="shared" si="1"/>
        <v>271895400</v>
      </c>
    </row>
    <row r="2001" spans="1:4" ht="14">
      <c r="A2001" s="16">
        <v>42376</v>
      </c>
      <c r="B2001" s="17">
        <v>459.21</v>
      </c>
      <c r="C2001" s="18">
        <v>87562200</v>
      </c>
      <c r="D2001" s="21">
        <f t="shared" si="1"/>
        <v>259048500</v>
      </c>
    </row>
    <row r="2002" spans="1:4" ht="14">
      <c r="A2002" s="16">
        <v>42377</v>
      </c>
      <c r="B2002" s="17">
        <v>454.13</v>
      </c>
      <c r="C2002" s="18">
        <v>56993000</v>
      </c>
      <c r="D2002" s="21">
        <f t="shared" si="1"/>
        <v>300614100</v>
      </c>
    </row>
    <row r="2003" spans="1:4" ht="14">
      <c r="A2003" s="16">
        <v>42378</v>
      </c>
      <c r="B2003" s="17">
        <v>449.85</v>
      </c>
      <c r="C2003" s="18">
        <v>32278000</v>
      </c>
      <c r="D2003" s="21">
        <f t="shared" si="1"/>
        <v>321328200</v>
      </c>
    </row>
    <row r="2004" spans="1:4" ht="14">
      <c r="A2004" s="16">
        <v>42379</v>
      </c>
      <c r="B2004" s="17">
        <v>448.58</v>
      </c>
      <c r="C2004" s="18">
        <v>35995900</v>
      </c>
      <c r="D2004" s="21">
        <f t="shared" si="1"/>
        <v>323509600</v>
      </c>
    </row>
    <row r="2005" spans="1:4" ht="14">
      <c r="A2005" s="16">
        <v>42380</v>
      </c>
      <c r="B2005" s="17">
        <v>449.03</v>
      </c>
      <c r="C2005" s="18">
        <v>40450000</v>
      </c>
      <c r="D2005" s="21">
        <f t="shared" si="1"/>
        <v>319871700</v>
      </c>
    </row>
    <row r="2006" spans="1:4" ht="14">
      <c r="A2006" s="16">
        <v>42381</v>
      </c>
      <c r="B2006" s="17">
        <v>441.77</v>
      </c>
      <c r="C2006" s="18">
        <v>115607000</v>
      </c>
      <c r="D2006" s="21">
        <f t="shared" si="1"/>
        <v>321844200</v>
      </c>
    </row>
    <row r="2007" spans="1:4" ht="14">
      <c r="A2007" s="16">
        <v>42382</v>
      </c>
      <c r="B2007" s="17">
        <v>432.31</v>
      </c>
      <c r="C2007" s="18">
        <v>173888000</v>
      </c>
      <c r="D2007" s="21">
        <f t="shared" si="1"/>
        <v>402928600</v>
      </c>
    </row>
    <row r="2008" spans="1:4" ht="14">
      <c r="A2008" s="16">
        <v>42383</v>
      </c>
      <c r="B2008" s="17">
        <v>429.82</v>
      </c>
      <c r="C2008" s="18">
        <v>43945500</v>
      </c>
      <c r="D2008" s="21">
        <f t="shared" si="1"/>
        <v>542774100</v>
      </c>
    </row>
    <row r="2009" spans="1:4" ht="14">
      <c r="A2009" s="16">
        <v>42384</v>
      </c>
      <c r="B2009" s="17">
        <v>367.82</v>
      </c>
      <c r="C2009" s="18">
        <v>153351008</v>
      </c>
      <c r="D2009" s="21">
        <f t="shared" si="1"/>
        <v>499157400</v>
      </c>
    </row>
    <row r="2010" spans="1:4" ht="14">
      <c r="A2010" s="16">
        <v>42385</v>
      </c>
      <c r="B2010" s="17">
        <v>388.07</v>
      </c>
      <c r="C2010" s="18">
        <v>120352000</v>
      </c>
      <c r="D2010" s="21">
        <f t="shared" si="1"/>
        <v>595515408</v>
      </c>
    </row>
    <row r="2011" spans="1:4" ht="14">
      <c r="A2011" s="16">
        <v>42386</v>
      </c>
      <c r="B2011" s="17">
        <v>382.48</v>
      </c>
      <c r="C2011" s="18">
        <v>45319600</v>
      </c>
      <c r="D2011" s="21">
        <f t="shared" si="1"/>
        <v>683589408</v>
      </c>
    </row>
    <row r="2012" spans="1:4" ht="14">
      <c r="A2012" s="16">
        <v>42387</v>
      </c>
      <c r="B2012" s="17">
        <v>384.87</v>
      </c>
      <c r="C2012" s="18">
        <v>54403900</v>
      </c>
      <c r="D2012" s="21">
        <f t="shared" si="1"/>
        <v>692913108</v>
      </c>
    </row>
    <row r="2013" spans="1:4" ht="14">
      <c r="A2013" s="16">
        <v>42388</v>
      </c>
      <c r="B2013" s="17">
        <v>378.16</v>
      </c>
      <c r="C2013" s="18">
        <v>46819800</v>
      </c>
      <c r="D2013" s="21">
        <f t="shared" si="1"/>
        <v>706867008</v>
      </c>
    </row>
    <row r="2014" spans="1:4" ht="14">
      <c r="A2014" s="16">
        <v>42389</v>
      </c>
      <c r="B2014" s="17">
        <v>420.62</v>
      </c>
      <c r="C2014" s="18">
        <v>121720000</v>
      </c>
      <c r="D2014" s="21">
        <f t="shared" si="1"/>
        <v>638079808</v>
      </c>
    </row>
    <row r="2015" spans="1:4" ht="14">
      <c r="A2015" s="16">
        <v>42390</v>
      </c>
      <c r="B2015" s="17">
        <v>409.3</v>
      </c>
      <c r="C2015" s="18">
        <v>68338000</v>
      </c>
      <c r="D2015" s="21">
        <f t="shared" si="1"/>
        <v>585911808</v>
      </c>
    </row>
    <row r="2016" spans="1:4" ht="14">
      <c r="A2016" s="16">
        <v>42391</v>
      </c>
      <c r="B2016" s="17">
        <v>381.05</v>
      </c>
      <c r="C2016" s="18">
        <v>91546600</v>
      </c>
      <c r="D2016" s="21">
        <f t="shared" si="1"/>
        <v>610304308</v>
      </c>
    </row>
    <row r="2017" spans="1:4" ht="14">
      <c r="A2017" s="16">
        <v>42392</v>
      </c>
      <c r="B2017" s="17">
        <v>386.37</v>
      </c>
      <c r="C2017" s="18">
        <v>56247400</v>
      </c>
      <c r="D2017" s="21">
        <f t="shared" si="1"/>
        <v>548499900</v>
      </c>
    </row>
    <row r="2018" spans="1:4" ht="14">
      <c r="A2018" s="16">
        <v>42393</v>
      </c>
      <c r="B2018" s="17">
        <v>403.45</v>
      </c>
      <c r="C2018" s="18">
        <v>54824800</v>
      </c>
      <c r="D2018" s="21">
        <f t="shared" si="1"/>
        <v>484395300</v>
      </c>
    </row>
    <row r="2019" spans="1:4" ht="14">
      <c r="A2019" s="16">
        <v>42394</v>
      </c>
      <c r="B2019" s="17">
        <v>391.99</v>
      </c>
      <c r="C2019" s="18">
        <v>59062400</v>
      </c>
      <c r="D2019" s="21">
        <f t="shared" si="1"/>
        <v>493900500</v>
      </c>
    </row>
    <row r="2020" spans="1:4" ht="14">
      <c r="A2020" s="16">
        <v>42395</v>
      </c>
      <c r="B2020" s="17">
        <v>391.14</v>
      </c>
      <c r="C2020" s="18">
        <v>58147000</v>
      </c>
      <c r="D2020" s="21">
        <f t="shared" si="1"/>
        <v>498559000</v>
      </c>
    </row>
    <row r="2021" spans="1:4" ht="14">
      <c r="A2021" s="16">
        <v>42396</v>
      </c>
      <c r="B2021" s="17">
        <v>394.63</v>
      </c>
      <c r="C2021" s="18">
        <v>47424400</v>
      </c>
      <c r="D2021" s="21">
        <f t="shared" si="1"/>
        <v>509886200</v>
      </c>
    </row>
    <row r="2022" spans="1:4" ht="14">
      <c r="A2022" s="16">
        <v>42397</v>
      </c>
      <c r="B2022" s="17">
        <v>378.9</v>
      </c>
      <c r="C2022" s="18">
        <v>59247900</v>
      </c>
      <c r="D2022" s="21">
        <f t="shared" si="1"/>
        <v>435590600</v>
      </c>
    </row>
    <row r="2023" spans="1:4" ht="14">
      <c r="A2023" s="16">
        <v>42398</v>
      </c>
      <c r="B2023" s="17">
        <v>379</v>
      </c>
      <c r="C2023" s="18">
        <v>86125296</v>
      </c>
      <c r="D2023" s="21">
        <f t="shared" si="1"/>
        <v>426500500</v>
      </c>
    </row>
    <row r="2024" spans="1:4" ht="14">
      <c r="A2024" s="16">
        <v>42399</v>
      </c>
      <c r="B2024" s="17">
        <v>377.26</v>
      </c>
      <c r="C2024" s="18">
        <v>30284400</v>
      </c>
      <c r="D2024" s="21">
        <f t="shared" si="1"/>
        <v>421079196</v>
      </c>
    </row>
    <row r="2025" spans="1:4" ht="14">
      <c r="A2025" s="16">
        <v>42400</v>
      </c>
      <c r="B2025" s="17">
        <v>366.34</v>
      </c>
      <c r="C2025" s="18">
        <v>37894300</v>
      </c>
      <c r="D2025" s="21">
        <f t="shared" si="1"/>
        <v>395116196</v>
      </c>
    </row>
    <row r="2026" spans="1:4" ht="14">
      <c r="A2026" s="16">
        <v>42401</v>
      </c>
      <c r="B2026" s="17">
        <v>371.22</v>
      </c>
      <c r="C2026" s="18">
        <v>51656700</v>
      </c>
      <c r="D2026" s="21">
        <f t="shared" si="1"/>
        <v>378185696</v>
      </c>
    </row>
    <row r="2027" spans="1:4" ht="14">
      <c r="A2027" s="16">
        <v>42402</v>
      </c>
      <c r="B2027" s="17">
        <v>372.93</v>
      </c>
      <c r="C2027" s="18">
        <v>40378700</v>
      </c>
      <c r="D2027" s="21">
        <f t="shared" si="1"/>
        <v>370779996</v>
      </c>
    </row>
    <row r="2028" spans="1:4" ht="14">
      <c r="A2028" s="16">
        <v>42403</v>
      </c>
      <c r="B2028" s="17">
        <v>368.1</v>
      </c>
      <c r="C2028" s="18">
        <v>45933400</v>
      </c>
      <c r="D2028" s="21">
        <f t="shared" si="1"/>
        <v>353011696</v>
      </c>
    </row>
    <row r="2029" spans="1:4" ht="14">
      <c r="A2029" s="16">
        <v>42404</v>
      </c>
      <c r="B2029" s="17">
        <v>389.72</v>
      </c>
      <c r="C2029" s="18">
        <v>69285504</v>
      </c>
      <c r="D2029" s="21">
        <f t="shared" si="1"/>
        <v>351520696</v>
      </c>
    </row>
    <row r="2030" spans="1:4" ht="14">
      <c r="A2030" s="16">
        <v>42405</v>
      </c>
      <c r="B2030" s="17">
        <v>384.4</v>
      </c>
      <c r="C2030" s="18">
        <v>43825000</v>
      </c>
      <c r="D2030" s="21">
        <f t="shared" si="1"/>
        <v>361558300</v>
      </c>
    </row>
    <row r="2031" spans="1:4" ht="14">
      <c r="A2031" s="16">
        <v>42406</v>
      </c>
      <c r="B2031" s="17">
        <v>374.63</v>
      </c>
      <c r="C2031" s="18">
        <v>49249300</v>
      </c>
      <c r="D2031" s="21">
        <f t="shared" si="1"/>
        <v>319258004</v>
      </c>
    </row>
    <row r="2032" spans="1:4" ht="14">
      <c r="A2032" s="16">
        <v>42407</v>
      </c>
      <c r="B2032" s="17">
        <v>375.15</v>
      </c>
      <c r="C2032" s="18">
        <v>37076300</v>
      </c>
      <c r="D2032" s="21">
        <f t="shared" si="1"/>
        <v>338222904</v>
      </c>
    </row>
    <row r="2033" spans="1:4" ht="14">
      <c r="A2033" s="16">
        <v>42408</v>
      </c>
      <c r="B2033" s="17">
        <v>370.81</v>
      </c>
      <c r="C2033" s="18">
        <v>47671100</v>
      </c>
      <c r="D2033" s="21">
        <f t="shared" si="1"/>
        <v>337404904</v>
      </c>
    </row>
    <row r="2034" spans="1:4" ht="14">
      <c r="A2034" s="16">
        <v>42409</v>
      </c>
      <c r="B2034" s="17">
        <v>373.51</v>
      </c>
      <c r="C2034" s="18">
        <v>55318500</v>
      </c>
      <c r="D2034" s="21">
        <f t="shared" ref="D2034:D2288" si="2">IF(C2027&lt;&gt;"",SUM(C2027:C2033),"")</f>
        <v>333419304</v>
      </c>
    </row>
    <row r="2035" spans="1:4" ht="14">
      <c r="A2035" s="16">
        <v>42410</v>
      </c>
      <c r="B2035" s="17">
        <v>379.08</v>
      </c>
      <c r="C2035" s="18">
        <v>85130896</v>
      </c>
      <c r="D2035" s="21">
        <f t="shared" si="2"/>
        <v>348359104</v>
      </c>
    </row>
    <row r="2036" spans="1:4" ht="14">
      <c r="A2036" s="16">
        <v>42411</v>
      </c>
      <c r="B2036" s="17">
        <v>377.64</v>
      </c>
      <c r="C2036" s="18">
        <v>74375600</v>
      </c>
      <c r="D2036" s="21">
        <f t="shared" si="2"/>
        <v>387556600</v>
      </c>
    </row>
    <row r="2037" spans="1:4" ht="14">
      <c r="A2037" s="16">
        <v>42412</v>
      </c>
      <c r="B2037" s="17">
        <v>382.29</v>
      </c>
      <c r="C2037" s="18">
        <v>67042800</v>
      </c>
      <c r="D2037" s="21">
        <f t="shared" si="2"/>
        <v>392646696</v>
      </c>
    </row>
    <row r="2038" spans="1:4" ht="14">
      <c r="A2038" s="16">
        <v>42413</v>
      </c>
      <c r="B2038" s="17">
        <v>389.6</v>
      </c>
      <c r="C2038" s="18">
        <v>61911700</v>
      </c>
      <c r="D2038" s="21">
        <f t="shared" si="2"/>
        <v>415864496</v>
      </c>
    </row>
    <row r="2039" spans="1:4" ht="14">
      <c r="A2039" s="16">
        <v>42414</v>
      </c>
      <c r="B2039" s="17">
        <v>406.15</v>
      </c>
      <c r="C2039" s="18">
        <v>74469800</v>
      </c>
      <c r="D2039" s="21">
        <f t="shared" si="2"/>
        <v>428526896</v>
      </c>
    </row>
    <row r="2040" spans="1:4" ht="14">
      <c r="A2040" s="16">
        <v>42415</v>
      </c>
      <c r="B2040" s="17">
        <v>399.27</v>
      </c>
      <c r="C2040" s="18">
        <v>74070496</v>
      </c>
      <c r="D2040" s="21">
        <f t="shared" si="2"/>
        <v>465920396</v>
      </c>
    </row>
    <row r="2041" spans="1:4" ht="14">
      <c r="A2041" s="16">
        <v>42416</v>
      </c>
      <c r="B2041" s="17">
        <v>407.04</v>
      </c>
      <c r="C2041" s="18">
        <v>73093104</v>
      </c>
      <c r="D2041" s="21">
        <f t="shared" si="2"/>
        <v>492319792</v>
      </c>
    </row>
    <row r="2042" spans="1:4" ht="14">
      <c r="A2042" s="16">
        <v>42417</v>
      </c>
      <c r="B2042" s="17">
        <v>415.32</v>
      </c>
      <c r="C2042" s="18">
        <v>83193600</v>
      </c>
      <c r="D2042" s="21">
        <f t="shared" si="2"/>
        <v>510094396</v>
      </c>
    </row>
    <row r="2043" spans="1:4" ht="14">
      <c r="A2043" s="16">
        <v>42418</v>
      </c>
      <c r="B2043" s="17">
        <v>421.29</v>
      </c>
      <c r="C2043" s="18">
        <v>76752600</v>
      </c>
      <c r="D2043" s="21">
        <f t="shared" si="2"/>
        <v>508157100</v>
      </c>
    </row>
    <row r="2044" spans="1:4" ht="14">
      <c r="A2044" s="16">
        <v>42419</v>
      </c>
      <c r="B2044" s="17">
        <v>419.63</v>
      </c>
      <c r="C2044" s="18">
        <v>55711300</v>
      </c>
      <c r="D2044" s="21">
        <f t="shared" si="2"/>
        <v>510534100</v>
      </c>
    </row>
    <row r="2045" spans="1:4" ht="14">
      <c r="A2045" s="16">
        <v>42420</v>
      </c>
      <c r="B2045" s="17">
        <v>440.2</v>
      </c>
      <c r="C2045" s="18">
        <v>93992096</v>
      </c>
      <c r="D2045" s="21">
        <f t="shared" si="2"/>
        <v>499202600</v>
      </c>
    </row>
    <row r="2046" spans="1:4" ht="14">
      <c r="A2046" s="16">
        <v>42421</v>
      </c>
      <c r="B2046" s="17">
        <v>438.72</v>
      </c>
      <c r="C2046" s="18">
        <v>89820704</v>
      </c>
      <c r="D2046" s="21">
        <f t="shared" si="2"/>
        <v>531282996</v>
      </c>
    </row>
    <row r="2047" spans="1:4" ht="14">
      <c r="A2047" s="16">
        <v>42422</v>
      </c>
      <c r="B2047" s="17">
        <v>437.54</v>
      </c>
      <c r="C2047" s="18">
        <v>85385200</v>
      </c>
      <c r="D2047" s="21">
        <f t="shared" si="2"/>
        <v>546633900</v>
      </c>
    </row>
    <row r="2048" spans="1:4" ht="14">
      <c r="A2048" s="16">
        <v>42423</v>
      </c>
      <c r="B2048" s="17">
        <v>420.03</v>
      </c>
      <c r="C2048" s="18">
        <v>85244896</v>
      </c>
      <c r="D2048" s="21">
        <f t="shared" si="2"/>
        <v>557948604</v>
      </c>
    </row>
    <row r="2049" spans="1:4" ht="14">
      <c r="A2049" s="16">
        <v>42424</v>
      </c>
      <c r="B2049" s="17">
        <v>424</v>
      </c>
      <c r="C2049" s="18">
        <v>67743696</v>
      </c>
      <c r="D2049" s="21">
        <f t="shared" si="2"/>
        <v>570100396</v>
      </c>
    </row>
    <row r="2050" spans="1:4" ht="14">
      <c r="A2050" s="16">
        <v>42425</v>
      </c>
      <c r="B2050" s="17">
        <v>424.09</v>
      </c>
      <c r="C2050" s="18">
        <v>70798000</v>
      </c>
      <c r="D2050" s="21">
        <f t="shared" si="2"/>
        <v>554650492</v>
      </c>
    </row>
    <row r="2051" spans="1:4" ht="14">
      <c r="A2051" s="16">
        <v>42426</v>
      </c>
      <c r="B2051" s="17">
        <v>431.76</v>
      </c>
      <c r="C2051" s="18">
        <v>61486000</v>
      </c>
      <c r="D2051" s="21">
        <f t="shared" si="2"/>
        <v>548695892</v>
      </c>
    </row>
    <row r="2052" spans="1:4" ht="14">
      <c r="A2052" s="16">
        <v>42427</v>
      </c>
      <c r="B2052" s="17">
        <v>432.95</v>
      </c>
      <c r="C2052" s="18">
        <v>41893600</v>
      </c>
      <c r="D2052" s="21">
        <f t="shared" si="2"/>
        <v>554470592</v>
      </c>
    </row>
    <row r="2053" spans="1:4" ht="14">
      <c r="A2053" s="16">
        <v>42428</v>
      </c>
      <c r="B2053" s="17">
        <v>433.1</v>
      </c>
      <c r="C2053" s="18">
        <v>53033400</v>
      </c>
      <c r="D2053" s="21">
        <f t="shared" si="2"/>
        <v>502372096</v>
      </c>
    </row>
    <row r="2054" spans="1:4" ht="14">
      <c r="A2054" s="16">
        <v>42429</v>
      </c>
      <c r="B2054" s="17">
        <v>437.78</v>
      </c>
      <c r="C2054" s="18">
        <v>60694700</v>
      </c>
      <c r="D2054" s="21">
        <f t="shared" si="2"/>
        <v>465584792</v>
      </c>
    </row>
    <row r="2055" spans="1:4" ht="14">
      <c r="A2055" s="16">
        <v>42430</v>
      </c>
      <c r="B2055" s="17">
        <v>432.81</v>
      </c>
      <c r="C2055" s="18">
        <v>74895800</v>
      </c>
      <c r="D2055" s="21">
        <f t="shared" si="2"/>
        <v>440894292</v>
      </c>
    </row>
    <row r="2056" spans="1:4" ht="14">
      <c r="A2056" s="16">
        <v>42431</v>
      </c>
      <c r="B2056" s="17">
        <v>423.08</v>
      </c>
      <c r="C2056" s="18">
        <v>74955296</v>
      </c>
      <c r="D2056" s="21">
        <f t="shared" si="2"/>
        <v>430545196</v>
      </c>
    </row>
    <row r="2057" spans="1:4" ht="14">
      <c r="A2057" s="16">
        <v>42432</v>
      </c>
      <c r="B2057" s="17">
        <v>419.27</v>
      </c>
      <c r="C2057" s="18">
        <v>100484000</v>
      </c>
      <c r="D2057" s="21">
        <f t="shared" si="2"/>
        <v>437756796</v>
      </c>
    </row>
    <row r="2058" spans="1:4" ht="14">
      <c r="A2058" s="16">
        <v>42433</v>
      </c>
      <c r="B2058" s="17">
        <v>407.99</v>
      </c>
      <c r="C2058" s="18">
        <v>90856096</v>
      </c>
      <c r="D2058" s="21">
        <f t="shared" si="2"/>
        <v>467442796</v>
      </c>
    </row>
    <row r="2059" spans="1:4" ht="14">
      <c r="A2059" s="16">
        <v>42434</v>
      </c>
      <c r="B2059" s="17">
        <v>397.31</v>
      </c>
      <c r="C2059" s="18">
        <v>135384992</v>
      </c>
      <c r="D2059" s="21">
        <f t="shared" si="2"/>
        <v>496812892</v>
      </c>
    </row>
    <row r="2060" spans="1:4" ht="14">
      <c r="A2060" s="16">
        <v>42435</v>
      </c>
      <c r="B2060" s="17">
        <v>403.71</v>
      </c>
      <c r="C2060" s="18">
        <v>91212496</v>
      </c>
      <c r="D2060" s="21">
        <f t="shared" si="2"/>
        <v>590304284</v>
      </c>
    </row>
    <row r="2061" spans="1:4" ht="14">
      <c r="A2061" s="16">
        <v>42436</v>
      </c>
      <c r="B2061" s="17">
        <v>413.23</v>
      </c>
      <c r="C2061" s="18">
        <v>85762400</v>
      </c>
      <c r="D2061" s="21">
        <f t="shared" si="2"/>
        <v>628483380</v>
      </c>
    </row>
    <row r="2062" spans="1:4" ht="14">
      <c r="A2062" s="16">
        <v>42437</v>
      </c>
      <c r="B2062" s="17">
        <v>411.43</v>
      </c>
      <c r="C2062" s="18">
        <v>70311696</v>
      </c>
      <c r="D2062" s="21">
        <f t="shared" si="2"/>
        <v>653551080</v>
      </c>
    </row>
    <row r="2063" spans="1:4" ht="14">
      <c r="A2063" s="16">
        <v>42438</v>
      </c>
      <c r="B2063" s="17">
        <v>412.54</v>
      </c>
      <c r="C2063" s="18">
        <v>70012304</v>
      </c>
      <c r="D2063" s="21">
        <f t="shared" si="2"/>
        <v>648966976</v>
      </c>
    </row>
    <row r="2064" spans="1:4" ht="14">
      <c r="A2064" s="16">
        <v>42439</v>
      </c>
      <c r="B2064" s="17">
        <v>416.34</v>
      </c>
      <c r="C2064" s="18">
        <v>81022896</v>
      </c>
      <c r="D2064" s="21">
        <f t="shared" si="2"/>
        <v>644023984</v>
      </c>
    </row>
    <row r="2065" spans="1:4" ht="14">
      <c r="A2065" s="16">
        <v>42440</v>
      </c>
      <c r="B2065" s="17">
        <v>419.51</v>
      </c>
      <c r="C2065" s="18">
        <v>73969696</v>
      </c>
      <c r="D2065" s="21">
        <f t="shared" si="2"/>
        <v>624562880</v>
      </c>
    </row>
    <row r="2066" spans="1:4" ht="14">
      <c r="A2066" s="16">
        <v>42441</v>
      </c>
      <c r="B2066" s="17">
        <v>410.26</v>
      </c>
      <c r="C2066" s="18">
        <v>92712896</v>
      </c>
      <c r="D2066" s="21">
        <f t="shared" si="2"/>
        <v>607676480</v>
      </c>
    </row>
    <row r="2067" spans="1:4" ht="14">
      <c r="A2067" s="16">
        <v>42442</v>
      </c>
      <c r="B2067" s="17">
        <v>411.81</v>
      </c>
      <c r="C2067" s="18">
        <v>74322800</v>
      </c>
      <c r="D2067" s="21">
        <f t="shared" si="2"/>
        <v>565004384</v>
      </c>
    </row>
    <row r="2068" spans="1:4" ht="14">
      <c r="A2068" s="16">
        <v>42443</v>
      </c>
      <c r="B2068" s="17">
        <v>415.03</v>
      </c>
      <c r="C2068" s="18">
        <v>95259400</v>
      </c>
      <c r="D2068" s="21">
        <f t="shared" si="2"/>
        <v>548114688</v>
      </c>
    </row>
    <row r="2069" spans="1:4" ht="14">
      <c r="A2069" s="16">
        <v>42444</v>
      </c>
      <c r="B2069" s="17">
        <v>415.27</v>
      </c>
      <c r="C2069" s="18">
        <v>66781700</v>
      </c>
      <c r="D2069" s="21">
        <f t="shared" si="2"/>
        <v>557611688</v>
      </c>
    </row>
    <row r="2070" spans="1:4" ht="14">
      <c r="A2070" s="16">
        <v>42445</v>
      </c>
      <c r="B2070" s="17">
        <v>417.02</v>
      </c>
      <c r="C2070" s="18">
        <v>65185800</v>
      </c>
      <c r="D2070" s="21">
        <f t="shared" si="2"/>
        <v>554081692</v>
      </c>
    </row>
    <row r="2071" spans="1:4" ht="14">
      <c r="A2071" s="16">
        <v>42446</v>
      </c>
      <c r="B2071" s="17">
        <v>418.61</v>
      </c>
      <c r="C2071" s="18">
        <v>83528600</v>
      </c>
      <c r="D2071" s="21">
        <f t="shared" si="2"/>
        <v>549255188</v>
      </c>
    </row>
    <row r="2072" spans="1:4" ht="14">
      <c r="A2072" s="16">
        <v>42447</v>
      </c>
      <c r="B2072" s="17">
        <v>408.9</v>
      </c>
      <c r="C2072" s="18">
        <v>104940000</v>
      </c>
      <c r="D2072" s="21">
        <f t="shared" si="2"/>
        <v>551760892</v>
      </c>
    </row>
    <row r="2073" spans="1:4" ht="14">
      <c r="A2073" s="16">
        <v>42448</v>
      </c>
      <c r="B2073" s="17">
        <v>409.12</v>
      </c>
      <c r="C2073" s="18">
        <v>58423000</v>
      </c>
      <c r="D2073" s="21">
        <f t="shared" si="2"/>
        <v>582731196</v>
      </c>
    </row>
    <row r="2074" spans="1:4" ht="14">
      <c r="A2074" s="16">
        <v>42449</v>
      </c>
      <c r="B2074" s="17">
        <v>412.06</v>
      </c>
      <c r="C2074" s="18">
        <v>45947900</v>
      </c>
      <c r="D2074" s="21">
        <f t="shared" si="2"/>
        <v>548441300</v>
      </c>
    </row>
    <row r="2075" spans="1:4" ht="14">
      <c r="A2075" s="16">
        <v>42450</v>
      </c>
      <c r="B2075" s="17">
        <v>411.6</v>
      </c>
      <c r="C2075" s="18">
        <v>61655400</v>
      </c>
      <c r="D2075" s="21">
        <f t="shared" si="2"/>
        <v>520066400</v>
      </c>
    </row>
    <row r="2076" spans="1:4" ht="14">
      <c r="A2076" s="16">
        <v>42451</v>
      </c>
      <c r="B2076" s="17">
        <v>416.58</v>
      </c>
      <c r="C2076" s="18">
        <v>66813300</v>
      </c>
      <c r="D2076" s="21">
        <f t="shared" si="2"/>
        <v>486462400</v>
      </c>
    </row>
    <row r="2077" spans="1:4" ht="14">
      <c r="A2077" s="16">
        <v>42452</v>
      </c>
      <c r="B2077" s="17">
        <v>417.38</v>
      </c>
      <c r="C2077" s="18">
        <v>61444200</v>
      </c>
      <c r="D2077" s="21">
        <f t="shared" si="2"/>
        <v>486494000</v>
      </c>
    </row>
    <row r="2078" spans="1:4" ht="14">
      <c r="A2078" s="16">
        <v>42453</v>
      </c>
      <c r="B2078" s="17">
        <v>413.56</v>
      </c>
      <c r="C2078" s="18">
        <v>68346704</v>
      </c>
      <c r="D2078" s="21">
        <f t="shared" si="2"/>
        <v>482752400</v>
      </c>
    </row>
    <row r="2079" spans="1:4" ht="14">
      <c r="A2079" s="16">
        <v>42454</v>
      </c>
      <c r="B2079" s="17">
        <v>416.37</v>
      </c>
      <c r="C2079" s="18">
        <v>52560000</v>
      </c>
      <c r="D2079" s="21">
        <f t="shared" si="2"/>
        <v>467570504</v>
      </c>
    </row>
    <row r="2080" spans="1:4" ht="14">
      <c r="A2080" s="16">
        <v>42455</v>
      </c>
      <c r="B2080" s="17">
        <v>416.82</v>
      </c>
      <c r="C2080" s="18">
        <v>44650400</v>
      </c>
      <c r="D2080" s="21">
        <f t="shared" si="2"/>
        <v>415190504</v>
      </c>
    </row>
    <row r="2081" spans="1:4" ht="14">
      <c r="A2081" s="16">
        <v>42456</v>
      </c>
      <c r="B2081" s="17">
        <v>425.45</v>
      </c>
      <c r="C2081" s="18">
        <v>71229400</v>
      </c>
      <c r="D2081" s="21">
        <f t="shared" si="2"/>
        <v>401417904</v>
      </c>
    </row>
    <row r="2082" spans="1:4" ht="14">
      <c r="A2082" s="16">
        <v>42457</v>
      </c>
      <c r="B2082" s="17">
        <v>422.92</v>
      </c>
      <c r="C2082" s="18">
        <v>68522800</v>
      </c>
      <c r="D2082" s="21">
        <f t="shared" si="2"/>
        <v>426699404</v>
      </c>
    </row>
    <row r="2083" spans="1:4" ht="14">
      <c r="A2083" s="16">
        <v>42458</v>
      </c>
      <c r="B2083" s="17">
        <v>415.86</v>
      </c>
      <c r="C2083" s="18">
        <v>75411504</v>
      </c>
      <c r="D2083" s="21">
        <f t="shared" si="2"/>
        <v>433566804</v>
      </c>
    </row>
    <row r="2084" spans="1:4" ht="14">
      <c r="A2084" s="16">
        <v>42459</v>
      </c>
      <c r="B2084" s="17">
        <v>412.78</v>
      </c>
      <c r="C2084" s="18">
        <v>66034100</v>
      </c>
      <c r="D2084" s="21">
        <f t="shared" si="2"/>
        <v>442165008</v>
      </c>
    </row>
    <row r="2085" spans="1:4" ht="14">
      <c r="A2085" s="16">
        <v>42460</v>
      </c>
      <c r="B2085" s="17">
        <v>415.96</v>
      </c>
      <c r="C2085" s="18">
        <v>60215200</v>
      </c>
      <c r="D2085" s="21">
        <f t="shared" si="2"/>
        <v>446754908</v>
      </c>
    </row>
    <row r="2086" spans="1:4" ht="14">
      <c r="A2086" s="16">
        <v>42461</v>
      </c>
      <c r="B2086" s="17">
        <v>417.2</v>
      </c>
      <c r="C2086" s="18">
        <v>51235700</v>
      </c>
      <c r="D2086" s="21">
        <f t="shared" si="2"/>
        <v>438623404</v>
      </c>
    </row>
    <row r="2087" spans="1:4" ht="14">
      <c r="A2087" s="16">
        <v>42462</v>
      </c>
      <c r="B2087" s="17">
        <v>419.76</v>
      </c>
      <c r="C2087" s="18">
        <v>45681200</v>
      </c>
      <c r="D2087" s="21">
        <f t="shared" si="2"/>
        <v>437299104</v>
      </c>
    </row>
    <row r="2088" spans="1:4" ht="14">
      <c r="A2088" s="16">
        <v>42463</v>
      </c>
      <c r="B2088" s="17">
        <v>420.07</v>
      </c>
      <c r="C2088" s="18">
        <v>38053700</v>
      </c>
      <c r="D2088" s="21">
        <f t="shared" si="2"/>
        <v>438329904</v>
      </c>
    </row>
    <row r="2089" spans="1:4" ht="14">
      <c r="A2089" s="16">
        <v>42464</v>
      </c>
      <c r="B2089" s="17">
        <v>419.54</v>
      </c>
      <c r="C2089" s="18">
        <v>50634300</v>
      </c>
      <c r="D2089" s="21">
        <f t="shared" si="2"/>
        <v>405154204</v>
      </c>
    </row>
    <row r="2090" spans="1:4" ht="14">
      <c r="A2090" s="16">
        <v>42465</v>
      </c>
      <c r="B2090" s="17">
        <v>422.5</v>
      </c>
      <c r="C2090" s="18">
        <v>60718000</v>
      </c>
      <c r="D2090" s="21">
        <f t="shared" si="2"/>
        <v>387265704</v>
      </c>
    </row>
    <row r="2091" spans="1:4" ht="14">
      <c r="A2091" s="16">
        <v>42466</v>
      </c>
      <c r="B2091" s="17">
        <v>421.91</v>
      </c>
      <c r="C2091" s="18">
        <v>59091000</v>
      </c>
      <c r="D2091" s="21">
        <f t="shared" si="2"/>
        <v>372572200</v>
      </c>
    </row>
    <row r="2092" spans="1:4" ht="14">
      <c r="A2092" s="16">
        <v>42467</v>
      </c>
      <c r="B2092" s="17">
        <v>421.47</v>
      </c>
      <c r="C2092" s="18">
        <v>57858600</v>
      </c>
      <c r="D2092" s="21">
        <f t="shared" si="2"/>
        <v>365629100</v>
      </c>
    </row>
    <row r="2093" spans="1:4" ht="14">
      <c r="A2093" s="16">
        <v>42468</v>
      </c>
      <c r="B2093" s="17">
        <v>418.64</v>
      </c>
      <c r="C2093" s="18">
        <v>63454700</v>
      </c>
      <c r="D2093" s="21">
        <f t="shared" si="2"/>
        <v>363272500</v>
      </c>
    </row>
    <row r="2094" spans="1:4" ht="14">
      <c r="A2094" s="16">
        <v>42469</v>
      </c>
      <c r="B2094" s="17">
        <v>418.76</v>
      </c>
      <c r="C2094" s="18">
        <v>49792700</v>
      </c>
      <c r="D2094" s="21">
        <f t="shared" si="2"/>
        <v>375491500</v>
      </c>
    </row>
    <row r="2095" spans="1:4" ht="14">
      <c r="A2095" s="16">
        <v>42470</v>
      </c>
      <c r="B2095" s="17">
        <v>421.95</v>
      </c>
      <c r="C2095" s="18">
        <v>73478600</v>
      </c>
      <c r="D2095" s="21">
        <f t="shared" si="2"/>
        <v>379603000</v>
      </c>
    </row>
    <row r="2096" spans="1:4" ht="14">
      <c r="A2096" s="16">
        <v>42471</v>
      </c>
      <c r="B2096" s="17">
        <v>423.27</v>
      </c>
      <c r="C2096" s="18">
        <v>50747500</v>
      </c>
      <c r="D2096" s="21">
        <f t="shared" si="2"/>
        <v>415027900</v>
      </c>
    </row>
    <row r="2097" spans="1:4" ht="14">
      <c r="A2097" s="16">
        <v>42472</v>
      </c>
      <c r="B2097" s="17">
        <v>427.43</v>
      </c>
      <c r="C2097" s="18">
        <v>70728800</v>
      </c>
      <c r="D2097" s="21">
        <f t="shared" si="2"/>
        <v>415141100</v>
      </c>
    </row>
    <row r="2098" spans="1:4" ht="14">
      <c r="A2098" s="16">
        <v>42473</v>
      </c>
      <c r="B2098" s="17">
        <v>424.87</v>
      </c>
      <c r="C2098" s="18">
        <v>69060400</v>
      </c>
      <c r="D2098" s="21">
        <f t="shared" si="2"/>
        <v>425151900</v>
      </c>
    </row>
    <row r="2099" spans="1:4" ht="14">
      <c r="A2099" s="16">
        <v>42474</v>
      </c>
      <c r="B2099" s="17">
        <v>425.86</v>
      </c>
      <c r="C2099" s="18">
        <v>45281000</v>
      </c>
      <c r="D2099" s="21">
        <f t="shared" si="2"/>
        <v>435121300</v>
      </c>
    </row>
    <row r="2100" spans="1:4" ht="14">
      <c r="A2100" s="16">
        <v>42475</v>
      </c>
      <c r="B2100" s="17">
        <v>430.72</v>
      </c>
      <c r="C2100" s="18">
        <v>54801500</v>
      </c>
      <c r="D2100" s="21">
        <f t="shared" si="2"/>
        <v>422543700</v>
      </c>
    </row>
    <row r="2101" spans="1:4" ht="14">
      <c r="A2101" s="16">
        <v>42476</v>
      </c>
      <c r="B2101" s="17">
        <v>432.22</v>
      </c>
      <c r="C2101" s="18">
        <v>39392800</v>
      </c>
      <c r="D2101" s="21">
        <f t="shared" si="2"/>
        <v>413890500</v>
      </c>
    </row>
    <row r="2102" spans="1:4" ht="14">
      <c r="A2102" s="16">
        <v>42477</v>
      </c>
      <c r="B2102" s="17">
        <v>429.34</v>
      </c>
      <c r="C2102" s="18">
        <v>52125900</v>
      </c>
      <c r="D2102" s="21">
        <f t="shared" si="2"/>
        <v>403490600</v>
      </c>
    </row>
    <row r="2103" spans="1:4" ht="14">
      <c r="A2103" s="16">
        <v>42478</v>
      </c>
      <c r="B2103" s="17">
        <v>429.66</v>
      </c>
      <c r="C2103" s="18">
        <v>55670900</v>
      </c>
      <c r="D2103" s="21">
        <f t="shared" si="2"/>
        <v>382137900</v>
      </c>
    </row>
    <row r="2104" spans="1:4" ht="14">
      <c r="A2104" s="16">
        <v>42479</v>
      </c>
      <c r="B2104" s="17">
        <v>437.57</v>
      </c>
      <c r="C2104" s="18">
        <v>52810500</v>
      </c>
      <c r="D2104" s="21">
        <f t="shared" si="2"/>
        <v>387061300</v>
      </c>
    </row>
    <row r="2105" spans="1:4" ht="14">
      <c r="A2105" s="16">
        <v>42480</v>
      </c>
      <c r="B2105" s="17">
        <v>442.66</v>
      </c>
      <c r="C2105" s="18">
        <v>72890096</v>
      </c>
      <c r="D2105" s="21">
        <f t="shared" si="2"/>
        <v>369143000</v>
      </c>
    </row>
    <row r="2106" spans="1:4" ht="14">
      <c r="A2106" s="16">
        <v>42481</v>
      </c>
      <c r="B2106" s="17">
        <v>452.16</v>
      </c>
      <c r="C2106" s="18">
        <v>68204704</v>
      </c>
      <c r="D2106" s="21">
        <f t="shared" si="2"/>
        <v>372972696</v>
      </c>
    </row>
    <row r="2107" spans="1:4" ht="14">
      <c r="A2107" s="16">
        <v>42482</v>
      </c>
      <c r="B2107" s="17">
        <v>448.13</v>
      </c>
      <c r="C2107" s="18">
        <v>58804400</v>
      </c>
      <c r="D2107" s="21">
        <f t="shared" si="2"/>
        <v>395896400</v>
      </c>
    </row>
    <row r="2108" spans="1:4" ht="14">
      <c r="A2108" s="16">
        <v>42483</v>
      </c>
      <c r="B2108" s="17">
        <v>453.91</v>
      </c>
      <c r="C2108" s="18">
        <v>50485400</v>
      </c>
      <c r="D2108" s="21">
        <f t="shared" si="2"/>
        <v>399899300</v>
      </c>
    </row>
    <row r="2109" spans="1:4" ht="14">
      <c r="A2109" s="16">
        <v>42484</v>
      </c>
      <c r="B2109" s="17">
        <v>463.38</v>
      </c>
      <c r="C2109" s="18">
        <v>68198400</v>
      </c>
      <c r="D2109" s="21">
        <f t="shared" si="2"/>
        <v>410991900</v>
      </c>
    </row>
    <row r="2110" spans="1:4" ht="14">
      <c r="A2110" s="16">
        <v>42485</v>
      </c>
      <c r="B2110" s="17">
        <v>465.32</v>
      </c>
      <c r="C2110" s="18">
        <v>87091800</v>
      </c>
      <c r="D2110" s="21">
        <f t="shared" si="2"/>
        <v>427064400</v>
      </c>
    </row>
    <row r="2111" spans="1:4" ht="14">
      <c r="A2111" s="16">
        <v>42486</v>
      </c>
      <c r="B2111" s="17">
        <v>469.61</v>
      </c>
      <c r="C2111" s="18">
        <v>78971904</v>
      </c>
      <c r="D2111" s="21">
        <f t="shared" si="2"/>
        <v>458485300</v>
      </c>
    </row>
    <row r="2112" spans="1:4" ht="14">
      <c r="A2112" s="16">
        <v>42487</v>
      </c>
      <c r="B2112" s="17">
        <v>445.74</v>
      </c>
      <c r="C2112" s="18">
        <v>93564896</v>
      </c>
      <c r="D2112" s="21">
        <f t="shared" si="2"/>
        <v>484646704</v>
      </c>
    </row>
    <row r="2113" spans="1:4" ht="14">
      <c r="A2113" s="16">
        <v>42488</v>
      </c>
      <c r="B2113" s="17">
        <v>451.06</v>
      </c>
      <c r="C2113" s="18">
        <v>74064704</v>
      </c>
      <c r="D2113" s="21">
        <f t="shared" si="2"/>
        <v>505321504</v>
      </c>
    </row>
    <row r="2114" spans="1:4" ht="14">
      <c r="A2114" s="16">
        <v>42489</v>
      </c>
      <c r="B2114" s="17">
        <v>457.01</v>
      </c>
      <c r="C2114" s="18">
        <v>49258500</v>
      </c>
      <c r="D2114" s="21">
        <f t="shared" si="2"/>
        <v>511181504</v>
      </c>
    </row>
    <row r="2115" spans="1:4" ht="14">
      <c r="A2115" s="16">
        <v>42490</v>
      </c>
      <c r="B2115" s="17">
        <v>449.9</v>
      </c>
      <c r="C2115" s="18">
        <v>69322600</v>
      </c>
      <c r="D2115" s="21">
        <f t="shared" si="2"/>
        <v>501635604</v>
      </c>
    </row>
    <row r="2116" spans="1:4" ht="14">
      <c r="A2116" s="16">
        <v>42491</v>
      </c>
      <c r="B2116" s="17">
        <v>455.01</v>
      </c>
      <c r="C2116" s="18">
        <v>40660100</v>
      </c>
      <c r="D2116" s="21">
        <f t="shared" si="2"/>
        <v>520472804</v>
      </c>
    </row>
    <row r="2117" spans="1:4" ht="14">
      <c r="A2117" s="16">
        <v>42492</v>
      </c>
      <c r="B2117" s="17">
        <v>444.93</v>
      </c>
      <c r="C2117" s="18">
        <v>92127000</v>
      </c>
      <c r="D2117" s="21">
        <f t="shared" si="2"/>
        <v>492934504</v>
      </c>
    </row>
    <row r="2118" spans="1:4" ht="14">
      <c r="A2118" s="16">
        <v>42493</v>
      </c>
      <c r="B2118" s="17">
        <v>451.63</v>
      </c>
      <c r="C2118" s="18">
        <v>59366400</v>
      </c>
      <c r="D2118" s="21">
        <f t="shared" si="2"/>
        <v>497969704</v>
      </c>
    </row>
    <row r="2119" spans="1:4" ht="14">
      <c r="A2119" s="16">
        <v>42494</v>
      </c>
      <c r="B2119" s="17">
        <v>448.37</v>
      </c>
      <c r="C2119" s="18">
        <v>50407300</v>
      </c>
      <c r="D2119" s="21">
        <f t="shared" si="2"/>
        <v>478364200</v>
      </c>
    </row>
    <row r="2120" spans="1:4" ht="14">
      <c r="A2120" s="16">
        <v>42495</v>
      </c>
      <c r="B2120" s="17">
        <v>449.34</v>
      </c>
      <c r="C2120" s="18">
        <v>50440800</v>
      </c>
      <c r="D2120" s="21">
        <f t="shared" si="2"/>
        <v>435206604</v>
      </c>
    </row>
    <row r="2121" spans="1:4" ht="14">
      <c r="A2121" s="16">
        <v>42496</v>
      </c>
      <c r="B2121" s="17">
        <v>461.69</v>
      </c>
      <c r="C2121" s="18">
        <v>72796800</v>
      </c>
      <c r="D2121" s="21">
        <f t="shared" si="2"/>
        <v>411582700</v>
      </c>
    </row>
    <row r="2122" spans="1:4" ht="14">
      <c r="A2122" s="16">
        <v>42497</v>
      </c>
      <c r="B2122" s="17">
        <v>461.36</v>
      </c>
      <c r="C2122" s="18">
        <v>38364500</v>
      </c>
      <c r="D2122" s="21">
        <f t="shared" si="2"/>
        <v>435121000</v>
      </c>
    </row>
    <row r="2123" spans="1:4" ht="14">
      <c r="A2123" s="16">
        <v>42498</v>
      </c>
      <c r="B2123" s="17">
        <v>461.38</v>
      </c>
      <c r="C2123" s="18">
        <v>40315000</v>
      </c>
      <c r="D2123" s="21">
        <f t="shared" si="2"/>
        <v>404162900</v>
      </c>
    </row>
    <row r="2124" spans="1:4" ht="14">
      <c r="A2124" s="16">
        <v>42499</v>
      </c>
      <c r="B2124" s="17">
        <v>463.46</v>
      </c>
      <c r="C2124" s="18">
        <v>55493100</v>
      </c>
      <c r="D2124" s="21">
        <f t="shared" si="2"/>
        <v>403817800</v>
      </c>
    </row>
    <row r="2125" spans="1:4" ht="14">
      <c r="A2125" s="16">
        <v>42500</v>
      </c>
      <c r="B2125" s="17">
        <v>451.08</v>
      </c>
      <c r="C2125" s="18">
        <v>58956100</v>
      </c>
      <c r="D2125" s="21">
        <f t="shared" si="2"/>
        <v>367183900</v>
      </c>
    </row>
    <row r="2126" spans="1:4" ht="14">
      <c r="A2126" s="16">
        <v>42501</v>
      </c>
      <c r="B2126" s="17">
        <v>453.9</v>
      </c>
      <c r="C2126" s="18">
        <v>50605200</v>
      </c>
      <c r="D2126" s="21">
        <f t="shared" si="2"/>
        <v>366773600</v>
      </c>
    </row>
    <row r="2127" spans="1:4" ht="14">
      <c r="A2127" s="16">
        <v>42502</v>
      </c>
      <c r="B2127" s="17">
        <v>455.61</v>
      </c>
      <c r="C2127" s="18">
        <v>59849300</v>
      </c>
      <c r="D2127" s="21">
        <f t="shared" si="2"/>
        <v>366971500</v>
      </c>
    </row>
    <row r="2128" spans="1:4" ht="14">
      <c r="A2128" s="16">
        <v>42503</v>
      </c>
      <c r="B2128" s="17">
        <v>457.24</v>
      </c>
      <c r="C2128" s="18">
        <v>60845000</v>
      </c>
      <c r="D2128" s="21">
        <f t="shared" si="2"/>
        <v>376380000</v>
      </c>
    </row>
    <row r="2129" spans="1:4" ht="14">
      <c r="A2129" s="16">
        <v>42504</v>
      </c>
      <c r="B2129" s="17">
        <v>458.12</v>
      </c>
      <c r="C2129" s="18">
        <v>37209000</v>
      </c>
      <c r="D2129" s="21">
        <f t="shared" si="2"/>
        <v>364428200</v>
      </c>
    </row>
    <row r="2130" spans="1:4" ht="14">
      <c r="A2130" s="16">
        <v>42505</v>
      </c>
      <c r="B2130" s="17">
        <v>460.86</v>
      </c>
      <c r="C2130" s="18">
        <v>28514000</v>
      </c>
      <c r="D2130" s="21">
        <f t="shared" si="2"/>
        <v>363272700</v>
      </c>
    </row>
    <row r="2131" spans="1:4" ht="14">
      <c r="A2131" s="16">
        <v>42506</v>
      </c>
      <c r="B2131" s="17">
        <v>455.22</v>
      </c>
      <c r="C2131" s="18">
        <v>59171500</v>
      </c>
      <c r="D2131" s="21">
        <f t="shared" si="2"/>
        <v>351471700</v>
      </c>
    </row>
    <row r="2132" spans="1:4" ht="14">
      <c r="A2132" s="16">
        <v>42507</v>
      </c>
      <c r="B2132" s="17">
        <v>453.55</v>
      </c>
      <c r="C2132" s="18">
        <v>64100300</v>
      </c>
      <c r="D2132" s="21">
        <f t="shared" si="2"/>
        <v>355150100</v>
      </c>
    </row>
    <row r="2133" spans="1:4" ht="14">
      <c r="A2133" s="16">
        <v>42508</v>
      </c>
      <c r="B2133" s="17">
        <v>454.49</v>
      </c>
      <c r="C2133" s="18">
        <v>86850096</v>
      </c>
      <c r="D2133" s="21">
        <f t="shared" si="2"/>
        <v>360294300</v>
      </c>
    </row>
    <row r="2134" spans="1:4" ht="14">
      <c r="A2134" s="16">
        <v>42509</v>
      </c>
      <c r="B2134" s="17">
        <v>437.72</v>
      </c>
      <c r="C2134" s="18">
        <v>96027400</v>
      </c>
      <c r="D2134" s="21">
        <f t="shared" si="2"/>
        <v>396539196</v>
      </c>
    </row>
    <row r="2135" spans="1:4" ht="14">
      <c r="A2135" s="16">
        <v>42510</v>
      </c>
      <c r="B2135" s="17">
        <v>442.4</v>
      </c>
      <c r="C2135" s="18">
        <v>81987904</v>
      </c>
      <c r="D2135" s="21">
        <f t="shared" si="2"/>
        <v>432717296</v>
      </c>
    </row>
    <row r="2136" spans="1:4" ht="14">
      <c r="A2136" s="16">
        <v>42511</v>
      </c>
      <c r="B2136" s="17">
        <v>444.08</v>
      </c>
      <c r="C2136" s="18">
        <v>42762300</v>
      </c>
      <c r="D2136" s="21">
        <f t="shared" si="2"/>
        <v>453860200</v>
      </c>
    </row>
    <row r="2137" spans="1:4" ht="14">
      <c r="A2137" s="16">
        <v>42512</v>
      </c>
      <c r="B2137" s="17">
        <v>440.56</v>
      </c>
      <c r="C2137" s="18">
        <v>39657600</v>
      </c>
      <c r="D2137" s="21">
        <f t="shared" si="2"/>
        <v>459413500</v>
      </c>
    </row>
    <row r="2138" spans="1:4" ht="14">
      <c r="A2138" s="16">
        <v>42513</v>
      </c>
      <c r="B2138" s="17">
        <v>444.21</v>
      </c>
      <c r="C2138" s="18">
        <v>50582500</v>
      </c>
      <c r="D2138" s="21">
        <f t="shared" si="2"/>
        <v>470557100</v>
      </c>
    </row>
    <row r="2139" spans="1:4" ht="14">
      <c r="A2139" s="16">
        <v>42514</v>
      </c>
      <c r="B2139" s="17">
        <v>445.67</v>
      </c>
      <c r="C2139" s="18">
        <v>65783100</v>
      </c>
      <c r="D2139" s="21">
        <f t="shared" si="2"/>
        <v>461968100</v>
      </c>
    </row>
    <row r="2140" spans="1:4" ht="14">
      <c r="A2140" s="16">
        <v>42515</v>
      </c>
      <c r="B2140" s="17">
        <v>450.55</v>
      </c>
      <c r="C2140" s="18">
        <v>65231000</v>
      </c>
      <c r="D2140" s="21">
        <f t="shared" si="2"/>
        <v>463650900</v>
      </c>
    </row>
    <row r="2141" spans="1:4" ht="14">
      <c r="A2141" s="16">
        <v>42516</v>
      </c>
      <c r="B2141" s="17">
        <v>454.43</v>
      </c>
      <c r="C2141" s="18">
        <v>65203800</v>
      </c>
      <c r="D2141" s="21">
        <f t="shared" si="2"/>
        <v>442031804</v>
      </c>
    </row>
    <row r="2142" spans="1:4" ht="14">
      <c r="A2142" s="16">
        <v>42517</v>
      </c>
      <c r="B2142" s="17">
        <v>471.82</v>
      </c>
      <c r="C2142" s="18">
        <v>164780992</v>
      </c>
      <c r="D2142" s="21">
        <f t="shared" si="2"/>
        <v>411208204</v>
      </c>
    </row>
    <row r="2143" spans="1:4" ht="14">
      <c r="A2143" s="16">
        <v>42518</v>
      </c>
      <c r="B2143" s="17">
        <v>530.91</v>
      </c>
      <c r="C2143" s="18">
        <v>181199008</v>
      </c>
      <c r="D2143" s="21">
        <f t="shared" si="2"/>
        <v>494001292</v>
      </c>
    </row>
    <row r="2144" spans="1:4" ht="14">
      <c r="A2144" s="16">
        <v>42519</v>
      </c>
      <c r="B2144" s="17">
        <v>527.54999999999995</v>
      </c>
      <c r="C2144" s="18">
        <v>148736992</v>
      </c>
      <c r="D2144" s="21">
        <f t="shared" si="2"/>
        <v>632438000</v>
      </c>
    </row>
    <row r="2145" spans="1:4" ht="14">
      <c r="A2145" s="16">
        <v>42520</v>
      </c>
      <c r="B2145" s="17">
        <v>533.49</v>
      </c>
      <c r="C2145" s="18">
        <v>87958704</v>
      </c>
      <c r="D2145" s="21">
        <f t="shared" si="2"/>
        <v>741517392</v>
      </c>
    </row>
    <row r="2146" spans="1:4" ht="14">
      <c r="A2146" s="16">
        <v>42521</v>
      </c>
      <c r="B2146" s="17">
        <v>530.94000000000005</v>
      </c>
      <c r="C2146" s="18">
        <v>138450000</v>
      </c>
      <c r="D2146" s="21">
        <f t="shared" si="2"/>
        <v>778893596</v>
      </c>
    </row>
    <row r="2147" spans="1:4" ht="14">
      <c r="A2147" s="16">
        <v>42522</v>
      </c>
      <c r="B2147" s="17">
        <v>537.61</v>
      </c>
      <c r="C2147" s="18">
        <v>86061800</v>
      </c>
      <c r="D2147" s="21">
        <f t="shared" si="2"/>
        <v>851560496</v>
      </c>
    </row>
    <row r="2148" spans="1:4" ht="14">
      <c r="A2148" s="16">
        <v>42523</v>
      </c>
      <c r="B2148" s="17">
        <v>538.77</v>
      </c>
      <c r="C2148" s="18">
        <v>60378200</v>
      </c>
      <c r="D2148" s="21">
        <f t="shared" si="2"/>
        <v>872391296</v>
      </c>
    </row>
    <row r="2149" spans="1:4" ht="14">
      <c r="A2149" s="16">
        <v>42524</v>
      </c>
      <c r="B2149" s="17">
        <v>570.17999999999995</v>
      </c>
      <c r="C2149" s="18">
        <v>122020000</v>
      </c>
      <c r="D2149" s="21">
        <f t="shared" si="2"/>
        <v>867565696</v>
      </c>
    </row>
    <row r="2150" spans="1:4" ht="14">
      <c r="A2150" s="16">
        <v>42525</v>
      </c>
      <c r="B2150" s="17">
        <v>574.27</v>
      </c>
      <c r="C2150" s="18">
        <v>94925296</v>
      </c>
      <c r="D2150" s="21">
        <f t="shared" si="2"/>
        <v>824804704</v>
      </c>
    </row>
    <row r="2151" spans="1:4" ht="14">
      <c r="A2151" s="16">
        <v>42526</v>
      </c>
      <c r="B2151" s="17">
        <v>575.14</v>
      </c>
      <c r="C2151" s="18">
        <v>68874096</v>
      </c>
      <c r="D2151" s="21">
        <f t="shared" si="2"/>
        <v>738530992</v>
      </c>
    </row>
    <row r="2152" spans="1:4" ht="14">
      <c r="A2152" s="16">
        <v>42527</v>
      </c>
      <c r="B2152" s="17">
        <v>585.86</v>
      </c>
      <c r="C2152" s="18">
        <v>72138896</v>
      </c>
      <c r="D2152" s="21">
        <f t="shared" si="2"/>
        <v>658668096</v>
      </c>
    </row>
    <row r="2153" spans="1:4" ht="14">
      <c r="A2153" s="16">
        <v>42528</v>
      </c>
      <c r="B2153" s="17">
        <v>578.47</v>
      </c>
      <c r="C2153" s="18">
        <v>107770000</v>
      </c>
      <c r="D2153" s="21">
        <f t="shared" si="2"/>
        <v>642848288</v>
      </c>
    </row>
    <row r="2154" spans="1:4" ht="14">
      <c r="A2154" s="16">
        <v>42529</v>
      </c>
      <c r="B2154" s="17">
        <v>583.1</v>
      </c>
      <c r="C2154" s="18">
        <v>80265800</v>
      </c>
      <c r="D2154" s="21">
        <f t="shared" si="2"/>
        <v>612168288</v>
      </c>
    </row>
    <row r="2155" spans="1:4" ht="14">
      <c r="A2155" s="16">
        <v>42530</v>
      </c>
      <c r="B2155" s="17">
        <v>577.1</v>
      </c>
      <c r="C2155" s="18">
        <v>71301000</v>
      </c>
      <c r="D2155" s="21">
        <f t="shared" si="2"/>
        <v>606372288</v>
      </c>
    </row>
    <row r="2156" spans="1:4" ht="14">
      <c r="A2156" s="16">
        <v>42531</v>
      </c>
      <c r="B2156" s="17">
        <v>579.80999999999995</v>
      </c>
      <c r="C2156" s="18">
        <v>66991900</v>
      </c>
      <c r="D2156" s="21">
        <f t="shared" si="2"/>
        <v>617295088</v>
      </c>
    </row>
    <row r="2157" spans="1:4" ht="14">
      <c r="A2157" s="16">
        <v>42532</v>
      </c>
      <c r="B2157" s="17">
        <v>605.45000000000005</v>
      </c>
      <c r="C2157" s="18">
        <v>82357000</v>
      </c>
      <c r="D2157" s="21">
        <f t="shared" si="2"/>
        <v>562266988</v>
      </c>
    </row>
    <row r="2158" spans="1:4" ht="14">
      <c r="A2158" s="16">
        <v>42533</v>
      </c>
      <c r="B2158" s="17">
        <v>670.39</v>
      </c>
      <c r="C2158" s="18">
        <v>277084992</v>
      </c>
      <c r="D2158" s="21">
        <f t="shared" si="2"/>
        <v>549698692</v>
      </c>
    </row>
    <row r="2159" spans="1:4" ht="14">
      <c r="A2159" s="16">
        <v>42534</v>
      </c>
      <c r="B2159" s="17">
        <v>704.32</v>
      </c>
      <c r="C2159" s="18">
        <v>243295008</v>
      </c>
      <c r="D2159" s="21">
        <f t="shared" si="2"/>
        <v>757909588</v>
      </c>
    </row>
    <row r="2160" spans="1:4" ht="14">
      <c r="A2160" s="16">
        <v>42535</v>
      </c>
      <c r="B2160" s="17">
        <v>684.95</v>
      </c>
      <c r="C2160" s="18">
        <v>186694000</v>
      </c>
      <c r="D2160" s="21">
        <f t="shared" si="2"/>
        <v>929065700</v>
      </c>
    </row>
    <row r="2161" spans="1:4" ht="14">
      <c r="A2161" s="16">
        <v>42536</v>
      </c>
      <c r="B2161" s="17">
        <v>695</v>
      </c>
      <c r="C2161" s="18">
        <v>99223800</v>
      </c>
      <c r="D2161" s="21">
        <f t="shared" si="2"/>
        <v>1007989700</v>
      </c>
    </row>
    <row r="2162" spans="1:4" ht="14">
      <c r="A2162" s="16">
        <v>42537</v>
      </c>
      <c r="B2162" s="17">
        <v>767.42</v>
      </c>
      <c r="C2162" s="18">
        <v>271633984</v>
      </c>
      <c r="D2162" s="21">
        <f t="shared" si="2"/>
        <v>1026947700</v>
      </c>
    </row>
    <row r="2163" spans="1:4" ht="14">
      <c r="A2163" s="16">
        <v>42538</v>
      </c>
      <c r="B2163" s="17">
        <v>750.01</v>
      </c>
      <c r="C2163" s="18">
        <v>363320992</v>
      </c>
      <c r="D2163" s="21">
        <f t="shared" si="2"/>
        <v>1227280684</v>
      </c>
    </row>
    <row r="2164" spans="1:4" ht="14">
      <c r="A2164" s="16">
        <v>42539</v>
      </c>
      <c r="B2164" s="17">
        <v>758.29</v>
      </c>
      <c r="C2164" s="18">
        <v>252718000</v>
      </c>
      <c r="D2164" s="21">
        <f t="shared" si="2"/>
        <v>1523609776</v>
      </c>
    </row>
    <row r="2165" spans="1:4" ht="14">
      <c r="A2165" s="16">
        <v>42540</v>
      </c>
      <c r="B2165" s="17">
        <v>766.77</v>
      </c>
      <c r="C2165" s="18">
        <v>136184992</v>
      </c>
      <c r="D2165" s="21">
        <f t="shared" si="2"/>
        <v>1693970776</v>
      </c>
    </row>
    <row r="2166" spans="1:4" ht="14">
      <c r="A2166" s="16">
        <v>42541</v>
      </c>
      <c r="B2166" s="17">
        <v>722.5</v>
      </c>
      <c r="C2166" s="18">
        <v>174511008</v>
      </c>
      <c r="D2166" s="21">
        <f t="shared" si="2"/>
        <v>1553070776</v>
      </c>
    </row>
    <row r="2167" spans="1:4" ht="14">
      <c r="A2167" s="16">
        <v>42542</v>
      </c>
      <c r="B2167" s="17">
        <v>669.6</v>
      </c>
      <c r="C2167" s="18">
        <v>309944000</v>
      </c>
      <c r="D2167" s="21">
        <f t="shared" si="2"/>
        <v>1484286776</v>
      </c>
    </row>
    <row r="2168" spans="1:4" ht="14">
      <c r="A2168" s="16">
        <v>42543</v>
      </c>
      <c r="B2168" s="17">
        <v>594.83000000000004</v>
      </c>
      <c r="C2168" s="18">
        <v>266392992</v>
      </c>
      <c r="D2168" s="21">
        <f t="shared" si="2"/>
        <v>1607536776</v>
      </c>
    </row>
    <row r="2169" spans="1:4" ht="14">
      <c r="A2169" s="16">
        <v>42544</v>
      </c>
      <c r="B2169" s="17">
        <v>627.67999999999995</v>
      </c>
      <c r="C2169" s="18">
        <v>253462000</v>
      </c>
      <c r="D2169" s="21">
        <f t="shared" si="2"/>
        <v>1774705968</v>
      </c>
    </row>
    <row r="2170" spans="1:4" ht="14">
      <c r="A2170" s="16">
        <v>42545</v>
      </c>
      <c r="B2170" s="17">
        <v>664.13</v>
      </c>
      <c r="C2170" s="18">
        <v>224316992</v>
      </c>
      <c r="D2170" s="21">
        <f t="shared" si="2"/>
        <v>1756533984</v>
      </c>
    </row>
    <row r="2171" spans="1:4" ht="14">
      <c r="A2171" s="16">
        <v>42546</v>
      </c>
      <c r="B2171" s="17">
        <v>668.87</v>
      </c>
      <c r="C2171" s="18">
        <v>126656000</v>
      </c>
      <c r="D2171" s="21">
        <f t="shared" si="2"/>
        <v>1617529984</v>
      </c>
    </row>
    <row r="2172" spans="1:4" ht="14">
      <c r="A2172" s="16">
        <v>42547</v>
      </c>
      <c r="B2172" s="17">
        <v>630.42999999999995</v>
      </c>
      <c r="C2172" s="18">
        <v>109225000</v>
      </c>
      <c r="D2172" s="21">
        <f t="shared" si="2"/>
        <v>1491467984</v>
      </c>
    </row>
    <row r="2173" spans="1:4" ht="14">
      <c r="A2173" s="16">
        <v>42548</v>
      </c>
      <c r="B2173" s="17">
        <v>652.24</v>
      </c>
      <c r="C2173" s="18">
        <v>122134000</v>
      </c>
      <c r="D2173" s="21">
        <f t="shared" si="2"/>
        <v>1464507992</v>
      </c>
    </row>
    <row r="2174" spans="1:4" ht="14">
      <c r="A2174" s="16">
        <v>42549</v>
      </c>
      <c r="B2174" s="17">
        <v>647.22</v>
      </c>
      <c r="C2174" s="18">
        <v>138384992</v>
      </c>
      <c r="D2174" s="21">
        <f t="shared" si="2"/>
        <v>1412130984</v>
      </c>
    </row>
    <row r="2175" spans="1:4" ht="14">
      <c r="A2175" s="16">
        <v>42550</v>
      </c>
      <c r="B2175" s="17">
        <v>638.59</v>
      </c>
      <c r="C2175" s="18">
        <v>142456000</v>
      </c>
      <c r="D2175" s="21">
        <f t="shared" si="2"/>
        <v>1240571976</v>
      </c>
    </row>
    <row r="2176" spans="1:4" ht="14">
      <c r="A2176" s="16">
        <v>42551</v>
      </c>
      <c r="B2176" s="17">
        <v>674.28</v>
      </c>
      <c r="C2176" s="18">
        <v>138980000</v>
      </c>
      <c r="D2176" s="21">
        <f t="shared" si="2"/>
        <v>1116634984</v>
      </c>
    </row>
    <row r="2177" spans="1:4" ht="14">
      <c r="A2177" s="16">
        <v>42552</v>
      </c>
      <c r="B2177" s="17">
        <v>677.51</v>
      </c>
      <c r="C2177" s="18">
        <v>134431008</v>
      </c>
      <c r="D2177" s="21">
        <f t="shared" si="2"/>
        <v>1002152984</v>
      </c>
    </row>
    <row r="2178" spans="1:4" ht="14">
      <c r="A2178" s="16">
        <v>42553</v>
      </c>
      <c r="B2178" s="17">
        <v>702.74</v>
      </c>
      <c r="C2178" s="18">
        <v>112354000</v>
      </c>
      <c r="D2178" s="21">
        <f t="shared" si="2"/>
        <v>912267000</v>
      </c>
    </row>
    <row r="2179" spans="1:4" ht="14">
      <c r="A2179" s="16">
        <v>42554</v>
      </c>
      <c r="B2179" s="17">
        <v>662.55</v>
      </c>
      <c r="C2179" s="18">
        <v>129512000</v>
      </c>
      <c r="D2179" s="21">
        <f t="shared" si="2"/>
        <v>897965000</v>
      </c>
    </row>
    <row r="2180" spans="1:4" ht="14">
      <c r="A2180" s="16">
        <v>42555</v>
      </c>
      <c r="B2180" s="17">
        <v>679.84</v>
      </c>
      <c r="C2180" s="18">
        <v>92008400</v>
      </c>
      <c r="D2180" s="21">
        <f t="shared" si="2"/>
        <v>918252000</v>
      </c>
    </row>
    <row r="2181" spans="1:4" ht="14">
      <c r="A2181" s="16">
        <v>42556</v>
      </c>
      <c r="B2181" s="17">
        <v>668.17</v>
      </c>
      <c r="C2181" s="18">
        <v>130476000</v>
      </c>
      <c r="D2181" s="21">
        <f t="shared" si="2"/>
        <v>888126400</v>
      </c>
    </row>
    <row r="2182" spans="1:4" ht="14">
      <c r="A2182" s="16">
        <v>42557</v>
      </c>
      <c r="B2182" s="17">
        <v>677.65</v>
      </c>
      <c r="C2182" s="18">
        <v>134960992</v>
      </c>
      <c r="D2182" s="21">
        <f t="shared" si="2"/>
        <v>880217408</v>
      </c>
    </row>
    <row r="2183" spans="1:4" ht="14">
      <c r="A2183" s="16">
        <v>42558</v>
      </c>
      <c r="B2183" s="17">
        <v>640.04999999999995</v>
      </c>
      <c r="C2183" s="18">
        <v>258091008</v>
      </c>
      <c r="D2183" s="21">
        <f t="shared" si="2"/>
        <v>872722400</v>
      </c>
    </row>
    <row r="2184" spans="1:4" ht="14">
      <c r="A2184" s="16">
        <v>42559</v>
      </c>
      <c r="B2184" s="17">
        <v>665.05</v>
      </c>
      <c r="C2184" s="18">
        <v>141970000</v>
      </c>
      <c r="D2184" s="21">
        <f t="shared" si="2"/>
        <v>991833408</v>
      </c>
    </row>
    <row r="2185" spans="1:4" ht="14">
      <c r="A2185" s="16">
        <v>42560</v>
      </c>
      <c r="B2185" s="17">
        <v>651.94000000000005</v>
      </c>
      <c r="C2185" s="18">
        <v>180536000</v>
      </c>
      <c r="D2185" s="21">
        <f t="shared" si="2"/>
        <v>999372400</v>
      </c>
    </row>
    <row r="2186" spans="1:4" ht="14">
      <c r="A2186" s="16">
        <v>42561</v>
      </c>
      <c r="B2186" s="17">
        <v>649.96</v>
      </c>
      <c r="C2186" s="18">
        <v>102532000</v>
      </c>
      <c r="D2186" s="21">
        <f t="shared" si="2"/>
        <v>1067554400</v>
      </c>
    </row>
    <row r="2187" spans="1:4" ht="14">
      <c r="A2187" s="16">
        <v>42562</v>
      </c>
      <c r="B2187" s="17">
        <v>650.27</v>
      </c>
      <c r="C2187" s="18">
        <v>107910000</v>
      </c>
      <c r="D2187" s="21">
        <f t="shared" si="2"/>
        <v>1040574400</v>
      </c>
    </row>
    <row r="2188" spans="1:4" ht="14">
      <c r="A2188" s="16">
        <v>42563</v>
      </c>
      <c r="B2188" s="17">
        <v>670.02</v>
      </c>
      <c r="C2188" s="18">
        <v>138172992</v>
      </c>
      <c r="D2188" s="21">
        <f t="shared" si="2"/>
        <v>1056476000</v>
      </c>
    </row>
    <row r="2189" spans="1:4" ht="14">
      <c r="A2189" s="16">
        <v>42564</v>
      </c>
      <c r="B2189" s="17">
        <v>658.33</v>
      </c>
      <c r="C2189" s="18">
        <v>131449000</v>
      </c>
      <c r="D2189" s="21">
        <f t="shared" si="2"/>
        <v>1064172992</v>
      </c>
    </row>
    <row r="2190" spans="1:4" ht="14">
      <c r="A2190" s="16">
        <v>42565</v>
      </c>
      <c r="B2190" s="17">
        <v>660.91</v>
      </c>
      <c r="C2190" s="18">
        <v>98511400</v>
      </c>
      <c r="D2190" s="21">
        <f t="shared" si="2"/>
        <v>1060661000</v>
      </c>
    </row>
    <row r="2191" spans="1:4" ht="14">
      <c r="A2191" s="16">
        <v>42566</v>
      </c>
      <c r="B2191" s="17">
        <v>666.76</v>
      </c>
      <c r="C2191" s="18">
        <v>81673104</v>
      </c>
      <c r="D2191" s="21">
        <f t="shared" si="2"/>
        <v>901081392</v>
      </c>
    </row>
    <row r="2192" spans="1:4" ht="14">
      <c r="A2192" s="16">
        <v>42567</v>
      </c>
      <c r="B2192" s="17">
        <v>665.28</v>
      </c>
      <c r="C2192" s="18">
        <v>50330200</v>
      </c>
      <c r="D2192" s="21">
        <f t="shared" si="2"/>
        <v>840784496</v>
      </c>
    </row>
    <row r="2193" spans="1:4" ht="14">
      <c r="A2193" s="16">
        <v>42568</v>
      </c>
      <c r="B2193" s="17">
        <v>681.09</v>
      </c>
      <c r="C2193" s="18">
        <v>74407904</v>
      </c>
      <c r="D2193" s="21">
        <f t="shared" si="2"/>
        <v>710578696</v>
      </c>
    </row>
    <row r="2194" spans="1:4" ht="14">
      <c r="A2194" s="16">
        <v>42569</v>
      </c>
      <c r="B2194" s="17">
        <v>675.12</v>
      </c>
      <c r="C2194" s="18">
        <v>69465000</v>
      </c>
      <c r="D2194" s="21">
        <f t="shared" si="2"/>
        <v>682454600</v>
      </c>
    </row>
    <row r="2195" spans="1:4" ht="14">
      <c r="A2195" s="16">
        <v>42570</v>
      </c>
      <c r="B2195" s="17">
        <v>674.66</v>
      </c>
      <c r="C2195" s="18">
        <v>61203300</v>
      </c>
      <c r="D2195" s="21">
        <f t="shared" si="2"/>
        <v>644009600</v>
      </c>
    </row>
    <row r="2196" spans="1:4" ht="14">
      <c r="A2196" s="16">
        <v>42571</v>
      </c>
      <c r="B2196" s="17">
        <v>667.31</v>
      </c>
      <c r="C2196" s="18">
        <v>94636400</v>
      </c>
      <c r="D2196" s="21">
        <f t="shared" si="2"/>
        <v>567039908</v>
      </c>
    </row>
    <row r="2197" spans="1:4" ht="14">
      <c r="A2197" s="16">
        <v>42572</v>
      </c>
      <c r="B2197" s="17">
        <v>666.85</v>
      </c>
      <c r="C2197" s="18">
        <v>60491800</v>
      </c>
      <c r="D2197" s="21">
        <f t="shared" si="2"/>
        <v>530227308</v>
      </c>
    </row>
    <row r="2198" spans="1:4" ht="14">
      <c r="A2198" s="16">
        <v>42573</v>
      </c>
      <c r="B2198" s="17">
        <v>650.55999999999995</v>
      </c>
      <c r="C2198" s="18">
        <v>134169000</v>
      </c>
      <c r="D2198" s="21">
        <f t="shared" si="2"/>
        <v>492207708</v>
      </c>
    </row>
    <row r="2199" spans="1:4" ht="14">
      <c r="A2199" s="16">
        <v>42574</v>
      </c>
      <c r="B2199" s="17">
        <v>657.38</v>
      </c>
      <c r="C2199" s="18">
        <v>69532200</v>
      </c>
      <c r="D2199" s="21">
        <f t="shared" si="2"/>
        <v>544703604</v>
      </c>
    </row>
    <row r="2200" spans="1:4" ht="14">
      <c r="A2200" s="16">
        <v>42575</v>
      </c>
      <c r="B2200" s="17">
        <v>661.39</v>
      </c>
      <c r="C2200" s="18">
        <v>118184000</v>
      </c>
      <c r="D2200" s="21">
        <f t="shared" si="2"/>
        <v>563905604</v>
      </c>
    </row>
    <row r="2201" spans="1:4" ht="14">
      <c r="A2201" s="16">
        <v>42576</v>
      </c>
      <c r="B2201" s="17">
        <v>655.12</v>
      </c>
      <c r="C2201" s="18">
        <v>78176496</v>
      </c>
      <c r="D2201" s="21">
        <f t="shared" si="2"/>
        <v>607681700</v>
      </c>
    </row>
    <row r="2202" spans="1:4" ht="14">
      <c r="A2202" s="16">
        <v>42577</v>
      </c>
      <c r="B2202" s="17">
        <v>654.63</v>
      </c>
      <c r="C2202" s="18">
        <v>225135008</v>
      </c>
      <c r="D2202" s="21">
        <f t="shared" si="2"/>
        <v>616393196</v>
      </c>
    </row>
    <row r="2203" spans="1:4" ht="14">
      <c r="A2203" s="16">
        <v>42578</v>
      </c>
      <c r="B2203" s="17">
        <v>656.28</v>
      </c>
      <c r="C2203" s="18">
        <v>147460992</v>
      </c>
      <c r="D2203" s="21">
        <f t="shared" si="2"/>
        <v>780324904</v>
      </c>
    </row>
    <row r="2204" spans="1:4" ht="14">
      <c r="A2204" s="16">
        <v>42579</v>
      </c>
      <c r="B2204" s="17">
        <v>656.2</v>
      </c>
      <c r="C2204" s="18">
        <v>86428400</v>
      </c>
      <c r="D2204" s="21">
        <f t="shared" si="2"/>
        <v>833149496</v>
      </c>
    </row>
    <row r="2205" spans="1:4" ht="14">
      <c r="A2205" s="16">
        <v>42580</v>
      </c>
      <c r="B2205" s="17">
        <v>657.56</v>
      </c>
      <c r="C2205" s="18">
        <v>60703500</v>
      </c>
      <c r="D2205" s="21">
        <f t="shared" si="2"/>
        <v>859086096</v>
      </c>
    </row>
    <row r="2206" spans="1:4" ht="14">
      <c r="A2206" s="16">
        <v>42581</v>
      </c>
      <c r="B2206" s="17">
        <v>655.36</v>
      </c>
      <c r="C2206" s="18">
        <v>38456100</v>
      </c>
      <c r="D2206" s="21">
        <f t="shared" si="2"/>
        <v>785620596</v>
      </c>
    </row>
    <row r="2207" spans="1:4" ht="14">
      <c r="A2207" s="16">
        <v>42582</v>
      </c>
      <c r="B2207" s="17">
        <v>624.79999999999995</v>
      </c>
      <c r="C2207" s="18">
        <v>110818000</v>
      </c>
      <c r="D2207" s="21">
        <f t="shared" si="2"/>
        <v>754544496</v>
      </c>
    </row>
    <row r="2208" spans="1:4" ht="14">
      <c r="A2208" s="16">
        <v>42583</v>
      </c>
      <c r="B2208" s="17">
        <v>606.51</v>
      </c>
      <c r="C2208" s="18">
        <v>121887000</v>
      </c>
      <c r="D2208" s="21">
        <f t="shared" si="2"/>
        <v>747178496</v>
      </c>
    </row>
    <row r="2209" spans="1:4" ht="14">
      <c r="A2209" s="16">
        <v>42584</v>
      </c>
      <c r="B2209" s="17">
        <v>526.98</v>
      </c>
      <c r="C2209" s="18">
        <v>330932992</v>
      </c>
      <c r="D2209" s="21">
        <f t="shared" si="2"/>
        <v>790889000</v>
      </c>
    </row>
    <row r="2210" spans="1:4" ht="14">
      <c r="A2210" s="16">
        <v>42585</v>
      </c>
      <c r="B2210" s="17">
        <v>570.35</v>
      </c>
      <c r="C2210" s="18">
        <v>207982000</v>
      </c>
      <c r="D2210" s="21">
        <f t="shared" si="2"/>
        <v>896686984</v>
      </c>
    </row>
    <row r="2211" spans="1:4" ht="14">
      <c r="A2211" s="16">
        <v>42586</v>
      </c>
      <c r="B2211" s="17">
        <v>583.54</v>
      </c>
      <c r="C2211" s="18">
        <v>125292000</v>
      </c>
      <c r="D2211" s="21">
        <f t="shared" si="2"/>
        <v>957207992</v>
      </c>
    </row>
    <row r="2212" spans="1:4" ht="14">
      <c r="A2212" s="16">
        <v>42587</v>
      </c>
      <c r="B2212" s="17">
        <v>581.28</v>
      </c>
      <c r="C2212" s="18">
        <v>66127900</v>
      </c>
      <c r="D2212" s="21">
        <f t="shared" si="2"/>
        <v>996071592</v>
      </c>
    </row>
    <row r="2213" spans="1:4" ht="14">
      <c r="A2213" s="16">
        <v>42588</v>
      </c>
      <c r="B2213" s="17">
        <v>590.79999999999995</v>
      </c>
      <c r="C2213" s="18">
        <v>80797296</v>
      </c>
      <c r="D2213" s="21">
        <f t="shared" si="2"/>
        <v>1001495992</v>
      </c>
    </row>
    <row r="2214" spans="1:4" ht="14">
      <c r="A2214" s="16">
        <v>42589</v>
      </c>
      <c r="B2214" s="17">
        <v>594.73</v>
      </c>
      <c r="C2214" s="18">
        <v>82398400</v>
      </c>
      <c r="D2214" s="21">
        <f t="shared" si="2"/>
        <v>1043837188</v>
      </c>
    </row>
    <row r="2215" spans="1:4" ht="14">
      <c r="A2215" s="16">
        <v>42590</v>
      </c>
      <c r="B2215" s="17">
        <v>591.63</v>
      </c>
      <c r="C2215" s="18">
        <v>61194100</v>
      </c>
      <c r="D2215" s="21">
        <f t="shared" si="2"/>
        <v>1015417588</v>
      </c>
    </row>
    <row r="2216" spans="1:4" ht="14">
      <c r="A2216" s="16">
        <v>42591</v>
      </c>
      <c r="B2216" s="17">
        <v>587.92999999999995</v>
      </c>
      <c r="C2216" s="18">
        <v>92228096</v>
      </c>
      <c r="D2216" s="21">
        <f t="shared" si="2"/>
        <v>954724688</v>
      </c>
    </row>
    <row r="2217" spans="1:4" ht="14">
      <c r="A2217" s="16">
        <v>42592</v>
      </c>
      <c r="B2217" s="17">
        <v>589.97</v>
      </c>
      <c r="C2217" s="18">
        <v>102905000</v>
      </c>
      <c r="D2217" s="21">
        <f t="shared" si="2"/>
        <v>716019792</v>
      </c>
    </row>
    <row r="2218" spans="1:4" ht="14">
      <c r="A2218" s="16">
        <v>42593</v>
      </c>
      <c r="B2218" s="17">
        <v>589.59</v>
      </c>
      <c r="C2218" s="18">
        <v>74514400</v>
      </c>
      <c r="D2218" s="21">
        <f t="shared" si="2"/>
        <v>610942792</v>
      </c>
    </row>
    <row r="2219" spans="1:4" ht="14">
      <c r="A2219" s="16">
        <v>42594</v>
      </c>
      <c r="B2219" s="17">
        <v>587.19000000000005</v>
      </c>
      <c r="C2219" s="18">
        <v>69218000</v>
      </c>
      <c r="D2219" s="21">
        <f t="shared" si="2"/>
        <v>560165192</v>
      </c>
    </row>
    <row r="2220" spans="1:4" ht="14">
      <c r="A2220" s="16">
        <v>42595</v>
      </c>
      <c r="B2220" s="17">
        <v>585.36</v>
      </c>
      <c r="C2220" s="18">
        <v>43563000</v>
      </c>
      <c r="D2220" s="21">
        <f t="shared" si="2"/>
        <v>563255292</v>
      </c>
    </row>
    <row r="2221" spans="1:4" ht="14">
      <c r="A2221" s="16">
        <v>42596</v>
      </c>
      <c r="B2221" s="17">
        <v>571.39</v>
      </c>
      <c r="C2221" s="18">
        <v>60851100</v>
      </c>
      <c r="D2221" s="21">
        <f t="shared" si="2"/>
        <v>526020996</v>
      </c>
    </row>
    <row r="2222" spans="1:4" ht="14">
      <c r="A2222" s="16">
        <v>42597</v>
      </c>
      <c r="B2222" s="17">
        <v>566.55999999999995</v>
      </c>
      <c r="C2222" s="18">
        <v>57262300</v>
      </c>
      <c r="D2222" s="21">
        <f t="shared" si="2"/>
        <v>504473696</v>
      </c>
    </row>
    <row r="2223" spans="1:4" ht="14">
      <c r="A2223" s="16">
        <v>42598</v>
      </c>
      <c r="B2223" s="17">
        <v>578.41</v>
      </c>
      <c r="C2223" s="18">
        <v>58405200</v>
      </c>
      <c r="D2223" s="21">
        <f t="shared" si="2"/>
        <v>500541896</v>
      </c>
    </row>
    <row r="2224" spans="1:4" ht="14">
      <c r="A2224" s="16">
        <v>42599</v>
      </c>
      <c r="B2224" s="17">
        <v>573.66</v>
      </c>
      <c r="C2224" s="18">
        <v>54443000</v>
      </c>
      <c r="D2224" s="21">
        <f t="shared" si="2"/>
        <v>466719000</v>
      </c>
    </row>
    <row r="2225" spans="1:4" ht="14">
      <c r="A2225" s="16">
        <v>42600</v>
      </c>
      <c r="B2225" s="17">
        <v>573.26</v>
      </c>
      <c r="C2225" s="18">
        <v>59896600</v>
      </c>
      <c r="D2225" s="21">
        <f t="shared" si="2"/>
        <v>418257000</v>
      </c>
    </row>
    <row r="2226" spans="1:4" ht="14">
      <c r="A2226" s="16">
        <v>42601</v>
      </c>
      <c r="B2226" s="17">
        <v>573.96</v>
      </c>
      <c r="C2226" s="18">
        <v>50631600</v>
      </c>
      <c r="D2226" s="21">
        <f t="shared" si="2"/>
        <v>403639200</v>
      </c>
    </row>
    <row r="2227" spans="1:4" ht="14">
      <c r="A2227" s="16">
        <v>42602</v>
      </c>
      <c r="B2227" s="17">
        <v>581.79999999999995</v>
      </c>
      <c r="C2227" s="18">
        <v>45301400</v>
      </c>
      <c r="D2227" s="21">
        <f t="shared" si="2"/>
        <v>385052800</v>
      </c>
    </row>
    <row r="2228" spans="1:4" ht="14">
      <c r="A2228" s="16">
        <v>42603</v>
      </c>
      <c r="B2228" s="17">
        <v>580.79</v>
      </c>
      <c r="C2228" s="18">
        <v>38299400</v>
      </c>
      <c r="D2228" s="21">
        <f t="shared" si="2"/>
        <v>386791200</v>
      </c>
    </row>
    <row r="2229" spans="1:4" ht="14">
      <c r="A2229" s="16">
        <v>42604</v>
      </c>
      <c r="B2229" s="17">
        <v>584.97</v>
      </c>
      <c r="C2229" s="18">
        <v>72844000</v>
      </c>
      <c r="D2229" s="21">
        <f t="shared" si="2"/>
        <v>364239500</v>
      </c>
    </row>
    <row r="2230" spans="1:4" ht="14">
      <c r="A2230" s="16">
        <v>42605</v>
      </c>
      <c r="B2230" s="17">
        <v>582.63</v>
      </c>
      <c r="C2230" s="18">
        <v>85349200</v>
      </c>
      <c r="D2230" s="21">
        <f t="shared" si="2"/>
        <v>379821200</v>
      </c>
    </row>
    <row r="2231" spans="1:4" ht="14">
      <c r="A2231" s="16">
        <v>42606</v>
      </c>
      <c r="B2231" s="17">
        <v>578.70000000000005</v>
      </c>
      <c r="C2231" s="18">
        <v>56328200</v>
      </c>
      <c r="D2231" s="21">
        <f t="shared" si="2"/>
        <v>406765200</v>
      </c>
    </row>
    <row r="2232" spans="1:4" ht="14">
      <c r="A2232" s="16">
        <v>42607</v>
      </c>
      <c r="B2232" s="17">
        <v>576.03</v>
      </c>
      <c r="C2232" s="18">
        <v>136130000</v>
      </c>
      <c r="D2232" s="21">
        <f t="shared" si="2"/>
        <v>408650400</v>
      </c>
    </row>
    <row r="2233" spans="1:4" ht="14">
      <c r="A2233" s="16">
        <v>42608</v>
      </c>
      <c r="B2233" s="17">
        <v>578.87</v>
      </c>
      <c r="C2233" s="18">
        <v>48856800</v>
      </c>
      <c r="D2233" s="21">
        <f t="shared" si="2"/>
        <v>484883800</v>
      </c>
    </row>
    <row r="2234" spans="1:4" ht="14">
      <c r="A2234" s="16">
        <v>42609</v>
      </c>
      <c r="B2234" s="17">
        <v>570.20000000000005</v>
      </c>
      <c r="C2234" s="18">
        <v>59698300</v>
      </c>
      <c r="D2234" s="21">
        <f t="shared" si="2"/>
        <v>483109000</v>
      </c>
    </row>
    <row r="2235" spans="1:4" ht="14">
      <c r="A2235" s="16">
        <v>42610</v>
      </c>
      <c r="B2235" s="17">
        <v>575.11</v>
      </c>
      <c r="C2235" s="18">
        <v>86301600</v>
      </c>
      <c r="D2235" s="21">
        <f t="shared" si="2"/>
        <v>497505900</v>
      </c>
    </row>
    <row r="2236" spans="1:4" ht="14">
      <c r="A2236" s="16">
        <v>42611</v>
      </c>
      <c r="B2236" s="17">
        <v>573.42999999999995</v>
      </c>
      <c r="C2236" s="18">
        <v>110398000</v>
      </c>
      <c r="D2236" s="21">
        <f t="shared" si="2"/>
        <v>545508100</v>
      </c>
    </row>
    <row r="2237" spans="1:4" ht="14">
      <c r="A2237" s="16">
        <v>42612</v>
      </c>
      <c r="B2237" s="17">
        <v>575.70000000000005</v>
      </c>
      <c r="C2237" s="18">
        <v>70342400</v>
      </c>
      <c r="D2237" s="21">
        <f t="shared" si="2"/>
        <v>583062100</v>
      </c>
    </row>
    <row r="2238" spans="1:4" ht="14">
      <c r="A2238" s="16">
        <v>42613</v>
      </c>
      <c r="B2238" s="17">
        <v>572.27</v>
      </c>
      <c r="C2238" s="18">
        <v>75840896</v>
      </c>
      <c r="D2238" s="21">
        <f t="shared" si="2"/>
        <v>568055300</v>
      </c>
    </row>
    <row r="2239" spans="1:4" ht="14">
      <c r="A2239" s="16">
        <v>42614</v>
      </c>
      <c r="B2239" s="17">
        <v>572.22</v>
      </c>
      <c r="C2239" s="18">
        <v>76923400</v>
      </c>
      <c r="D2239" s="21">
        <f t="shared" si="2"/>
        <v>587567996</v>
      </c>
    </row>
    <row r="2240" spans="1:4" ht="14">
      <c r="A2240" s="16">
        <v>42615</v>
      </c>
      <c r="B2240" s="17">
        <v>576.85</v>
      </c>
      <c r="C2240" s="18">
        <v>79910800</v>
      </c>
      <c r="D2240" s="21">
        <f t="shared" si="2"/>
        <v>528361396</v>
      </c>
    </row>
    <row r="2241" spans="1:4" ht="14">
      <c r="A2241" s="16">
        <v>42616</v>
      </c>
      <c r="B2241" s="17">
        <v>600.37</v>
      </c>
      <c r="C2241" s="18">
        <v>159014000</v>
      </c>
      <c r="D2241" s="21">
        <f t="shared" si="2"/>
        <v>559415396</v>
      </c>
    </row>
    <row r="2242" spans="1:4" ht="14">
      <c r="A2242" s="16">
        <v>42617</v>
      </c>
      <c r="B2242" s="17">
        <v>610.54</v>
      </c>
      <c r="C2242" s="18">
        <v>97942896</v>
      </c>
      <c r="D2242" s="21">
        <f t="shared" si="2"/>
        <v>658731096</v>
      </c>
    </row>
    <row r="2243" spans="1:4" ht="14">
      <c r="A2243" s="16">
        <v>42618</v>
      </c>
      <c r="B2243" s="17">
        <v>607.53</v>
      </c>
      <c r="C2243" s="18">
        <v>82446800</v>
      </c>
      <c r="D2243" s="21">
        <f t="shared" si="2"/>
        <v>670372392</v>
      </c>
    </row>
    <row r="2244" spans="1:4" ht="14">
      <c r="A2244" s="16">
        <v>42619</v>
      </c>
      <c r="B2244" s="17">
        <v>613</v>
      </c>
      <c r="C2244" s="18">
        <v>78529104</v>
      </c>
      <c r="D2244" s="21">
        <f t="shared" si="2"/>
        <v>642421192</v>
      </c>
    </row>
    <row r="2245" spans="1:4" ht="14">
      <c r="A2245" s="16">
        <v>42620</v>
      </c>
      <c r="B2245" s="17">
        <v>615.66</v>
      </c>
      <c r="C2245" s="18">
        <v>75032400</v>
      </c>
      <c r="D2245" s="21">
        <f t="shared" si="2"/>
        <v>650607896</v>
      </c>
    </row>
    <row r="2246" spans="1:4" ht="14">
      <c r="A2246" s="16">
        <v>42621</v>
      </c>
      <c r="B2246" s="17">
        <v>630.54999999999995</v>
      </c>
      <c r="C2246" s="18">
        <v>86713000</v>
      </c>
      <c r="D2246" s="21">
        <f t="shared" si="2"/>
        <v>649799400</v>
      </c>
    </row>
    <row r="2247" spans="1:4" ht="14">
      <c r="A2247" s="16">
        <v>42622</v>
      </c>
      <c r="B2247" s="17">
        <v>622.98</v>
      </c>
      <c r="C2247" s="18">
        <v>64550200</v>
      </c>
      <c r="D2247" s="21">
        <f t="shared" si="2"/>
        <v>659589000</v>
      </c>
    </row>
    <row r="2248" spans="1:4" ht="14">
      <c r="A2248" s="16">
        <v>42623</v>
      </c>
      <c r="B2248" s="17">
        <v>624.75</v>
      </c>
      <c r="C2248" s="18">
        <v>45016800</v>
      </c>
      <c r="D2248" s="21">
        <f t="shared" si="2"/>
        <v>644228400</v>
      </c>
    </row>
    <row r="2249" spans="1:4" ht="14">
      <c r="A2249" s="16">
        <v>42624</v>
      </c>
      <c r="B2249" s="17">
        <v>608.25</v>
      </c>
      <c r="C2249" s="18">
        <v>73610800</v>
      </c>
      <c r="D2249" s="21">
        <f t="shared" si="2"/>
        <v>530231200</v>
      </c>
    </row>
    <row r="2250" spans="1:4" ht="14">
      <c r="A2250" s="16">
        <v>42625</v>
      </c>
      <c r="B2250" s="17">
        <v>607.71</v>
      </c>
      <c r="C2250" s="18">
        <v>72812304</v>
      </c>
      <c r="D2250" s="21">
        <f t="shared" si="2"/>
        <v>505899104</v>
      </c>
    </row>
    <row r="2251" spans="1:4" ht="14">
      <c r="A2251" s="16">
        <v>42626</v>
      </c>
      <c r="B2251" s="17">
        <v>608.69000000000005</v>
      </c>
      <c r="C2251" s="18">
        <v>86920600</v>
      </c>
      <c r="D2251" s="21">
        <f t="shared" si="2"/>
        <v>496264608</v>
      </c>
    </row>
    <row r="2252" spans="1:4" ht="14">
      <c r="A2252" s="16">
        <v>42627</v>
      </c>
      <c r="B2252" s="17">
        <v>609.41</v>
      </c>
      <c r="C2252" s="18">
        <v>47877700</v>
      </c>
      <c r="D2252" s="21">
        <f t="shared" si="2"/>
        <v>504656104</v>
      </c>
    </row>
    <row r="2253" spans="1:4" ht="14">
      <c r="A2253" s="16">
        <v>42628</v>
      </c>
      <c r="B2253" s="17">
        <v>607.07000000000005</v>
      </c>
      <c r="C2253" s="18">
        <v>59464600</v>
      </c>
      <c r="D2253" s="21">
        <f t="shared" si="2"/>
        <v>477501404</v>
      </c>
    </row>
    <row r="2254" spans="1:4" ht="14">
      <c r="A2254" s="16">
        <v>42629</v>
      </c>
      <c r="B2254" s="17">
        <v>607.80999999999995</v>
      </c>
      <c r="C2254" s="18">
        <v>64963400</v>
      </c>
      <c r="D2254" s="21">
        <f t="shared" si="2"/>
        <v>450253004</v>
      </c>
    </row>
    <row r="2255" spans="1:4" ht="14">
      <c r="A2255" s="16">
        <v>42630</v>
      </c>
      <c r="B2255" s="17">
        <v>607.38</v>
      </c>
      <c r="C2255" s="18">
        <v>37140300</v>
      </c>
      <c r="D2255" s="21">
        <f t="shared" si="2"/>
        <v>450666204</v>
      </c>
    </row>
    <row r="2256" spans="1:4" ht="14">
      <c r="A2256" s="16">
        <v>42631</v>
      </c>
      <c r="B2256" s="17">
        <v>611.53</v>
      </c>
      <c r="C2256" s="18">
        <v>48679400</v>
      </c>
      <c r="D2256" s="21">
        <f t="shared" si="2"/>
        <v>442789704</v>
      </c>
    </row>
    <row r="2257" spans="1:4" ht="14">
      <c r="A2257" s="16">
        <v>42632</v>
      </c>
      <c r="B2257" s="17">
        <v>608.87</v>
      </c>
      <c r="C2257" s="18">
        <v>54796400</v>
      </c>
      <c r="D2257" s="21">
        <f t="shared" si="2"/>
        <v>417858304</v>
      </c>
    </row>
    <row r="2258" spans="1:4" ht="14">
      <c r="A2258" s="16">
        <v>42633</v>
      </c>
      <c r="B2258" s="17">
        <v>608.37</v>
      </c>
      <c r="C2258" s="18">
        <v>72710896</v>
      </c>
      <c r="D2258" s="21">
        <f t="shared" si="2"/>
        <v>399842400</v>
      </c>
    </row>
    <row r="2259" spans="1:4" ht="14">
      <c r="A2259" s="16">
        <v>42634</v>
      </c>
      <c r="B2259" s="17">
        <v>596.95000000000005</v>
      </c>
      <c r="C2259" s="18">
        <v>82776200</v>
      </c>
      <c r="D2259" s="21">
        <f t="shared" si="2"/>
        <v>385632696</v>
      </c>
    </row>
    <row r="2260" spans="1:4" ht="14">
      <c r="A2260" s="16">
        <v>42635</v>
      </c>
      <c r="B2260" s="17">
        <v>595.55999999999995</v>
      </c>
      <c r="C2260" s="18">
        <v>67085300</v>
      </c>
      <c r="D2260" s="21">
        <f t="shared" si="2"/>
        <v>420531196</v>
      </c>
    </row>
    <row r="2261" spans="1:4" ht="14">
      <c r="A2261" s="16">
        <v>42636</v>
      </c>
      <c r="B2261" s="17">
        <v>602.38</v>
      </c>
      <c r="C2261" s="18">
        <v>51067000</v>
      </c>
      <c r="D2261" s="21">
        <f t="shared" si="2"/>
        <v>428151896</v>
      </c>
    </row>
    <row r="2262" spans="1:4" ht="14">
      <c r="A2262" s="16">
        <v>42637</v>
      </c>
      <c r="B2262" s="17">
        <v>602.69000000000005</v>
      </c>
      <c r="C2262" s="18">
        <v>35359500</v>
      </c>
      <c r="D2262" s="21">
        <f t="shared" si="2"/>
        <v>414255496</v>
      </c>
    </row>
    <row r="2263" spans="1:4" ht="14">
      <c r="A2263" s="16">
        <v>42638</v>
      </c>
      <c r="B2263" s="17">
        <v>600.61</v>
      </c>
      <c r="C2263" s="18">
        <v>33977800</v>
      </c>
      <c r="D2263" s="21">
        <f t="shared" si="2"/>
        <v>412474696</v>
      </c>
    </row>
    <row r="2264" spans="1:4" ht="14">
      <c r="A2264" s="16">
        <v>42639</v>
      </c>
      <c r="B2264" s="17">
        <v>606.78</v>
      </c>
      <c r="C2264" s="18">
        <v>59153800</v>
      </c>
      <c r="D2264" s="21">
        <f t="shared" si="2"/>
        <v>397773096</v>
      </c>
    </row>
    <row r="2265" spans="1:4" ht="14">
      <c r="A2265" s="16">
        <v>42640</v>
      </c>
      <c r="B2265" s="17">
        <v>605.15</v>
      </c>
      <c r="C2265" s="18">
        <v>49422400</v>
      </c>
      <c r="D2265" s="21">
        <f t="shared" si="2"/>
        <v>402130496</v>
      </c>
    </row>
    <row r="2266" spans="1:4" ht="14">
      <c r="A2266" s="16">
        <v>42641</v>
      </c>
      <c r="B2266" s="17">
        <v>604.69000000000005</v>
      </c>
      <c r="C2266" s="18">
        <v>48722600</v>
      </c>
      <c r="D2266" s="21">
        <f t="shared" si="2"/>
        <v>378842000</v>
      </c>
    </row>
    <row r="2267" spans="1:4" ht="14">
      <c r="A2267" s="16">
        <v>42642</v>
      </c>
      <c r="B2267" s="17">
        <v>605.20000000000005</v>
      </c>
      <c r="C2267" s="18">
        <v>55658600</v>
      </c>
      <c r="D2267" s="21">
        <f t="shared" si="2"/>
        <v>344788400</v>
      </c>
    </row>
    <row r="2268" spans="1:4" ht="14">
      <c r="A2268" s="16">
        <v>42643</v>
      </c>
      <c r="B2268" s="17">
        <v>608.87</v>
      </c>
      <c r="C2268" s="18">
        <v>56122400</v>
      </c>
      <c r="D2268" s="21">
        <f t="shared" si="2"/>
        <v>333361700</v>
      </c>
    </row>
    <row r="2269" spans="1:4" ht="14">
      <c r="A2269" s="16">
        <v>42644</v>
      </c>
      <c r="B2269" s="17">
        <v>615.41</v>
      </c>
      <c r="C2269" s="18">
        <v>56357000</v>
      </c>
      <c r="D2269" s="21">
        <f t="shared" si="2"/>
        <v>338417100</v>
      </c>
    </row>
    <row r="2270" spans="1:4" ht="14">
      <c r="A2270" s="16">
        <v>42645</v>
      </c>
      <c r="B2270" s="17">
        <v>611.75</v>
      </c>
      <c r="C2270" s="18">
        <v>39249800</v>
      </c>
      <c r="D2270" s="21">
        <f t="shared" si="2"/>
        <v>359414600</v>
      </c>
    </row>
    <row r="2271" spans="1:4" ht="14">
      <c r="A2271" s="16">
        <v>42646</v>
      </c>
      <c r="B2271" s="17">
        <v>612.59</v>
      </c>
      <c r="C2271" s="18">
        <v>46798300</v>
      </c>
      <c r="D2271" s="21">
        <f t="shared" si="2"/>
        <v>364686600</v>
      </c>
    </row>
    <row r="2272" spans="1:4" ht="14">
      <c r="A2272" s="16">
        <v>42647</v>
      </c>
      <c r="B2272" s="17">
        <v>610.01</v>
      </c>
      <c r="C2272" s="18">
        <v>49801600</v>
      </c>
      <c r="D2272" s="21">
        <f t="shared" si="2"/>
        <v>352331100</v>
      </c>
    </row>
    <row r="2273" spans="1:4" ht="14">
      <c r="A2273" s="16">
        <v>42648</v>
      </c>
      <c r="B2273" s="17">
        <v>612.15</v>
      </c>
      <c r="C2273" s="18">
        <v>68077504</v>
      </c>
      <c r="D2273" s="21">
        <f t="shared" si="2"/>
        <v>352710300</v>
      </c>
    </row>
    <row r="2274" spans="1:4" ht="14">
      <c r="A2274" s="16">
        <v>42649</v>
      </c>
      <c r="B2274" s="17">
        <v>611.76</v>
      </c>
      <c r="C2274" s="18">
        <v>56812100</v>
      </c>
      <c r="D2274" s="21">
        <f t="shared" si="2"/>
        <v>372065204</v>
      </c>
    </row>
    <row r="2275" spans="1:4" ht="14">
      <c r="A2275" s="16">
        <v>42650</v>
      </c>
      <c r="B2275" s="17">
        <v>617.91</v>
      </c>
      <c r="C2275" s="18">
        <v>64071400</v>
      </c>
      <c r="D2275" s="21">
        <f t="shared" si="2"/>
        <v>373218704</v>
      </c>
    </row>
    <row r="2276" spans="1:4" ht="14">
      <c r="A2276" s="16">
        <v>42651</v>
      </c>
      <c r="B2276" s="17">
        <v>619.29999999999995</v>
      </c>
      <c r="C2276" s="18">
        <v>42345900</v>
      </c>
      <c r="D2276" s="21">
        <f t="shared" si="2"/>
        <v>381167704</v>
      </c>
    </row>
    <row r="2277" spans="1:4" ht="14">
      <c r="A2277" s="16">
        <v>42652</v>
      </c>
      <c r="B2277" s="17">
        <v>617.1</v>
      </c>
      <c r="C2277" s="18">
        <v>39243400</v>
      </c>
      <c r="D2277" s="21">
        <f t="shared" si="2"/>
        <v>367156604</v>
      </c>
    </row>
    <row r="2278" spans="1:4" ht="14">
      <c r="A2278" s="16">
        <v>42653</v>
      </c>
      <c r="B2278" s="17">
        <v>618.09</v>
      </c>
      <c r="C2278" s="18">
        <v>67481104</v>
      </c>
      <c r="D2278" s="21">
        <f t="shared" si="2"/>
        <v>367150204</v>
      </c>
    </row>
    <row r="2279" spans="1:4" ht="14">
      <c r="A2279" s="16">
        <v>42654</v>
      </c>
      <c r="B2279" s="17">
        <v>642.98</v>
      </c>
      <c r="C2279" s="18">
        <v>103590000</v>
      </c>
      <c r="D2279" s="21">
        <f t="shared" si="2"/>
        <v>387833008</v>
      </c>
    </row>
    <row r="2280" spans="1:4" ht="14">
      <c r="A2280" s="16">
        <v>42655</v>
      </c>
      <c r="B2280" s="17">
        <v>636.6</v>
      </c>
      <c r="C2280" s="18">
        <v>92370200</v>
      </c>
      <c r="D2280" s="21">
        <f t="shared" si="2"/>
        <v>441621408</v>
      </c>
    </row>
    <row r="2281" spans="1:4" ht="14">
      <c r="A2281" s="16">
        <v>42656</v>
      </c>
      <c r="B2281" s="17">
        <v>635.44000000000005</v>
      </c>
      <c r="C2281" s="18">
        <v>61620700</v>
      </c>
      <c r="D2281" s="21">
        <f t="shared" si="2"/>
        <v>465914104</v>
      </c>
    </row>
    <row r="2282" spans="1:4" ht="14">
      <c r="A2282" s="16">
        <v>42657</v>
      </c>
      <c r="B2282" s="17">
        <v>639.59</v>
      </c>
      <c r="C2282" s="18">
        <v>58144600</v>
      </c>
      <c r="D2282" s="21">
        <f t="shared" si="2"/>
        <v>470722704</v>
      </c>
    </row>
    <row r="2283" spans="1:4" ht="14">
      <c r="A2283" s="16">
        <v>42658</v>
      </c>
      <c r="B2283" s="17">
        <v>637.28</v>
      </c>
      <c r="C2283" s="18">
        <v>39035400</v>
      </c>
      <c r="D2283" s="21">
        <f t="shared" si="2"/>
        <v>464795904</v>
      </c>
    </row>
    <row r="2284" spans="1:4" ht="14">
      <c r="A2284" s="16">
        <v>42659</v>
      </c>
      <c r="B2284" s="17">
        <v>642.91</v>
      </c>
      <c r="C2284" s="18">
        <v>40298100</v>
      </c>
      <c r="D2284" s="21">
        <f t="shared" si="2"/>
        <v>461485404</v>
      </c>
    </row>
    <row r="2285" spans="1:4" ht="14">
      <c r="A2285" s="16">
        <v>42660</v>
      </c>
      <c r="B2285" s="17">
        <v>639.14</v>
      </c>
      <c r="C2285" s="18">
        <v>58063600</v>
      </c>
      <c r="D2285" s="21">
        <f t="shared" si="2"/>
        <v>462540104</v>
      </c>
    </row>
    <row r="2286" spans="1:4" ht="14">
      <c r="A2286" s="16">
        <v>42661</v>
      </c>
      <c r="B2286" s="17">
        <v>635.58000000000004</v>
      </c>
      <c r="C2286" s="18">
        <v>65546700</v>
      </c>
      <c r="D2286" s="21">
        <f t="shared" si="2"/>
        <v>453122600</v>
      </c>
    </row>
    <row r="2287" spans="1:4" ht="14">
      <c r="A2287" s="16">
        <v>42662</v>
      </c>
      <c r="B2287" s="17">
        <v>629.64</v>
      </c>
      <c r="C2287" s="18">
        <v>69381696</v>
      </c>
      <c r="D2287" s="21">
        <f t="shared" si="2"/>
        <v>415079300</v>
      </c>
    </row>
    <row r="2288" spans="1:4" ht="14">
      <c r="A2288" s="16">
        <v>42663</v>
      </c>
      <c r="B2288" s="17">
        <v>628.6</v>
      </c>
      <c r="C2288" s="18">
        <v>56957300</v>
      </c>
      <c r="D2288" s="21">
        <f t="shared" si="2"/>
        <v>392090796</v>
      </c>
    </row>
    <row r="2289" spans="1:4" ht="14">
      <c r="A2289" s="16">
        <v>42664</v>
      </c>
      <c r="B2289" s="17">
        <v>630.91</v>
      </c>
      <c r="C2289" s="18">
        <v>55951000</v>
      </c>
      <c r="D2289" s="21">
        <f t="shared" ref="D2289:D2543" si="3">IF(C2282&lt;&gt;"",SUM(C2282:C2288),"")</f>
        <v>387427396</v>
      </c>
    </row>
    <row r="2290" spans="1:4" ht="14">
      <c r="A2290" s="16">
        <v>42665</v>
      </c>
      <c r="B2290" s="17">
        <v>654.51</v>
      </c>
      <c r="C2290" s="18">
        <v>78556496</v>
      </c>
      <c r="D2290" s="21">
        <f t="shared" si="3"/>
        <v>385233796</v>
      </c>
    </row>
    <row r="2291" spans="1:4" ht="14">
      <c r="A2291" s="16">
        <v>42666</v>
      </c>
      <c r="B2291" s="17">
        <v>651.96</v>
      </c>
      <c r="C2291" s="18">
        <v>54474600</v>
      </c>
      <c r="D2291" s="21">
        <f t="shared" si="3"/>
        <v>424754892</v>
      </c>
    </row>
    <row r="2292" spans="1:4" ht="14">
      <c r="A2292" s="16">
        <v>42667</v>
      </c>
      <c r="B2292" s="17">
        <v>650.03</v>
      </c>
      <c r="C2292" s="18">
        <v>62218200</v>
      </c>
      <c r="D2292" s="21">
        <f t="shared" si="3"/>
        <v>438931392</v>
      </c>
    </row>
    <row r="2293" spans="1:4" ht="14">
      <c r="A2293" s="16">
        <v>42668</v>
      </c>
      <c r="B2293" s="17">
        <v>655.79</v>
      </c>
      <c r="C2293" s="18">
        <v>90378800</v>
      </c>
      <c r="D2293" s="21">
        <f t="shared" si="3"/>
        <v>443085992</v>
      </c>
    </row>
    <row r="2294" spans="1:4" ht="14">
      <c r="A2294" s="16">
        <v>42669</v>
      </c>
      <c r="B2294" s="17">
        <v>675.11</v>
      </c>
      <c r="C2294" s="18">
        <v>88877104</v>
      </c>
      <c r="D2294" s="21">
        <f t="shared" si="3"/>
        <v>467918092</v>
      </c>
    </row>
    <row r="2295" spans="1:4" ht="14">
      <c r="A2295" s="16">
        <v>42670</v>
      </c>
      <c r="B2295" s="17">
        <v>686.52</v>
      </c>
      <c r="C2295" s="18">
        <v>96105296</v>
      </c>
      <c r="D2295" s="21">
        <f t="shared" si="3"/>
        <v>487413500</v>
      </c>
    </row>
    <row r="2296" spans="1:4" ht="14">
      <c r="A2296" s="16">
        <v>42671</v>
      </c>
      <c r="B2296" s="17">
        <v>690.39</v>
      </c>
      <c r="C2296" s="18">
        <v>81145504</v>
      </c>
      <c r="D2296" s="21">
        <f t="shared" si="3"/>
        <v>526561496</v>
      </c>
    </row>
    <row r="2297" spans="1:4" ht="14">
      <c r="A2297" s="16">
        <v>42672</v>
      </c>
      <c r="B2297" s="17">
        <v>715.45</v>
      </c>
      <c r="C2297" s="18">
        <v>134760992</v>
      </c>
      <c r="D2297" s="21">
        <f t="shared" si="3"/>
        <v>551756000</v>
      </c>
    </row>
    <row r="2298" spans="1:4" ht="14">
      <c r="A2298" s="16">
        <v>42673</v>
      </c>
      <c r="B2298" s="17">
        <v>699.33</v>
      </c>
      <c r="C2298" s="18">
        <v>100665000</v>
      </c>
      <c r="D2298" s="21">
        <f t="shared" si="3"/>
        <v>607960496</v>
      </c>
    </row>
    <row r="2299" spans="1:4" ht="14">
      <c r="A2299" s="16">
        <v>42674</v>
      </c>
      <c r="B2299" s="17">
        <v>698.9</v>
      </c>
      <c r="C2299" s="18">
        <v>97064400</v>
      </c>
      <c r="D2299" s="21">
        <f t="shared" si="3"/>
        <v>654150896</v>
      </c>
    </row>
    <row r="2300" spans="1:4" ht="14">
      <c r="A2300" s="16">
        <v>42675</v>
      </c>
      <c r="B2300" s="17">
        <v>730.58</v>
      </c>
      <c r="C2300" s="18">
        <v>130527000</v>
      </c>
      <c r="D2300" s="21">
        <f t="shared" si="3"/>
        <v>688997096</v>
      </c>
    </row>
    <row r="2301" spans="1:4" ht="14">
      <c r="A2301" s="16">
        <v>42676</v>
      </c>
      <c r="B2301" s="17">
        <v>740.37</v>
      </c>
      <c r="C2301" s="18">
        <v>84865200</v>
      </c>
      <c r="D2301" s="21">
        <f t="shared" si="3"/>
        <v>729145296</v>
      </c>
    </row>
    <row r="2302" spans="1:4" ht="14">
      <c r="A2302" s="16">
        <v>42677</v>
      </c>
      <c r="B2302" s="17">
        <v>689.94</v>
      </c>
      <c r="C2302" s="18">
        <v>172808000</v>
      </c>
      <c r="D2302" s="21">
        <f t="shared" si="3"/>
        <v>725133392</v>
      </c>
    </row>
    <row r="2303" spans="1:4" ht="14">
      <c r="A2303" s="16">
        <v>42678</v>
      </c>
      <c r="B2303" s="17">
        <v>705.43</v>
      </c>
      <c r="C2303" s="18">
        <v>99907696</v>
      </c>
      <c r="D2303" s="21">
        <f t="shared" si="3"/>
        <v>801836096</v>
      </c>
    </row>
    <row r="2304" spans="1:4" ht="14">
      <c r="A2304" s="16">
        <v>42679</v>
      </c>
      <c r="B2304" s="17">
        <v>706.82</v>
      </c>
      <c r="C2304" s="18">
        <v>53752300</v>
      </c>
      <c r="D2304" s="21">
        <f t="shared" si="3"/>
        <v>820598288</v>
      </c>
    </row>
    <row r="2305" spans="1:4" ht="14">
      <c r="A2305" s="16">
        <v>42680</v>
      </c>
      <c r="B2305" s="17">
        <v>715.9</v>
      </c>
      <c r="C2305" s="18">
        <v>59902200</v>
      </c>
      <c r="D2305" s="21">
        <f t="shared" si="3"/>
        <v>739589596</v>
      </c>
    </row>
    <row r="2306" spans="1:4" ht="14">
      <c r="A2306" s="16">
        <v>42681</v>
      </c>
      <c r="B2306" s="17">
        <v>706.18</v>
      </c>
      <c r="C2306" s="18">
        <v>65047100</v>
      </c>
      <c r="D2306" s="21">
        <f t="shared" si="3"/>
        <v>698826796</v>
      </c>
    </row>
    <row r="2307" spans="1:4" ht="14">
      <c r="A2307" s="16">
        <v>42682</v>
      </c>
      <c r="B2307" s="17">
        <v>711.84</v>
      </c>
      <c r="C2307" s="18">
        <v>79660800</v>
      </c>
      <c r="D2307" s="21">
        <f t="shared" si="3"/>
        <v>666809496</v>
      </c>
    </row>
    <row r="2308" spans="1:4" ht="14">
      <c r="A2308" s="16">
        <v>42683</v>
      </c>
      <c r="B2308" s="17">
        <v>721.5</v>
      </c>
      <c r="C2308" s="18">
        <v>132429000</v>
      </c>
      <c r="D2308" s="21">
        <f t="shared" si="3"/>
        <v>615943296</v>
      </c>
    </row>
    <row r="2309" spans="1:4" ht="14">
      <c r="A2309" s="16">
        <v>42684</v>
      </c>
      <c r="B2309" s="17">
        <v>713.41</v>
      </c>
      <c r="C2309" s="18">
        <v>68807800</v>
      </c>
      <c r="D2309" s="21">
        <f t="shared" si="3"/>
        <v>663507096</v>
      </c>
    </row>
    <row r="2310" spans="1:4" ht="14">
      <c r="A2310" s="16">
        <v>42685</v>
      </c>
      <c r="B2310" s="17">
        <v>715.7</v>
      </c>
      <c r="C2310" s="18">
        <v>63119700</v>
      </c>
      <c r="D2310" s="21">
        <f t="shared" si="3"/>
        <v>559506896</v>
      </c>
    </row>
    <row r="2311" spans="1:4" ht="14">
      <c r="A2311" s="16">
        <v>42686</v>
      </c>
      <c r="B2311" s="17">
        <v>703.85</v>
      </c>
      <c r="C2311" s="18">
        <v>64622500</v>
      </c>
      <c r="D2311" s="21">
        <f t="shared" si="3"/>
        <v>522718900</v>
      </c>
    </row>
    <row r="2312" spans="1:4" ht="14">
      <c r="A2312" s="16">
        <v>42687</v>
      </c>
      <c r="B2312" s="17">
        <v>703.63</v>
      </c>
      <c r="C2312" s="18">
        <v>80318096</v>
      </c>
      <c r="D2312" s="21">
        <f t="shared" si="3"/>
        <v>533589100</v>
      </c>
    </row>
    <row r="2313" spans="1:4" ht="14">
      <c r="A2313" s="16">
        <v>42688</v>
      </c>
      <c r="B2313" s="17">
        <v>705.64</v>
      </c>
      <c r="C2313" s="18">
        <v>62993000</v>
      </c>
      <c r="D2313" s="21">
        <f t="shared" si="3"/>
        <v>554004996</v>
      </c>
    </row>
    <row r="2314" spans="1:4" ht="14">
      <c r="A2314" s="16">
        <v>42689</v>
      </c>
      <c r="B2314" s="17">
        <v>712.35</v>
      </c>
      <c r="C2314" s="18">
        <v>72038496</v>
      </c>
      <c r="D2314" s="21">
        <f t="shared" si="3"/>
        <v>551950896</v>
      </c>
    </row>
    <row r="2315" spans="1:4" ht="14">
      <c r="A2315" s="16">
        <v>42690</v>
      </c>
      <c r="B2315" s="17">
        <v>742.05</v>
      </c>
      <c r="C2315" s="18">
        <v>141294000</v>
      </c>
      <c r="D2315" s="21">
        <f t="shared" si="3"/>
        <v>544328592</v>
      </c>
    </row>
    <row r="2316" spans="1:4" ht="14">
      <c r="A2316" s="16">
        <v>42691</v>
      </c>
      <c r="B2316" s="17">
        <v>735.32</v>
      </c>
      <c r="C2316" s="18">
        <v>108579000</v>
      </c>
      <c r="D2316" s="21">
        <f t="shared" si="3"/>
        <v>553193592</v>
      </c>
    </row>
    <row r="2317" spans="1:4" ht="14">
      <c r="A2317" s="16">
        <v>42692</v>
      </c>
      <c r="B2317" s="17">
        <v>749.58</v>
      </c>
      <c r="C2317" s="18">
        <v>87363104</v>
      </c>
      <c r="D2317" s="21">
        <f t="shared" si="3"/>
        <v>592964792</v>
      </c>
    </row>
    <row r="2318" spans="1:4" ht="14">
      <c r="A2318" s="16">
        <v>42693</v>
      </c>
      <c r="B2318" s="17">
        <v>751.21</v>
      </c>
      <c r="C2318" s="18">
        <v>110608000</v>
      </c>
      <c r="D2318" s="21">
        <f t="shared" si="3"/>
        <v>617208196</v>
      </c>
    </row>
    <row r="2319" spans="1:4" ht="14">
      <c r="A2319" s="16">
        <v>42694</v>
      </c>
      <c r="B2319" s="17">
        <v>730.35</v>
      </c>
      <c r="C2319" s="18">
        <v>154116000</v>
      </c>
      <c r="D2319" s="21">
        <f t="shared" si="3"/>
        <v>663193696</v>
      </c>
    </row>
    <row r="2320" spans="1:4" ht="14">
      <c r="A2320" s="16">
        <v>42695</v>
      </c>
      <c r="B2320" s="17">
        <v>736.51</v>
      </c>
      <c r="C2320" s="18">
        <v>60802400</v>
      </c>
      <c r="D2320" s="21">
        <f t="shared" si="3"/>
        <v>736991600</v>
      </c>
    </row>
    <row r="2321" spans="1:4" ht="14">
      <c r="A2321" s="16">
        <v>42696</v>
      </c>
      <c r="B2321" s="17">
        <v>748</v>
      </c>
      <c r="C2321" s="18">
        <v>129906000</v>
      </c>
      <c r="D2321" s="21">
        <f t="shared" si="3"/>
        <v>734801000</v>
      </c>
    </row>
    <row r="2322" spans="1:4" ht="14">
      <c r="A2322" s="16">
        <v>42697</v>
      </c>
      <c r="B2322" s="17">
        <v>741.24</v>
      </c>
      <c r="C2322" s="18">
        <v>76543800</v>
      </c>
      <c r="D2322" s="21">
        <f t="shared" si="3"/>
        <v>792668504</v>
      </c>
    </row>
    <row r="2323" spans="1:4" ht="14">
      <c r="A2323" s="16">
        <v>42698</v>
      </c>
      <c r="B2323" s="17">
        <v>737.35</v>
      </c>
      <c r="C2323" s="18">
        <v>85919296</v>
      </c>
      <c r="D2323" s="21">
        <f t="shared" si="3"/>
        <v>727918304</v>
      </c>
    </row>
    <row r="2324" spans="1:4" ht="14">
      <c r="A2324" s="16">
        <v>42699</v>
      </c>
      <c r="B2324" s="17">
        <v>739.69</v>
      </c>
      <c r="C2324" s="18">
        <v>67807600</v>
      </c>
      <c r="D2324" s="21">
        <f t="shared" si="3"/>
        <v>705258600</v>
      </c>
    </row>
    <row r="2325" spans="1:4" ht="14">
      <c r="A2325" s="16">
        <v>42700</v>
      </c>
      <c r="B2325" s="17">
        <v>734.65</v>
      </c>
      <c r="C2325" s="18">
        <v>54962700</v>
      </c>
      <c r="D2325" s="21">
        <f t="shared" si="3"/>
        <v>685703096</v>
      </c>
    </row>
    <row r="2326" spans="1:4" ht="14">
      <c r="A2326" s="16">
        <v>42701</v>
      </c>
      <c r="B2326" s="17">
        <v>727.74</v>
      </c>
      <c r="C2326" s="18">
        <v>52601800</v>
      </c>
      <c r="D2326" s="21">
        <f t="shared" si="3"/>
        <v>630057796</v>
      </c>
    </row>
    <row r="2327" spans="1:4" ht="14">
      <c r="A2327" s="16">
        <v>42702</v>
      </c>
      <c r="B2327" s="17">
        <v>730.08</v>
      </c>
      <c r="C2327" s="18">
        <v>61888600</v>
      </c>
      <c r="D2327" s="21">
        <f t="shared" si="3"/>
        <v>528543596</v>
      </c>
    </row>
    <row r="2328" spans="1:4" ht="14">
      <c r="A2328" s="16">
        <v>42703</v>
      </c>
      <c r="B2328" s="17">
        <v>731.65</v>
      </c>
      <c r="C2328" s="18">
        <v>68511104</v>
      </c>
      <c r="D2328" s="21">
        <f t="shared" si="3"/>
        <v>529629796</v>
      </c>
    </row>
    <row r="2329" spans="1:4" ht="14">
      <c r="A2329" s="16">
        <v>42704</v>
      </c>
      <c r="B2329" s="17">
        <v>742.2</v>
      </c>
      <c r="C2329" s="18">
        <v>84070800</v>
      </c>
      <c r="D2329" s="21">
        <f t="shared" si="3"/>
        <v>468234900</v>
      </c>
    </row>
    <row r="2330" spans="1:4" ht="14">
      <c r="A2330" s="16">
        <v>42705</v>
      </c>
      <c r="B2330" s="17">
        <v>753.67</v>
      </c>
      <c r="C2330" s="18">
        <v>80461904</v>
      </c>
      <c r="D2330" s="21">
        <f t="shared" si="3"/>
        <v>475761900</v>
      </c>
    </row>
    <row r="2331" spans="1:4" ht="14">
      <c r="A2331" s="16">
        <v>42706</v>
      </c>
      <c r="B2331" s="17">
        <v>772.3</v>
      </c>
      <c r="C2331" s="18">
        <v>127605000</v>
      </c>
      <c r="D2331" s="21">
        <f t="shared" si="3"/>
        <v>470304508</v>
      </c>
    </row>
    <row r="2332" spans="1:4" ht="14">
      <c r="A2332" s="16">
        <v>42707</v>
      </c>
      <c r="B2332" s="17">
        <v>766.11</v>
      </c>
      <c r="C2332" s="18">
        <v>69547296</v>
      </c>
      <c r="D2332" s="21">
        <f t="shared" si="3"/>
        <v>530101908</v>
      </c>
    </row>
    <row r="2333" spans="1:4" ht="14">
      <c r="A2333" s="16">
        <v>42708</v>
      </c>
      <c r="B2333" s="17">
        <v>766.38</v>
      </c>
      <c r="C2333" s="18">
        <v>60557900</v>
      </c>
      <c r="D2333" s="21">
        <f t="shared" si="3"/>
        <v>544686504</v>
      </c>
    </row>
    <row r="2334" spans="1:4" ht="14">
      <c r="A2334" s="16">
        <v>42709</v>
      </c>
      <c r="B2334" s="17">
        <v>752.67</v>
      </c>
      <c r="C2334" s="18">
        <v>106363000</v>
      </c>
      <c r="D2334" s="21">
        <f t="shared" si="3"/>
        <v>552642604</v>
      </c>
    </row>
    <row r="2335" spans="1:4" ht="14">
      <c r="A2335" s="16">
        <v>42710</v>
      </c>
      <c r="B2335" s="17">
        <v>759.12</v>
      </c>
      <c r="C2335" s="18">
        <v>116218000</v>
      </c>
      <c r="D2335" s="21">
        <f t="shared" si="3"/>
        <v>597117004</v>
      </c>
    </row>
    <row r="2336" spans="1:4" ht="14">
      <c r="A2336" s="16">
        <v>42711</v>
      </c>
      <c r="B2336" s="17">
        <v>764.99</v>
      </c>
      <c r="C2336" s="18">
        <v>96426096</v>
      </c>
      <c r="D2336" s="21">
        <f t="shared" si="3"/>
        <v>644823900</v>
      </c>
    </row>
    <row r="2337" spans="1:4" ht="14">
      <c r="A2337" s="16">
        <v>42712</v>
      </c>
      <c r="B2337" s="17">
        <v>767.66</v>
      </c>
      <c r="C2337" s="18">
        <v>80111904</v>
      </c>
      <c r="D2337" s="21">
        <f t="shared" si="3"/>
        <v>657179196</v>
      </c>
    </row>
    <row r="2338" spans="1:4" ht="14">
      <c r="A2338" s="16">
        <v>42713</v>
      </c>
      <c r="B2338" s="17">
        <v>771.9</v>
      </c>
      <c r="C2338" s="18">
        <v>68705296</v>
      </c>
      <c r="D2338" s="21">
        <f t="shared" si="3"/>
        <v>656829196</v>
      </c>
    </row>
    <row r="2339" spans="1:4" ht="14">
      <c r="A2339" s="16">
        <v>42714</v>
      </c>
      <c r="B2339" s="17">
        <v>775.47</v>
      </c>
      <c r="C2339" s="18">
        <v>53843100</v>
      </c>
      <c r="D2339" s="21">
        <f t="shared" si="3"/>
        <v>597929492</v>
      </c>
    </row>
    <row r="2340" spans="1:4" ht="14">
      <c r="A2340" s="16">
        <v>42715</v>
      </c>
      <c r="B2340" s="17">
        <v>770.5</v>
      </c>
      <c r="C2340" s="18">
        <v>57313400</v>
      </c>
      <c r="D2340" s="21">
        <f t="shared" si="3"/>
        <v>582225296</v>
      </c>
    </row>
    <row r="2341" spans="1:4" ht="14">
      <c r="A2341" s="16">
        <v>42716</v>
      </c>
      <c r="B2341" s="17">
        <v>778.51</v>
      </c>
      <c r="C2341" s="18">
        <v>76571000</v>
      </c>
      <c r="D2341" s="21">
        <f t="shared" si="3"/>
        <v>578980796</v>
      </c>
    </row>
    <row r="2342" spans="1:4" ht="14">
      <c r="A2342" s="16">
        <v>42717</v>
      </c>
      <c r="B2342" s="17">
        <v>778.93</v>
      </c>
      <c r="C2342" s="18">
        <v>81645600</v>
      </c>
      <c r="D2342" s="21">
        <f t="shared" si="3"/>
        <v>549188796</v>
      </c>
    </row>
    <row r="2343" spans="1:4" ht="14">
      <c r="A2343" s="16">
        <v>42718</v>
      </c>
      <c r="B2343" s="17">
        <v>776.96</v>
      </c>
      <c r="C2343" s="18">
        <v>75979000</v>
      </c>
      <c r="D2343" s="21">
        <f t="shared" si="3"/>
        <v>514616396</v>
      </c>
    </row>
    <row r="2344" spans="1:4" ht="14">
      <c r="A2344" s="16">
        <v>42719</v>
      </c>
      <c r="B2344" s="17">
        <v>776.18</v>
      </c>
      <c r="C2344" s="18">
        <v>81580096</v>
      </c>
      <c r="D2344" s="21">
        <f t="shared" si="3"/>
        <v>494169300</v>
      </c>
    </row>
    <row r="2345" spans="1:4" ht="14">
      <c r="A2345" s="16">
        <v>42720</v>
      </c>
      <c r="B2345" s="17">
        <v>782.23</v>
      </c>
      <c r="C2345" s="18">
        <v>83608200</v>
      </c>
      <c r="D2345" s="21">
        <f t="shared" si="3"/>
        <v>495637492</v>
      </c>
    </row>
    <row r="2346" spans="1:4" ht="14">
      <c r="A2346" s="16">
        <v>42721</v>
      </c>
      <c r="B2346" s="17">
        <v>789.6</v>
      </c>
      <c r="C2346" s="18">
        <v>78989800</v>
      </c>
      <c r="D2346" s="21">
        <f t="shared" si="3"/>
        <v>510540396</v>
      </c>
    </row>
    <row r="2347" spans="1:4" ht="14">
      <c r="A2347" s="16">
        <v>42722</v>
      </c>
      <c r="B2347" s="17">
        <v>790.63</v>
      </c>
      <c r="C2347" s="18">
        <v>60524400</v>
      </c>
      <c r="D2347" s="21">
        <f t="shared" si="3"/>
        <v>535687096</v>
      </c>
    </row>
    <row r="2348" spans="1:4" ht="14">
      <c r="A2348" s="16">
        <v>42723</v>
      </c>
      <c r="B2348" s="17">
        <v>790.28</v>
      </c>
      <c r="C2348" s="18">
        <v>74886400</v>
      </c>
      <c r="D2348" s="21">
        <f t="shared" si="3"/>
        <v>538898096</v>
      </c>
    </row>
    <row r="2349" spans="1:4" ht="14">
      <c r="A2349" s="16">
        <v>42724</v>
      </c>
      <c r="B2349" s="17">
        <v>799.78</v>
      </c>
      <c r="C2349" s="18">
        <v>99629296</v>
      </c>
      <c r="D2349" s="21">
        <f t="shared" si="3"/>
        <v>537213496</v>
      </c>
    </row>
    <row r="2350" spans="1:4" ht="14">
      <c r="A2350" s="16">
        <v>42725</v>
      </c>
      <c r="B2350" s="17">
        <v>828.48</v>
      </c>
      <c r="C2350" s="18">
        <v>155576000</v>
      </c>
      <c r="D2350" s="21">
        <f t="shared" si="3"/>
        <v>555197192</v>
      </c>
    </row>
    <row r="2351" spans="1:4" ht="14">
      <c r="A2351" s="16">
        <v>42726</v>
      </c>
      <c r="B2351" s="17">
        <v>858.5</v>
      </c>
      <c r="C2351" s="18">
        <v>200027008</v>
      </c>
      <c r="D2351" s="21">
        <f t="shared" si="3"/>
        <v>634794192</v>
      </c>
    </row>
    <row r="2352" spans="1:4" ht="14">
      <c r="A2352" s="16">
        <v>42727</v>
      </c>
      <c r="B2352" s="17">
        <v>915.56</v>
      </c>
      <c r="C2352" s="18">
        <v>275564000</v>
      </c>
      <c r="D2352" s="21">
        <f t="shared" si="3"/>
        <v>753241104</v>
      </c>
    </row>
    <row r="2353" spans="1:4" ht="14">
      <c r="A2353" s="16">
        <v>42728</v>
      </c>
      <c r="B2353" s="17">
        <v>891.16</v>
      </c>
      <c r="C2353" s="18">
        <v>137727008</v>
      </c>
      <c r="D2353" s="21">
        <f t="shared" si="3"/>
        <v>945196904</v>
      </c>
    </row>
    <row r="2354" spans="1:4" ht="14">
      <c r="A2354" s="16">
        <v>42729</v>
      </c>
      <c r="B2354" s="17">
        <v>896</v>
      </c>
      <c r="C2354" s="18">
        <v>143664992</v>
      </c>
      <c r="D2354" s="21">
        <f t="shared" si="3"/>
        <v>1003934112</v>
      </c>
    </row>
    <row r="2355" spans="1:4" ht="14">
      <c r="A2355" s="16">
        <v>42730</v>
      </c>
      <c r="B2355" s="17">
        <v>903.2</v>
      </c>
      <c r="C2355" s="18">
        <v>123771000</v>
      </c>
      <c r="D2355" s="21">
        <f t="shared" si="3"/>
        <v>1087074704</v>
      </c>
    </row>
    <row r="2356" spans="1:4" ht="14">
      <c r="A2356" s="16">
        <v>42731</v>
      </c>
      <c r="B2356" s="17">
        <v>925.95</v>
      </c>
      <c r="C2356" s="18">
        <v>167308000</v>
      </c>
      <c r="D2356" s="21">
        <f t="shared" si="3"/>
        <v>1135959304</v>
      </c>
    </row>
    <row r="2357" spans="1:4" ht="14">
      <c r="A2357" s="16">
        <v>42732</v>
      </c>
      <c r="B2357" s="17">
        <v>979.96</v>
      </c>
      <c r="C2357" s="18">
        <v>236630000</v>
      </c>
      <c r="D2357" s="21">
        <f t="shared" si="3"/>
        <v>1203638008</v>
      </c>
    </row>
    <row r="2358" spans="1:4" ht="14">
      <c r="A2358" s="16">
        <v>42733</v>
      </c>
      <c r="B2358" s="17">
        <v>973.46</v>
      </c>
      <c r="C2358" s="18">
        <v>199320000</v>
      </c>
      <c r="D2358" s="21">
        <f t="shared" si="3"/>
        <v>1284692008</v>
      </c>
    </row>
    <row r="2359" spans="1:4" ht="14">
      <c r="A2359" s="16">
        <v>42734</v>
      </c>
      <c r="B2359" s="17">
        <v>961.18</v>
      </c>
      <c r="C2359" s="18">
        <v>187474000</v>
      </c>
      <c r="D2359" s="21">
        <f t="shared" si="3"/>
        <v>1283985000</v>
      </c>
    </row>
    <row r="2360" spans="1:4" ht="14">
      <c r="A2360" s="16">
        <v>42735</v>
      </c>
      <c r="B2360" s="17">
        <v>968.97</v>
      </c>
      <c r="C2360" s="18">
        <v>99135104</v>
      </c>
      <c r="D2360" s="21">
        <f t="shared" si="3"/>
        <v>1195895000</v>
      </c>
    </row>
    <row r="2361" spans="1:4" ht="14">
      <c r="A2361" s="16">
        <v>42736</v>
      </c>
      <c r="B2361" s="17">
        <v>997.26</v>
      </c>
      <c r="C2361" s="18">
        <v>147775008</v>
      </c>
      <c r="D2361" s="21">
        <f t="shared" si="3"/>
        <v>1157303096</v>
      </c>
    </row>
    <row r="2362" spans="1:4" ht="14">
      <c r="A2362" s="16">
        <v>42737</v>
      </c>
      <c r="B2362" s="17">
        <v>1017.08</v>
      </c>
      <c r="C2362" s="18">
        <v>222184992</v>
      </c>
      <c r="D2362" s="21">
        <f t="shared" si="3"/>
        <v>1161413112</v>
      </c>
    </row>
    <row r="2363" spans="1:4" ht="14">
      <c r="A2363" s="16">
        <v>42738</v>
      </c>
      <c r="B2363" s="17">
        <v>1032.6099999999999</v>
      </c>
      <c r="C2363" s="18">
        <v>185168000</v>
      </c>
      <c r="D2363" s="21">
        <f t="shared" si="3"/>
        <v>1259827104</v>
      </c>
    </row>
    <row r="2364" spans="1:4" ht="14">
      <c r="A2364" s="16">
        <v>42739</v>
      </c>
      <c r="B2364" s="17">
        <v>1134.5</v>
      </c>
      <c r="C2364" s="18">
        <v>344945984</v>
      </c>
      <c r="D2364" s="21">
        <f t="shared" si="3"/>
        <v>1277687104</v>
      </c>
    </row>
    <row r="2365" spans="1:4" ht="14">
      <c r="A2365" s="16">
        <v>42740</v>
      </c>
      <c r="B2365" s="17">
        <v>1000.5</v>
      </c>
      <c r="C2365" s="18">
        <v>510199008</v>
      </c>
      <c r="D2365" s="21">
        <f t="shared" si="3"/>
        <v>1386003088</v>
      </c>
    </row>
    <row r="2366" spans="1:4" ht="14">
      <c r="A2366" s="16">
        <v>42741</v>
      </c>
      <c r="B2366" s="17">
        <v>892.46</v>
      </c>
      <c r="C2366" s="18">
        <v>351876000</v>
      </c>
      <c r="D2366" s="21">
        <f t="shared" si="3"/>
        <v>1696882096</v>
      </c>
    </row>
    <row r="2367" spans="1:4" ht="14">
      <c r="A2367" s="16">
        <v>42742</v>
      </c>
      <c r="B2367" s="17">
        <v>903.45</v>
      </c>
      <c r="C2367" s="18">
        <v>279550016</v>
      </c>
      <c r="D2367" s="21">
        <f t="shared" si="3"/>
        <v>1861284096</v>
      </c>
    </row>
    <row r="2368" spans="1:4" ht="14">
      <c r="A2368" s="16">
        <v>42743</v>
      </c>
      <c r="B2368" s="17">
        <v>912.48</v>
      </c>
      <c r="C2368" s="18">
        <v>158715008</v>
      </c>
      <c r="D2368" s="21">
        <f t="shared" si="3"/>
        <v>2041699008</v>
      </c>
    </row>
    <row r="2369" spans="1:4" ht="14">
      <c r="A2369" s="16">
        <v>42744</v>
      </c>
      <c r="B2369" s="17">
        <v>903.51</v>
      </c>
      <c r="C2369" s="18">
        <v>141876992</v>
      </c>
      <c r="D2369" s="21">
        <f t="shared" si="3"/>
        <v>2052639008</v>
      </c>
    </row>
    <row r="2370" spans="1:4" ht="14">
      <c r="A2370" s="16">
        <v>42745</v>
      </c>
      <c r="B2370" s="17">
        <v>906.5</v>
      </c>
      <c r="C2370" s="18">
        <v>115808000</v>
      </c>
      <c r="D2370" s="21">
        <f t="shared" si="3"/>
        <v>1972331008</v>
      </c>
    </row>
    <row r="2371" spans="1:4" ht="14">
      <c r="A2371" s="16">
        <v>42746</v>
      </c>
      <c r="B2371" s="17">
        <v>788.31</v>
      </c>
      <c r="C2371" s="18">
        <v>310928992</v>
      </c>
      <c r="D2371" s="21">
        <f t="shared" si="3"/>
        <v>1902971008</v>
      </c>
    </row>
    <row r="2372" spans="1:4" ht="14">
      <c r="A2372" s="16">
        <v>42747</v>
      </c>
      <c r="B2372" s="17">
        <v>807.11</v>
      </c>
      <c r="C2372" s="18">
        <v>222326000</v>
      </c>
      <c r="D2372" s="21">
        <f t="shared" si="3"/>
        <v>1868954016</v>
      </c>
    </row>
    <row r="2373" spans="1:4" ht="14">
      <c r="A2373" s="16">
        <v>42748</v>
      </c>
      <c r="B2373" s="17">
        <v>826.75</v>
      </c>
      <c r="C2373" s="18">
        <v>168968000</v>
      </c>
      <c r="D2373" s="21">
        <f t="shared" si="3"/>
        <v>1581081008</v>
      </c>
    </row>
    <row r="2374" spans="1:4" ht="14">
      <c r="A2374" s="16">
        <v>42749</v>
      </c>
      <c r="B2374" s="17">
        <v>820.05</v>
      </c>
      <c r="C2374" s="18">
        <v>93063296</v>
      </c>
      <c r="D2374" s="21">
        <f t="shared" si="3"/>
        <v>1398173008</v>
      </c>
    </row>
    <row r="2375" spans="1:4" ht="14">
      <c r="A2375" s="16">
        <v>42750</v>
      </c>
      <c r="B2375" s="17">
        <v>824.55</v>
      </c>
      <c r="C2375" s="18">
        <v>71013600</v>
      </c>
      <c r="D2375" s="21">
        <f t="shared" si="3"/>
        <v>1211686288</v>
      </c>
    </row>
    <row r="2376" spans="1:4" ht="14">
      <c r="A2376" s="16">
        <v>42751</v>
      </c>
      <c r="B2376" s="17">
        <v>830.84</v>
      </c>
      <c r="C2376" s="18">
        <v>82755200</v>
      </c>
      <c r="D2376" s="21">
        <f t="shared" si="3"/>
        <v>1123984880</v>
      </c>
    </row>
    <row r="2377" spans="1:4" ht="14">
      <c r="A2377" s="16">
        <v>42752</v>
      </c>
      <c r="B2377" s="17">
        <v>906.03</v>
      </c>
      <c r="C2377" s="18">
        <v>155095008</v>
      </c>
      <c r="D2377" s="21">
        <f t="shared" si="3"/>
        <v>1064863088</v>
      </c>
    </row>
    <row r="2378" spans="1:4" ht="14">
      <c r="A2378" s="16">
        <v>42753</v>
      </c>
      <c r="B2378" s="17">
        <v>881.26</v>
      </c>
      <c r="C2378" s="18">
        <v>225676992</v>
      </c>
      <c r="D2378" s="21">
        <f t="shared" si="3"/>
        <v>1104150096</v>
      </c>
    </row>
    <row r="2379" spans="1:4" ht="14">
      <c r="A2379" s="16">
        <v>42754</v>
      </c>
      <c r="B2379" s="17">
        <v>902.26</v>
      </c>
      <c r="C2379" s="18">
        <v>105625000</v>
      </c>
      <c r="D2379" s="21">
        <f t="shared" si="3"/>
        <v>1018898096</v>
      </c>
    </row>
    <row r="2380" spans="1:4" ht="14">
      <c r="A2380" s="16">
        <v>42755</v>
      </c>
      <c r="B2380" s="17">
        <v>895.17</v>
      </c>
      <c r="C2380" s="18">
        <v>86728400</v>
      </c>
      <c r="D2380" s="21">
        <f t="shared" si="3"/>
        <v>902197096</v>
      </c>
    </row>
    <row r="2381" spans="1:4" ht="14">
      <c r="A2381" s="16">
        <v>42756</v>
      </c>
      <c r="B2381" s="17">
        <v>924.47</v>
      </c>
      <c r="C2381" s="18">
        <v>111158000</v>
      </c>
      <c r="D2381" s="21">
        <f t="shared" si="3"/>
        <v>819957496</v>
      </c>
    </row>
    <row r="2382" spans="1:4" ht="14">
      <c r="A2382" s="16">
        <v>42757</v>
      </c>
      <c r="B2382" s="17">
        <v>922.47</v>
      </c>
      <c r="C2382" s="18">
        <v>116573000</v>
      </c>
      <c r="D2382" s="21">
        <f t="shared" si="3"/>
        <v>838052200</v>
      </c>
    </row>
    <row r="2383" spans="1:4" ht="14">
      <c r="A2383" s="16">
        <v>42758</v>
      </c>
      <c r="B2383" s="17">
        <v>919.12</v>
      </c>
      <c r="C2383" s="18">
        <v>73588600</v>
      </c>
      <c r="D2383" s="21">
        <f t="shared" si="3"/>
        <v>883611600</v>
      </c>
    </row>
    <row r="2384" spans="1:4" ht="14">
      <c r="A2384" s="16">
        <v>42759</v>
      </c>
      <c r="B2384" s="17">
        <v>887.74</v>
      </c>
      <c r="C2384" s="18">
        <v>111349000</v>
      </c>
      <c r="D2384" s="21">
        <f t="shared" si="3"/>
        <v>874445000</v>
      </c>
    </row>
    <row r="2385" spans="1:4" ht="14">
      <c r="A2385" s="16">
        <v>42760</v>
      </c>
      <c r="B2385" s="17">
        <v>895.69</v>
      </c>
      <c r="C2385" s="18">
        <v>120831000</v>
      </c>
      <c r="D2385" s="21">
        <f t="shared" si="3"/>
        <v>830698992</v>
      </c>
    </row>
    <row r="2386" spans="1:4" ht="14">
      <c r="A2386" s="16">
        <v>42761</v>
      </c>
      <c r="B2386" s="17">
        <v>916.67</v>
      </c>
      <c r="C2386" s="18">
        <v>131958000</v>
      </c>
      <c r="D2386" s="21">
        <f t="shared" si="3"/>
        <v>725853000</v>
      </c>
    </row>
    <row r="2387" spans="1:4" ht="14">
      <c r="A2387" s="16">
        <v>42762</v>
      </c>
      <c r="B2387" s="17">
        <v>920.45</v>
      </c>
      <c r="C2387" s="18">
        <v>125594000</v>
      </c>
      <c r="D2387" s="21">
        <f t="shared" si="3"/>
        <v>752186000</v>
      </c>
    </row>
    <row r="2388" spans="1:4" ht="14">
      <c r="A2388" s="16">
        <v>42763</v>
      </c>
      <c r="B2388" s="17">
        <v>922.77</v>
      </c>
      <c r="C2388" s="18">
        <v>68979600</v>
      </c>
      <c r="D2388" s="21">
        <f t="shared" si="3"/>
        <v>791051600</v>
      </c>
    </row>
    <row r="2389" spans="1:4" ht="14">
      <c r="A2389" s="16">
        <v>42764</v>
      </c>
      <c r="B2389" s="17">
        <v>915.63</v>
      </c>
      <c r="C2389" s="18">
        <v>60851700</v>
      </c>
      <c r="D2389" s="21">
        <f t="shared" si="3"/>
        <v>748873200</v>
      </c>
    </row>
    <row r="2390" spans="1:4" ht="14">
      <c r="A2390" s="16">
        <v>42765</v>
      </c>
      <c r="B2390" s="17">
        <v>920.31</v>
      </c>
      <c r="C2390" s="18">
        <v>78227296</v>
      </c>
      <c r="D2390" s="21">
        <f t="shared" si="3"/>
        <v>693151900</v>
      </c>
    </row>
    <row r="2391" spans="1:4" ht="14">
      <c r="A2391" s="16">
        <v>42766</v>
      </c>
      <c r="B2391" s="17">
        <v>968.5</v>
      </c>
      <c r="C2391" s="18">
        <v>164582000</v>
      </c>
      <c r="D2391" s="21">
        <f t="shared" si="3"/>
        <v>697790596</v>
      </c>
    </row>
    <row r="2392" spans="1:4" ht="14">
      <c r="A2392" s="16">
        <v>42767</v>
      </c>
      <c r="B2392" s="17">
        <v>987.53</v>
      </c>
      <c r="C2392" s="18">
        <v>150110000</v>
      </c>
      <c r="D2392" s="21">
        <f t="shared" si="3"/>
        <v>751023596</v>
      </c>
    </row>
    <row r="2393" spans="1:4" ht="14">
      <c r="A2393" s="16">
        <v>42768</v>
      </c>
      <c r="B2393" s="17">
        <v>1007.7</v>
      </c>
      <c r="C2393" s="18">
        <v>145820992</v>
      </c>
      <c r="D2393" s="21">
        <f t="shared" si="3"/>
        <v>780302596</v>
      </c>
    </row>
    <row r="2394" spans="1:4" ht="14">
      <c r="A2394" s="16">
        <v>42769</v>
      </c>
      <c r="B2394" s="17">
        <v>1015.3</v>
      </c>
      <c r="C2394" s="18">
        <v>201278000</v>
      </c>
      <c r="D2394" s="21">
        <f t="shared" si="3"/>
        <v>794165588</v>
      </c>
    </row>
    <row r="2395" spans="1:4" ht="14">
      <c r="A2395" s="16">
        <v>42770</v>
      </c>
      <c r="B2395" s="17">
        <v>1033.79</v>
      </c>
      <c r="C2395" s="18">
        <v>155064000</v>
      </c>
      <c r="D2395" s="21">
        <f t="shared" si="3"/>
        <v>869849588</v>
      </c>
    </row>
    <row r="2396" spans="1:4" ht="14">
      <c r="A2396" s="16">
        <v>42771</v>
      </c>
      <c r="B2396" s="17">
        <v>1014.57</v>
      </c>
      <c r="C2396" s="18">
        <v>114208000</v>
      </c>
      <c r="D2396" s="21">
        <f t="shared" si="3"/>
        <v>955933988</v>
      </c>
    </row>
    <row r="2397" spans="1:4" ht="14">
      <c r="A2397" s="16">
        <v>42772</v>
      </c>
      <c r="B2397" s="17">
        <v>1023.32</v>
      </c>
      <c r="C2397" s="18">
        <v>111762000</v>
      </c>
      <c r="D2397" s="21">
        <f t="shared" si="3"/>
        <v>1009290288</v>
      </c>
    </row>
    <row r="2398" spans="1:4" ht="14">
      <c r="A2398" s="16">
        <v>42773</v>
      </c>
      <c r="B2398" s="17">
        <v>1053.6199999999999</v>
      </c>
      <c r="C2398" s="18">
        <v>146007008</v>
      </c>
      <c r="D2398" s="21">
        <f t="shared" si="3"/>
        <v>1042824992</v>
      </c>
    </row>
    <row r="2399" spans="1:4" ht="14">
      <c r="A2399" s="16">
        <v>42774</v>
      </c>
      <c r="B2399" s="17">
        <v>1052.3699999999999</v>
      </c>
      <c r="C2399" s="18">
        <v>201855008</v>
      </c>
      <c r="D2399" s="21">
        <f t="shared" si="3"/>
        <v>1024250000</v>
      </c>
    </row>
    <row r="2400" spans="1:4" ht="14">
      <c r="A2400" s="16">
        <v>42775</v>
      </c>
      <c r="B2400" s="17">
        <v>982.75</v>
      </c>
      <c r="C2400" s="18">
        <v>407220000</v>
      </c>
      <c r="D2400" s="21">
        <f t="shared" si="3"/>
        <v>1075995008</v>
      </c>
    </row>
    <row r="2401" spans="1:4" ht="14">
      <c r="A2401" s="16">
        <v>42776</v>
      </c>
      <c r="B2401" s="17">
        <v>996.65</v>
      </c>
      <c r="C2401" s="18">
        <v>190452000</v>
      </c>
      <c r="D2401" s="21">
        <f t="shared" si="3"/>
        <v>1337394016</v>
      </c>
    </row>
    <row r="2402" spans="1:4" ht="14">
      <c r="A2402" s="16">
        <v>42777</v>
      </c>
      <c r="B2402" s="17">
        <v>1011.38</v>
      </c>
      <c r="C2402" s="18">
        <v>102261000</v>
      </c>
      <c r="D2402" s="21">
        <f t="shared" si="3"/>
        <v>1326568016</v>
      </c>
    </row>
    <row r="2403" spans="1:4" ht="14">
      <c r="A2403" s="16">
        <v>42778</v>
      </c>
      <c r="B2403" s="17">
        <v>1006.3</v>
      </c>
      <c r="C2403" s="18">
        <v>67530000</v>
      </c>
      <c r="D2403" s="21">
        <f t="shared" si="3"/>
        <v>1273765016</v>
      </c>
    </row>
    <row r="2404" spans="1:4" ht="14">
      <c r="A2404" s="16">
        <v>42779</v>
      </c>
      <c r="B2404" s="17">
        <v>999.95</v>
      </c>
      <c r="C2404" s="18">
        <v>100607000</v>
      </c>
      <c r="D2404" s="21">
        <f t="shared" si="3"/>
        <v>1227087016</v>
      </c>
    </row>
    <row r="2405" spans="1:4" ht="14">
      <c r="A2405" s="16">
        <v>42780</v>
      </c>
      <c r="B2405" s="17">
        <v>1012.21</v>
      </c>
      <c r="C2405" s="18">
        <v>137946000</v>
      </c>
      <c r="D2405" s="21">
        <f t="shared" si="3"/>
        <v>1215932016</v>
      </c>
    </row>
    <row r="2406" spans="1:4" ht="14">
      <c r="A2406" s="16">
        <v>42781</v>
      </c>
      <c r="B2406" s="17">
        <v>1013.9</v>
      </c>
      <c r="C2406" s="18">
        <v>89759400</v>
      </c>
      <c r="D2406" s="21">
        <f t="shared" si="3"/>
        <v>1207871008</v>
      </c>
    </row>
    <row r="2407" spans="1:4" ht="14">
      <c r="A2407" s="16">
        <v>42782</v>
      </c>
      <c r="B2407" s="17">
        <v>1036.81</v>
      </c>
      <c r="C2407" s="18">
        <v>122277000</v>
      </c>
      <c r="D2407" s="21">
        <f t="shared" si="3"/>
        <v>1095775400</v>
      </c>
    </row>
    <row r="2408" spans="1:4" ht="14">
      <c r="A2408" s="16">
        <v>42783</v>
      </c>
      <c r="B2408" s="17">
        <v>1058.67</v>
      </c>
      <c r="C2408" s="18">
        <v>136474000</v>
      </c>
      <c r="D2408" s="21">
        <f t="shared" si="3"/>
        <v>810832400</v>
      </c>
    </row>
    <row r="2409" spans="1:4" ht="14">
      <c r="A2409" s="16">
        <v>42784</v>
      </c>
      <c r="B2409" s="17">
        <v>1060.67</v>
      </c>
      <c r="C2409" s="18">
        <v>99073504</v>
      </c>
      <c r="D2409" s="21">
        <f t="shared" si="3"/>
        <v>756854400</v>
      </c>
    </row>
    <row r="2410" spans="1:4" ht="14">
      <c r="A2410" s="16">
        <v>42785</v>
      </c>
      <c r="B2410" s="17">
        <v>1058.79</v>
      </c>
      <c r="C2410" s="18">
        <v>77423296</v>
      </c>
      <c r="D2410" s="21">
        <f t="shared" si="3"/>
        <v>753666904</v>
      </c>
    </row>
    <row r="2411" spans="1:4" ht="14">
      <c r="A2411" s="16">
        <v>42786</v>
      </c>
      <c r="B2411" s="17">
        <v>1088.69</v>
      </c>
      <c r="C2411" s="18">
        <v>109478000</v>
      </c>
      <c r="D2411" s="21">
        <f t="shared" si="3"/>
        <v>763560200</v>
      </c>
    </row>
    <row r="2412" spans="1:4" ht="14">
      <c r="A2412" s="16">
        <v>42787</v>
      </c>
      <c r="B2412" s="17">
        <v>1128.8599999999999</v>
      </c>
      <c r="C2412" s="18">
        <v>186868992</v>
      </c>
      <c r="D2412" s="21">
        <f t="shared" si="3"/>
        <v>772431200</v>
      </c>
    </row>
    <row r="2413" spans="1:4" ht="14">
      <c r="A2413" s="16">
        <v>42788</v>
      </c>
      <c r="B2413" s="17">
        <v>1129.7</v>
      </c>
      <c r="C2413" s="18">
        <v>136100000</v>
      </c>
      <c r="D2413" s="21">
        <f t="shared" si="3"/>
        <v>821354192</v>
      </c>
    </row>
    <row r="2414" spans="1:4" ht="14">
      <c r="A2414" s="16">
        <v>42789</v>
      </c>
      <c r="B2414" s="17">
        <v>1188.8599999999999</v>
      </c>
      <c r="C2414" s="18">
        <v>189454000</v>
      </c>
      <c r="D2414" s="21">
        <f t="shared" si="3"/>
        <v>867694792</v>
      </c>
    </row>
    <row r="2415" spans="1:4" ht="14">
      <c r="A2415" s="16">
        <v>42790</v>
      </c>
      <c r="B2415" s="17">
        <v>1185.49</v>
      </c>
      <c r="C2415" s="18">
        <v>330759008</v>
      </c>
      <c r="D2415" s="21">
        <f t="shared" si="3"/>
        <v>934871792</v>
      </c>
    </row>
    <row r="2416" spans="1:4" ht="14">
      <c r="A2416" s="16">
        <v>42791</v>
      </c>
      <c r="B2416" s="17">
        <v>1151.5999999999999</v>
      </c>
      <c r="C2416" s="18">
        <v>139960992</v>
      </c>
      <c r="D2416" s="21">
        <f t="shared" si="3"/>
        <v>1129156800</v>
      </c>
    </row>
    <row r="2417" spans="1:4" ht="14">
      <c r="A2417" s="16">
        <v>42792</v>
      </c>
      <c r="B2417" s="17">
        <v>1181.71</v>
      </c>
      <c r="C2417" s="18">
        <v>116486000</v>
      </c>
      <c r="D2417" s="21">
        <f t="shared" si="3"/>
        <v>1170044288</v>
      </c>
    </row>
    <row r="2418" spans="1:4" ht="14">
      <c r="A2418" s="16">
        <v>42793</v>
      </c>
      <c r="B2418" s="17">
        <v>1194.1500000000001</v>
      </c>
      <c r="C2418" s="18">
        <v>131570000</v>
      </c>
      <c r="D2418" s="21">
        <f t="shared" si="3"/>
        <v>1209106992</v>
      </c>
    </row>
    <row r="2419" spans="1:4" ht="14">
      <c r="A2419" s="16">
        <v>42794</v>
      </c>
      <c r="B2419" s="17">
        <v>1188.4000000000001</v>
      </c>
      <c r="C2419" s="18">
        <v>184956000</v>
      </c>
      <c r="D2419" s="21">
        <f t="shared" si="3"/>
        <v>1231198992</v>
      </c>
    </row>
    <row r="2420" spans="1:4" ht="14">
      <c r="A2420" s="16">
        <v>42795</v>
      </c>
      <c r="B2420" s="17">
        <v>1228.46</v>
      </c>
      <c r="C2420" s="18">
        <v>229056992</v>
      </c>
      <c r="D2420" s="21">
        <f t="shared" si="3"/>
        <v>1229286000</v>
      </c>
    </row>
    <row r="2421" spans="1:4" ht="14">
      <c r="A2421" s="16">
        <v>42796</v>
      </c>
      <c r="B2421" s="17">
        <v>1262.93</v>
      </c>
      <c r="C2421" s="18">
        <v>368275008</v>
      </c>
      <c r="D2421" s="21">
        <f t="shared" si="3"/>
        <v>1322242992</v>
      </c>
    </row>
    <row r="2422" spans="1:4" ht="14">
      <c r="A2422" s="16">
        <v>42797</v>
      </c>
      <c r="B2422" s="17">
        <v>1289.3599999999999</v>
      </c>
      <c r="C2422" s="18">
        <v>315739008</v>
      </c>
      <c r="D2422" s="21">
        <f t="shared" si="3"/>
        <v>1501064000</v>
      </c>
    </row>
    <row r="2423" spans="1:4" ht="14">
      <c r="A2423" s="16">
        <v>42798</v>
      </c>
      <c r="B2423" s="17">
        <v>1268.94</v>
      </c>
      <c r="C2423" s="18">
        <v>183270000</v>
      </c>
      <c r="D2423" s="21">
        <f t="shared" si="3"/>
        <v>1486044000</v>
      </c>
    </row>
    <row r="2424" spans="1:4" ht="14">
      <c r="A2424" s="16">
        <v>42799</v>
      </c>
      <c r="B2424" s="17">
        <v>1276.27</v>
      </c>
      <c r="C2424" s="18">
        <v>134127000</v>
      </c>
      <c r="D2424" s="21">
        <f t="shared" si="3"/>
        <v>1529353008</v>
      </c>
    </row>
    <row r="2425" spans="1:4" ht="14">
      <c r="A2425" s="16">
        <v>42800</v>
      </c>
      <c r="B2425" s="17">
        <v>1282.25</v>
      </c>
      <c r="C2425" s="18">
        <v>153656992</v>
      </c>
      <c r="D2425" s="21">
        <f t="shared" si="3"/>
        <v>1546994008</v>
      </c>
    </row>
    <row r="2426" spans="1:4" ht="14">
      <c r="A2426" s="16">
        <v>42801</v>
      </c>
      <c r="B2426" s="17">
        <v>1234.48</v>
      </c>
      <c r="C2426" s="18">
        <v>291256000</v>
      </c>
      <c r="D2426" s="21">
        <f t="shared" si="3"/>
        <v>1569081000</v>
      </c>
    </row>
    <row r="2427" spans="1:4" ht="14">
      <c r="A2427" s="16">
        <v>42802</v>
      </c>
      <c r="B2427" s="17">
        <v>1152.1400000000001</v>
      </c>
      <c r="C2427" s="18">
        <v>332603008</v>
      </c>
      <c r="D2427" s="21">
        <f t="shared" si="3"/>
        <v>1675381000</v>
      </c>
    </row>
    <row r="2428" spans="1:4" ht="14">
      <c r="A2428" s="16">
        <v>42803</v>
      </c>
      <c r="B2428" s="17">
        <v>1193.46</v>
      </c>
      <c r="C2428" s="18">
        <v>212283008</v>
      </c>
      <c r="D2428" s="21">
        <f t="shared" si="3"/>
        <v>1778927016</v>
      </c>
    </row>
    <row r="2429" spans="1:4" ht="14">
      <c r="A2429" s="16">
        <v>42804</v>
      </c>
      <c r="B2429" s="17">
        <v>1098.53</v>
      </c>
      <c r="C2429" s="18">
        <v>563795968</v>
      </c>
      <c r="D2429" s="21">
        <f t="shared" si="3"/>
        <v>1622935016</v>
      </c>
    </row>
    <row r="2430" spans="1:4" ht="14">
      <c r="A2430" s="16">
        <v>42805</v>
      </c>
      <c r="B2430" s="17">
        <v>1176.82</v>
      </c>
      <c r="C2430" s="18">
        <v>283320000</v>
      </c>
      <c r="D2430" s="21">
        <f t="shared" si="3"/>
        <v>1870991976</v>
      </c>
    </row>
    <row r="2431" spans="1:4" ht="14">
      <c r="A2431" s="16">
        <v>42806</v>
      </c>
      <c r="B2431" s="17">
        <v>1231.75</v>
      </c>
      <c r="C2431" s="18">
        <v>227176000</v>
      </c>
      <c r="D2431" s="21">
        <f t="shared" si="3"/>
        <v>1971041976</v>
      </c>
    </row>
    <row r="2432" spans="1:4" ht="14">
      <c r="A2432" s="16">
        <v>42807</v>
      </c>
      <c r="B2432" s="17">
        <v>1239.4000000000001</v>
      </c>
      <c r="C2432" s="18">
        <v>380276992</v>
      </c>
      <c r="D2432" s="21">
        <f t="shared" si="3"/>
        <v>2064090976</v>
      </c>
    </row>
    <row r="2433" spans="1:4" ht="14">
      <c r="A2433" s="16">
        <v>42808</v>
      </c>
      <c r="B2433" s="17">
        <v>1246.54</v>
      </c>
      <c r="C2433" s="18">
        <v>245306000</v>
      </c>
      <c r="D2433" s="21">
        <f t="shared" si="3"/>
        <v>2290710976</v>
      </c>
    </row>
    <row r="2434" spans="1:4" ht="14">
      <c r="A2434" s="16">
        <v>42809</v>
      </c>
      <c r="B2434" s="17">
        <v>1258.6500000000001</v>
      </c>
      <c r="C2434" s="18">
        <v>297804992</v>
      </c>
      <c r="D2434" s="21">
        <f t="shared" si="3"/>
        <v>2244760976</v>
      </c>
    </row>
    <row r="2435" spans="1:4" ht="14">
      <c r="A2435" s="16">
        <v>42810</v>
      </c>
      <c r="B2435" s="17">
        <v>1178.02</v>
      </c>
      <c r="C2435" s="18">
        <v>638568000</v>
      </c>
      <c r="D2435" s="21">
        <f t="shared" si="3"/>
        <v>2209962960</v>
      </c>
    </row>
    <row r="2436" spans="1:4" ht="14">
      <c r="A2436" s="16">
        <v>42811</v>
      </c>
      <c r="B2436" s="17">
        <v>1072.08</v>
      </c>
      <c r="C2436" s="18">
        <v>706598976</v>
      </c>
      <c r="D2436" s="21">
        <f t="shared" si="3"/>
        <v>2636247952</v>
      </c>
    </row>
    <row r="2437" spans="1:4" ht="14">
      <c r="A2437" s="16">
        <v>42812</v>
      </c>
      <c r="B2437" s="17">
        <v>962.57</v>
      </c>
      <c r="C2437" s="18">
        <v>621302016</v>
      </c>
      <c r="D2437" s="21">
        <f t="shared" si="3"/>
        <v>2779050960</v>
      </c>
    </row>
    <row r="2438" spans="1:4" ht="14">
      <c r="A2438" s="16">
        <v>42813</v>
      </c>
      <c r="B2438" s="17">
        <v>1020.22</v>
      </c>
      <c r="C2438" s="18">
        <v>406648000</v>
      </c>
      <c r="D2438" s="21">
        <f t="shared" si="3"/>
        <v>3117032976</v>
      </c>
    </row>
    <row r="2439" spans="1:4" ht="14">
      <c r="A2439" s="16">
        <v>42814</v>
      </c>
      <c r="B2439" s="17">
        <v>1037.76</v>
      </c>
      <c r="C2439" s="18">
        <v>286529984</v>
      </c>
      <c r="D2439" s="21">
        <f t="shared" si="3"/>
        <v>3296504976</v>
      </c>
    </row>
    <row r="2440" spans="1:4" ht="14">
      <c r="A2440" s="16">
        <v>42815</v>
      </c>
      <c r="B2440" s="17">
        <v>1111.82</v>
      </c>
      <c r="C2440" s="18">
        <v>337391008</v>
      </c>
      <c r="D2440" s="21">
        <f t="shared" si="3"/>
        <v>3202757968</v>
      </c>
    </row>
    <row r="2441" spans="1:4" ht="14">
      <c r="A2441" s="16">
        <v>42816</v>
      </c>
      <c r="B2441" s="17">
        <v>1037.3</v>
      </c>
      <c r="C2441" s="18">
        <v>380840992</v>
      </c>
      <c r="D2441" s="21">
        <f t="shared" si="3"/>
        <v>3294842976</v>
      </c>
    </row>
    <row r="2442" spans="1:4" ht="14">
      <c r="A2442" s="16">
        <v>42817</v>
      </c>
      <c r="B2442" s="17">
        <v>1028.17</v>
      </c>
      <c r="C2442" s="18">
        <v>248540000</v>
      </c>
      <c r="D2442" s="21">
        <f t="shared" si="3"/>
        <v>3377878976</v>
      </c>
    </row>
    <row r="2443" spans="1:4" ht="14">
      <c r="A2443" s="16">
        <v>42818</v>
      </c>
      <c r="B2443" s="17">
        <v>935.06</v>
      </c>
      <c r="C2443" s="18">
        <v>491038016</v>
      </c>
      <c r="D2443" s="21">
        <f t="shared" si="3"/>
        <v>2987850976</v>
      </c>
    </row>
    <row r="2444" spans="1:4" ht="14">
      <c r="A2444" s="16">
        <v>42819</v>
      </c>
      <c r="B2444" s="17">
        <v>968.54</v>
      </c>
      <c r="C2444" s="18">
        <v>435803008</v>
      </c>
      <c r="D2444" s="21">
        <f t="shared" si="3"/>
        <v>2772290016</v>
      </c>
    </row>
    <row r="2445" spans="1:4" ht="14">
      <c r="A2445" s="16">
        <v>42820</v>
      </c>
      <c r="B2445" s="17">
        <v>962.96</v>
      </c>
      <c r="C2445" s="18">
        <v>303668000</v>
      </c>
      <c r="D2445" s="21">
        <f t="shared" si="3"/>
        <v>2586791008</v>
      </c>
    </row>
    <row r="2446" spans="1:4" ht="14">
      <c r="A2446" s="16">
        <v>42821</v>
      </c>
      <c r="B2446" s="17">
        <v>1042.92</v>
      </c>
      <c r="C2446" s="18">
        <v>372535008</v>
      </c>
      <c r="D2446" s="21">
        <f t="shared" si="3"/>
        <v>2483811008</v>
      </c>
    </row>
    <row r="2447" spans="1:4" ht="14">
      <c r="A2447" s="16">
        <v>42822</v>
      </c>
      <c r="B2447" s="17">
        <v>1045.1600000000001</v>
      </c>
      <c r="C2447" s="18">
        <v>326332000</v>
      </c>
      <c r="D2447" s="21">
        <f t="shared" si="3"/>
        <v>2569816032</v>
      </c>
    </row>
    <row r="2448" spans="1:4" ht="14">
      <c r="A2448" s="16">
        <v>42823</v>
      </c>
      <c r="B2448" s="17">
        <v>1039.69</v>
      </c>
      <c r="C2448" s="18">
        <v>298457984</v>
      </c>
      <c r="D2448" s="21">
        <f t="shared" si="3"/>
        <v>2558757024</v>
      </c>
    </row>
    <row r="2449" spans="1:4" ht="14">
      <c r="A2449" s="16">
        <v>42824</v>
      </c>
      <c r="B2449" s="17">
        <v>1037.99</v>
      </c>
      <c r="C2449" s="18">
        <v>352968992</v>
      </c>
      <c r="D2449" s="21">
        <f t="shared" si="3"/>
        <v>2476374016</v>
      </c>
    </row>
    <row r="2450" spans="1:4" ht="14">
      <c r="A2450" s="16">
        <v>42825</v>
      </c>
      <c r="B2450" s="17">
        <v>1081.74</v>
      </c>
      <c r="C2450" s="18">
        <v>447287008</v>
      </c>
      <c r="D2450" s="21">
        <f t="shared" si="3"/>
        <v>2580803008</v>
      </c>
    </row>
    <row r="2451" spans="1:4" ht="14">
      <c r="A2451" s="16">
        <v>42826</v>
      </c>
      <c r="B2451" s="17">
        <v>1089.52</v>
      </c>
      <c r="C2451" s="18">
        <v>289633984</v>
      </c>
      <c r="D2451" s="21">
        <f t="shared" si="3"/>
        <v>2537052000</v>
      </c>
    </row>
    <row r="2452" spans="1:4" ht="14">
      <c r="A2452" s="16">
        <v>42827</v>
      </c>
      <c r="B2452" s="17">
        <v>1105.56</v>
      </c>
      <c r="C2452" s="18">
        <v>514187008</v>
      </c>
      <c r="D2452" s="21">
        <f t="shared" si="3"/>
        <v>2390882976</v>
      </c>
    </row>
    <row r="2453" spans="1:4" ht="14">
      <c r="A2453" s="16">
        <v>42828</v>
      </c>
      <c r="B2453" s="17">
        <v>1144.6600000000001</v>
      </c>
      <c r="C2453" s="18">
        <v>580444032</v>
      </c>
      <c r="D2453" s="21">
        <f t="shared" si="3"/>
        <v>2601401984</v>
      </c>
    </row>
    <row r="2454" spans="1:4" ht="14">
      <c r="A2454" s="16">
        <v>42829</v>
      </c>
      <c r="B2454" s="17">
        <v>1141.92</v>
      </c>
      <c r="C2454" s="18">
        <v>436310016</v>
      </c>
      <c r="D2454" s="21">
        <f t="shared" si="3"/>
        <v>2809311008</v>
      </c>
    </row>
    <row r="2455" spans="1:4" ht="14">
      <c r="A2455" s="16">
        <v>42830</v>
      </c>
      <c r="B2455" s="17">
        <v>1135.81</v>
      </c>
      <c r="C2455" s="18">
        <v>414784000</v>
      </c>
      <c r="D2455" s="21">
        <f t="shared" si="3"/>
        <v>2919289024</v>
      </c>
    </row>
    <row r="2456" spans="1:4" ht="14">
      <c r="A2456" s="16">
        <v>42831</v>
      </c>
      <c r="B2456" s="17">
        <v>1194.5999999999999</v>
      </c>
      <c r="C2456" s="18">
        <v>511222016</v>
      </c>
      <c r="D2456" s="21">
        <f t="shared" si="3"/>
        <v>3035615040</v>
      </c>
    </row>
    <row r="2457" spans="1:4" ht="14">
      <c r="A2457" s="16">
        <v>42832</v>
      </c>
      <c r="B2457" s="17">
        <v>1191.73</v>
      </c>
      <c r="C2457" s="18">
        <v>317022016</v>
      </c>
      <c r="D2457" s="21">
        <f t="shared" si="3"/>
        <v>3193868064</v>
      </c>
    </row>
    <row r="2458" spans="1:4" ht="14">
      <c r="A2458" s="16">
        <v>42833</v>
      </c>
      <c r="B2458" s="17">
        <v>1184.42</v>
      </c>
      <c r="C2458" s="18">
        <v>209312000</v>
      </c>
      <c r="D2458" s="21">
        <f t="shared" si="3"/>
        <v>3063603072</v>
      </c>
    </row>
    <row r="2459" spans="1:4" ht="14">
      <c r="A2459" s="16">
        <v>42834</v>
      </c>
      <c r="B2459" s="17">
        <v>1213.6300000000001</v>
      </c>
      <c r="C2459" s="18">
        <v>242343008</v>
      </c>
      <c r="D2459" s="21">
        <f t="shared" si="3"/>
        <v>2983281088</v>
      </c>
    </row>
    <row r="2460" spans="1:4" ht="14">
      <c r="A2460" s="16">
        <v>42835</v>
      </c>
      <c r="B2460" s="17">
        <v>1211.6500000000001</v>
      </c>
      <c r="C2460" s="18">
        <v>215883008</v>
      </c>
      <c r="D2460" s="21">
        <f t="shared" si="3"/>
        <v>2711437088</v>
      </c>
    </row>
    <row r="2461" spans="1:4" ht="14">
      <c r="A2461" s="16">
        <v>42836</v>
      </c>
      <c r="B2461" s="17">
        <v>1229.78</v>
      </c>
      <c r="C2461" s="18">
        <v>216182000</v>
      </c>
      <c r="D2461" s="21">
        <f t="shared" si="3"/>
        <v>2346876064</v>
      </c>
    </row>
    <row r="2462" spans="1:4" ht="14">
      <c r="A2462" s="16">
        <v>42837</v>
      </c>
      <c r="B2462" s="17">
        <v>1216.1099999999999</v>
      </c>
      <c r="C2462" s="18">
        <v>288702016</v>
      </c>
      <c r="D2462" s="21">
        <f t="shared" si="3"/>
        <v>2126748048</v>
      </c>
    </row>
    <row r="2463" spans="1:4" ht="14">
      <c r="A2463" s="16">
        <v>42838</v>
      </c>
      <c r="B2463" s="17">
        <v>1172.56</v>
      </c>
      <c r="C2463" s="18">
        <v>351968992</v>
      </c>
      <c r="D2463" s="21">
        <f t="shared" si="3"/>
        <v>2000666064</v>
      </c>
    </row>
    <row r="2464" spans="1:4" ht="14">
      <c r="A2464" s="16">
        <v>42839</v>
      </c>
      <c r="B2464" s="17">
        <v>1174.33</v>
      </c>
      <c r="C2464" s="18">
        <v>254827008</v>
      </c>
      <c r="D2464" s="21">
        <f t="shared" si="3"/>
        <v>1841413040</v>
      </c>
    </row>
    <row r="2465" spans="1:4" ht="14">
      <c r="A2465" s="16">
        <v>42840</v>
      </c>
      <c r="B2465" s="17">
        <v>1175.56</v>
      </c>
      <c r="C2465" s="18">
        <v>203559008</v>
      </c>
      <c r="D2465" s="21">
        <f t="shared" si="3"/>
        <v>1779218032</v>
      </c>
    </row>
    <row r="2466" spans="1:4" ht="14">
      <c r="A2466" s="16">
        <v>42841</v>
      </c>
      <c r="B2466" s="17">
        <v>1173.69</v>
      </c>
      <c r="C2466" s="18">
        <v>183231008</v>
      </c>
      <c r="D2466" s="21">
        <f t="shared" si="3"/>
        <v>1773465040</v>
      </c>
    </row>
    <row r="2467" spans="1:4" ht="14">
      <c r="A2467" s="16">
        <v>42842</v>
      </c>
      <c r="B2467" s="17">
        <v>1191.9000000000001</v>
      </c>
      <c r="C2467" s="18">
        <v>253206000</v>
      </c>
      <c r="D2467" s="21">
        <f t="shared" si="3"/>
        <v>1714353040</v>
      </c>
    </row>
    <row r="2468" spans="1:4" ht="14">
      <c r="A2468" s="16">
        <v>42843</v>
      </c>
      <c r="B2468" s="17">
        <v>1202.1300000000001</v>
      </c>
      <c r="C2468" s="18">
        <v>270524000</v>
      </c>
      <c r="D2468" s="21">
        <f t="shared" si="3"/>
        <v>1751676032</v>
      </c>
    </row>
    <row r="2469" spans="1:4" ht="14">
      <c r="A2469" s="16">
        <v>42844</v>
      </c>
      <c r="B2469" s="17">
        <v>1209.56</v>
      </c>
      <c r="C2469" s="18">
        <v>288060992</v>
      </c>
      <c r="D2469" s="21">
        <f t="shared" si="3"/>
        <v>1806018032</v>
      </c>
    </row>
    <row r="2470" spans="1:4" ht="14">
      <c r="A2470" s="16">
        <v>42845</v>
      </c>
      <c r="B2470" s="17">
        <v>1235.8</v>
      </c>
      <c r="C2470" s="18">
        <v>315108000</v>
      </c>
      <c r="D2470" s="21">
        <f t="shared" si="3"/>
        <v>1805377008</v>
      </c>
    </row>
    <row r="2471" spans="1:4" ht="14">
      <c r="A2471" s="16">
        <v>42846</v>
      </c>
      <c r="B2471" s="17">
        <v>1247.3399999999999</v>
      </c>
      <c r="C2471" s="18">
        <v>272167008</v>
      </c>
      <c r="D2471" s="21">
        <f t="shared" si="3"/>
        <v>1768516016</v>
      </c>
    </row>
    <row r="2472" spans="1:4" ht="14">
      <c r="A2472" s="16">
        <v>42847</v>
      </c>
      <c r="B2472" s="17">
        <v>1243.55</v>
      </c>
      <c r="C2472" s="18">
        <v>249320000</v>
      </c>
      <c r="D2472" s="21">
        <f t="shared" si="3"/>
        <v>1785856016</v>
      </c>
    </row>
    <row r="2473" spans="1:4" ht="14">
      <c r="A2473" s="16">
        <v>42848</v>
      </c>
      <c r="B2473" s="17">
        <v>1250</v>
      </c>
      <c r="C2473" s="18">
        <v>258951008</v>
      </c>
      <c r="D2473" s="21">
        <f t="shared" si="3"/>
        <v>1831617008</v>
      </c>
    </row>
    <row r="2474" spans="1:4" ht="14">
      <c r="A2474" s="16">
        <v>42849</v>
      </c>
      <c r="B2474" s="17">
        <v>1257.24</v>
      </c>
      <c r="C2474" s="18">
        <v>235806000</v>
      </c>
      <c r="D2474" s="21">
        <f t="shared" si="3"/>
        <v>1907337008</v>
      </c>
    </row>
    <row r="2475" spans="1:4" ht="14">
      <c r="A2475" s="16">
        <v>42850</v>
      </c>
      <c r="B2475" s="17">
        <v>1279.8599999999999</v>
      </c>
      <c r="C2475" s="18">
        <v>242556000</v>
      </c>
      <c r="D2475" s="21">
        <f t="shared" si="3"/>
        <v>1889937008</v>
      </c>
    </row>
    <row r="2476" spans="1:4" ht="14">
      <c r="A2476" s="16">
        <v>42851</v>
      </c>
      <c r="B2476" s="17">
        <v>1296.49</v>
      </c>
      <c r="C2476" s="18">
        <v>329631008</v>
      </c>
      <c r="D2476" s="21">
        <f t="shared" si="3"/>
        <v>1861969008</v>
      </c>
    </row>
    <row r="2477" spans="1:4" ht="14">
      <c r="A2477" s="16">
        <v>42852</v>
      </c>
      <c r="B2477" s="17">
        <v>1345.89</v>
      </c>
      <c r="C2477" s="18">
        <v>449196992</v>
      </c>
      <c r="D2477" s="21">
        <f t="shared" si="3"/>
        <v>1903539024</v>
      </c>
    </row>
    <row r="2478" spans="1:4" ht="14">
      <c r="A2478" s="16">
        <v>42853</v>
      </c>
      <c r="B2478" s="17">
        <v>1347.99</v>
      </c>
      <c r="C2478" s="18">
        <v>527488992</v>
      </c>
      <c r="D2478" s="21">
        <f t="shared" si="3"/>
        <v>2037628016</v>
      </c>
    </row>
    <row r="2479" spans="1:4" ht="14">
      <c r="A2479" s="16">
        <v>42854</v>
      </c>
      <c r="B2479" s="17">
        <v>1357.72</v>
      </c>
      <c r="C2479" s="18">
        <v>422705984</v>
      </c>
      <c r="D2479" s="21">
        <f t="shared" si="3"/>
        <v>2292950000</v>
      </c>
    </row>
    <row r="2480" spans="1:4" ht="14">
      <c r="A2480" s="16">
        <v>42855</v>
      </c>
      <c r="B2480" s="17">
        <v>1381.96</v>
      </c>
      <c r="C2480" s="18">
        <v>413115008</v>
      </c>
      <c r="D2480" s="21">
        <f t="shared" si="3"/>
        <v>2466335984</v>
      </c>
    </row>
    <row r="2481" spans="1:4" ht="14">
      <c r="A2481" s="16">
        <v>42856</v>
      </c>
      <c r="B2481" s="17">
        <v>1436.94</v>
      </c>
      <c r="C2481" s="18">
        <v>713624000</v>
      </c>
      <c r="D2481" s="21">
        <f t="shared" si="3"/>
        <v>2620499984</v>
      </c>
    </row>
    <row r="2482" spans="1:4" ht="14">
      <c r="A2482" s="16">
        <v>42857</v>
      </c>
      <c r="B2482" s="17">
        <v>1463.82</v>
      </c>
      <c r="C2482" s="18">
        <v>477337984</v>
      </c>
      <c r="D2482" s="21">
        <f t="shared" si="3"/>
        <v>3098317984</v>
      </c>
    </row>
    <row r="2483" spans="1:4" ht="14">
      <c r="A2483" s="16">
        <v>42858</v>
      </c>
      <c r="B2483" s="17">
        <v>1519.41</v>
      </c>
      <c r="C2483" s="18">
        <v>583795968</v>
      </c>
      <c r="D2483" s="21">
        <f t="shared" si="3"/>
        <v>3333099968</v>
      </c>
    </row>
    <row r="2484" spans="1:4" ht="14">
      <c r="A2484" s="16">
        <v>42859</v>
      </c>
      <c r="B2484" s="17">
        <v>1539.83</v>
      </c>
      <c r="C2484" s="18">
        <v>933548992</v>
      </c>
      <c r="D2484" s="21">
        <f t="shared" si="3"/>
        <v>3587264928</v>
      </c>
    </row>
    <row r="2485" spans="1:4" ht="14">
      <c r="A2485" s="16">
        <v>42860</v>
      </c>
      <c r="B2485" s="17">
        <v>1529.85</v>
      </c>
      <c r="C2485" s="18">
        <v>946035968</v>
      </c>
      <c r="D2485" s="21">
        <f t="shared" si="3"/>
        <v>4071616928</v>
      </c>
    </row>
    <row r="2486" spans="1:4" ht="14">
      <c r="A2486" s="16">
        <v>42861</v>
      </c>
      <c r="B2486" s="17">
        <v>1573.29</v>
      </c>
      <c r="C2486" s="18">
        <v>582529984</v>
      </c>
      <c r="D2486" s="21">
        <f t="shared" si="3"/>
        <v>4490163904</v>
      </c>
    </row>
    <row r="2487" spans="1:4" ht="14">
      <c r="A2487" s="16">
        <v>42862</v>
      </c>
      <c r="B2487" s="17">
        <v>1526.27</v>
      </c>
      <c r="C2487" s="18">
        <v>1080029952</v>
      </c>
      <c r="D2487" s="21">
        <f t="shared" si="3"/>
        <v>4649987904</v>
      </c>
    </row>
    <row r="2488" spans="1:4" ht="14">
      <c r="A2488" s="16">
        <v>42863</v>
      </c>
      <c r="B2488" s="17">
        <v>1685.09</v>
      </c>
      <c r="C2488" s="18">
        <v>1340320000</v>
      </c>
      <c r="D2488" s="21">
        <f t="shared" si="3"/>
        <v>5316902848</v>
      </c>
    </row>
    <row r="2489" spans="1:4" ht="14">
      <c r="A2489" s="16">
        <v>42864</v>
      </c>
      <c r="B2489" s="17">
        <v>1719.23</v>
      </c>
      <c r="C2489" s="18">
        <v>1167920000</v>
      </c>
      <c r="D2489" s="21">
        <f t="shared" si="3"/>
        <v>5943598848</v>
      </c>
    </row>
    <row r="2490" spans="1:4" ht="14">
      <c r="A2490" s="16">
        <v>42865</v>
      </c>
      <c r="B2490" s="17">
        <v>1782.5</v>
      </c>
      <c r="C2490" s="18">
        <v>915723008</v>
      </c>
      <c r="D2490" s="21">
        <f t="shared" si="3"/>
        <v>6634180864</v>
      </c>
    </row>
    <row r="2491" spans="1:4" ht="14">
      <c r="A2491" s="16">
        <v>42866</v>
      </c>
      <c r="B2491" s="17">
        <v>1835.49</v>
      </c>
      <c r="C2491" s="18">
        <v>799489984</v>
      </c>
      <c r="D2491" s="21">
        <f t="shared" si="3"/>
        <v>6966107904</v>
      </c>
    </row>
    <row r="2492" spans="1:4" ht="14">
      <c r="A2492" s="16">
        <v>42867</v>
      </c>
      <c r="B2492" s="17">
        <v>1704.66</v>
      </c>
      <c r="C2492" s="18">
        <v>740984000</v>
      </c>
      <c r="D2492" s="21">
        <f t="shared" si="3"/>
        <v>6832048896</v>
      </c>
    </row>
    <row r="2493" spans="1:4" ht="14">
      <c r="A2493" s="16">
        <v>42868</v>
      </c>
      <c r="B2493" s="17">
        <v>1779.84</v>
      </c>
      <c r="C2493" s="18">
        <v>579635008</v>
      </c>
      <c r="D2493" s="21">
        <f t="shared" si="3"/>
        <v>6626996928</v>
      </c>
    </row>
    <row r="2494" spans="1:4" ht="14">
      <c r="A2494" s="16">
        <v>42869</v>
      </c>
      <c r="B2494" s="17">
        <v>1794.59</v>
      </c>
      <c r="C2494" s="18">
        <v>437196000</v>
      </c>
      <c r="D2494" s="21">
        <f t="shared" si="3"/>
        <v>6624101952</v>
      </c>
    </row>
    <row r="2495" spans="1:4" ht="14">
      <c r="A2495" s="16">
        <v>42870</v>
      </c>
      <c r="B2495" s="17">
        <v>1736.88</v>
      </c>
      <c r="C2495" s="18">
        <v>731529024</v>
      </c>
      <c r="D2495" s="21">
        <f t="shared" si="3"/>
        <v>5981268000</v>
      </c>
    </row>
    <row r="2496" spans="1:4" ht="14">
      <c r="A2496" s="16">
        <v>42871</v>
      </c>
      <c r="B2496" s="17">
        <v>1757.03</v>
      </c>
      <c r="C2496" s="18">
        <v>959044992</v>
      </c>
      <c r="D2496" s="21">
        <f t="shared" si="3"/>
        <v>5372477024</v>
      </c>
    </row>
    <row r="2497" spans="1:4" ht="14">
      <c r="A2497" s="16">
        <v>42872</v>
      </c>
      <c r="B2497" s="17">
        <v>1808.75</v>
      </c>
      <c r="C2497" s="18">
        <v>1064729984</v>
      </c>
      <c r="D2497" s="21">
        <f t="shared" si="3"/>
        <v>5163602016</v>
      </c>
    </row>
    <row r="2498" spans="1:4" ht="14">
      <c r="A2498" s="16">
        <v>42873</v>
      </c>
      <c r="B2498" s="17">
        <v>1894.25</v>
      </c>
      <c r="C2498" s="18">
        <v>894321024</v>
      </c>
      <c r="D2498" s="21">
        <f t="shared" si="3"/>
        <v>5312608992</v>
      </c>
    </row>
    <row r="2499" spans="1:4" ht="14">
      <c r="A2499" s="16">
        <v>42874</v>
      </c>
      <c r="B2499" s="17">
        <v>1967.55</v>
      </c>
      <c r="C2499" s="18">
        <v>1157289984</v>
      </c>
      <c r="D2499" s="21">
        <f t="shared" si="3"/>
        <v>5407440032</v>
      </c>
    </row>
    <row r="2500" spans="1:4" ht="14">
      <c r="A2500" s="16">
        <v>42875</v>
      </c>
      <c r="B2500" s="17">
        <v>2048.12</v>
      </c>
      <c r="C2500" s="18">
        <v>961336000</v>
      </c>
      <c r="D2500" s="21">
        <f t="shared" si="3"/>
        <v>5823746016</v>
      </c>
    </row>
    <row r="2501" spans="1:4" ht="14">
      <c r="A2501" s="16">
        <v>42876</v>
      </c>
      <c r="B2501" s="17">
        <v>2045.22</v>
      </c>
      <c r="C2501" s="18">
        <v>1147859968</v>
      </c>
      <c r="D2501" s="21">
        <f t="shared" si="3"/>
        <v>6205447008</v>
      </c>
    </row>
    <row r="2502" spans="1:4" ht="14">
      <c r="A2502" s="16">
        <v>42877</v>
      </c>
      <c r="B2502" s="17">
        <v>2078.94</v>
      </c>
      <c r="C2502" s="18">
        <v>1942220032</v>
      </c>
      <c r="D2502" s="21">
        <f t="shared" si="3"/>
        <v>6916110976</v>
      </c>
    </row>
    <row r="2503" spans="1:4" ht="14">
      <c r="A2503" s="16">
        <v>42878</v>
      </c>
      <c r="B2503" s="17">
        <v>2257.29</v>
      </c>
      <c r="C2503" s="18">
        <v>1378749952</v>
      </c>
      <c r="D2503" s="21">
        <f t="shared" si="3"/>
        <v>8126801984</v>
      </c>
    </row>
    <row r="2504" spans="1:4" ht="14">
      <c r="A2504" s="16">
        <v>42879</v>
      </c>
      <c r="B2504" s="17">
        <v>2415.0100000000002</v>
      </c>
      <c r="C2504" s="18">
        <v>1725379968</v>
      </c>
      <c r="D2504" s="21">
        <f t="shared" si="3"/>
        <v>8546506944</v>
      </c>
    </row>
    <row r="2505" spans="1:4" ht="14">
      <c r="A2505" s="16">
        <v>42880</v>
      </c>
      <c r="B2505" s="17">
        <v>2319.6</v>
      </c>
      <c r="C2505" s="18">
        <v>2406700032</v>
      </c>
      <c r="D2505" s="21">
        <f t="shared" si="3"/>
        <v>9207156928</v>
      </c>
    </row>
    <row r="2506" spans="1:4" ht="14">
      <c r="A2506" s="16">
        <v>42881</v>
      </c>
      <c r="B2506" s="17">
        <v>2279.42</v>
      </c>
      <c r="C2506" s="18">
        <v>1763480064</v>
      </c>
      <c r="D2506" s="21">
        <f t="shared" si="3"/>
        <v>10719535936</v>
      </c>
    </row>
    <row r="2507" spans="1:4" ht="14">
      <c r="A2507" s="16">
        <v>42882</v>
      </c>
      <c r="B2507" s="17">
        <v>2044.3</v>
      </c>
      <c r="C2507" s="18">
        <v>1700480000</v>
      </c>
      <c r="D2507" s="21">
        <f t="shared" si="3"/>
        <v>11325726016</v>
      </c>
    </row>
    <row r="2508" spans="1:4" ht="14">
      <c r="A2508" s="16">
        <v>42883</v>
      </c>
      <c r="B2508" s="17">
        <v>2225.6999999999998</v>
      </c>
      <c r="C2508" s="18">
        <v>1147139968</v>
      </c>
      <c r="D2508" s="21">
        <f t="shared" si="3"/>
        <v>12064870016</v>
      </c>
    </row>
    <row r="2509" spans="1:4" ht="14">
      <c r="A2509" s="16">
        <v>42884</v>
      </c>
      <c r="B2509" s="17">
        <v>2284.7199999999998</v>
      </c>
      <c r="C2509" s="18">
        <v>994625024</v>
      </c>
      <c r="D2509" s="21">
        <f t="shared" si="3"/>
        <v>12064150016</v>
      </c>
    </row>
    <row r="2510" spans="1:4" ht="14">
      <c r="A2510" s="16">
        <v>42885</v>
      </c>
      <c r="B2510" s="17">
        <v>2167.2600000000002</v>
      </c>
      <c r="C2510" s="18">
        <v>1443970048</v>
      </c>
      <c r="D2510" s="21">
        <f t="shared" si="3"/>
        <v>11116555008</v>
      </c>
    </row>
    <row r="2511" spans="1:4" ht="14">
      <c r="A2511" s="16">
        <v>42886</v>
      </c>
      <c r="B2511" s="17">
        <v>2299.4299999999998</v>
      </c>
      <c r="C2511" s="18">
        <v>1544829952</v>
      </c>
      <c r="D2511" s="21">
        <f t="shared" si="3"/>
        <v>11181775104</v>
      </c>
    </row>
    <row r="2512" spans="1:4" ht="14">
      <c r="A2512" s="16">
        <v>42887</v>
      </c>
      <c r="B2512" s="17">
        <v>2399.89</v>
      </c>
      <c r="C2512" s="18">
        <v>1653180032</v>
      </c>
      <c r="D2512" s="21">
        <f t="shared" si="3"/>
        <v>11001225088</v>
      </c>
    </row>
    <row r="2513" spans="1:4" ht="14">
      <c r="A2513" s="16">
        <v>42888</v>
      </c>
      <c r="B2513" s="17">
        <v>2479.42</v>
      </c>
      <c r="C2513" s="18">
        <v>1317030016</v>
      </c>
      <c r="D2513" s="21">
        <f t="shared" si="3"/>
        <v>10247705088</v>
      </c>
    </row>
    <row r="2514" spans="1:4" ht="14">
      <c r="A2514" s="16">
        <v>42889</v>
      </c>
      <c r="B2514" s="17">
        <v>2549.5500000000002</v>
      </c>
      <c r="C2514" s="18">
        <v>1514950016</v>
      </c>
      <c r="D2514" s="21">
        <f t="shared" si="3"/>
        <v>9801255040</v>
      </c>
    </row>
    <row r="2515" spans="1:4" ht="14">
      <c r="A2515" s="16">
        <v>42890</v>
      </c>
      <c r="B2515" s="17">
        <v>2524.9899999999998</v>
      </c>
      <c r="C2515" s="18">
        <v>1355120000</v>
      </c>
      <c r="D2515" s="21">
        <f t="shared" si="3"/>
        <v>9615725056</v>
      </c>
    </row>
    <row r="2516" spans="1:4" ht="14">
      <c r="A2516" s="16">
        <v>42891</v>
      </c>
      <c r="B2516" s="17">
        <v>2685.32</v>
      </c>
      <c r="C2516" s="18">
        <v>1369309952</v>
      </c>
      <c r="D2516" s="21">
        <f t="shared" si="3"/>
        <v>9823705088</v>
      </c>
    </row>
    <row r="2517" spans="1:4" ht="14">
      <c r="A2517" s="16">
        <v>42892</v>
      </c>
      <c r="B2517" s="17">
        <v>2871.34</v>
      </c>
      <c r="C2517" s="18">
        <v>2089609984</v>
      </c>
      <c r="D2517" s="21">
        <f t="shared" si="3"/>
        <v>10198390016</v>
      </c>
    </row>
    <row r="2518" spans="1:4" ht="14">
      <c r="A2518" s="16">
        <v>42893</v>
      </c>
      <c r="B2518" s="17">
        <v>2706.76</v>
      </c>
      <c r="C2518" s="18">
        <v>1517709952</v>
      </c>
      <c r="D2518" s="21">
        <f t="shared" si="3"/>
        <v>10844029952</v>
      </c>
    </row>
    <row r="2519" spans="1:4" ht="14">
      <c r="A2519" s="16">
        <v>42894</v>
      </c>
      <c r="B2519" s="17">
        <v>2802.56</v>
      </c>
      <c r="C2519" s="18">
        <v>1281170048</v>
      </c>
      <c r="D2519" s="21">
        <f t="shared" si="3"/>
        <v>10816909952</v>
      </c>
    </row>
    <row r="2520" spans="1:4" ht="14">
      <c r="A2520" s="16">
        <v>42895</v>
      </c>
      <c r="B2520" s="17">
        <v>2804.87</v>
      </c>
      <c r="C2520" s="18">
        <v>1348950016</v>
      </c>
      <c r="D2520" s="21">
        <f t="shared" si="3"/>
        <v>10444899968</v>
      </c>
    </row>
    <row r="2521" spans="1:4" ht="14">
      <c r="A2521" s="16">
        <v>42896</v>
      </c>
      <c r="B2521" s="17">
        <v>2916.33</v>
      </c>
      <c r="C2521" s="18">
        <v>2018889984</v>
      </c>
      <c r="D2521" s="21">
        <f t="shared" si="3"/>
        <v>10476819968</v>
      </c>
    </row>
    <row r="2522" spans="1:4" ht="14">
      <c r="A2522" s="16">
        <v>42897</v>
      </c>
      <c r="B2522" s="17">
        <v>2974.21</v>
      </c>
      <c r="C2522" s="18">
        <v>1752400000</v>
      </c>
      <c r="D2522" s="21">
        <f t="shared" si="3"/>
        <v>10980759936</v>
      </c>
    </row>
    <row r="2523" spans="1:4" ht="14">
      <c r="A2523" s="16">
        <v>42898</v>
      </c>
      <c r="B2523" s="17">
        <v>2665.43</v>
      </c>
      <c r="C2523" s="18">
        <v>2569530112</v>
      </c>
      <c r="D2523" s="21">
        <f t="shared" si="3"/>
        <v>11378039936</v>
      </c>
    </row>
    <row r="2524" spans="1:4" ht="14">
      <c r="A2524" s="16">
        <v>42899</v>
      </c>
      <c r="B2524" s="17">
        <v>2707.14</v>
      </c>
      <c r="C2524" s="18">
        <v>1781200000</v>
      </c>
      <c r="D2524" s="21">
        <f t="shared" si="3"/>
        <v>12578260096</v>
      </c>
    </row>
    <row r="2525" spans="1:4" ht="14">
      <c r="A2525" s="16">
        <v>42900</v>
      </c>
      <c r="B2525" s="17">
        <v>2443.8200000000002</v>
      </c>
      <c r="C2525" s="18">
        <v>1696560000</v>
      </c>
      <c r="D2525" s="21">
        <f t="shared" si="3"/>
        <v>12269850112</v>
      </c>
    </row>
    <row r="2526" spans="1:4" ht="14">
      <c r="A2526" s="16">
        <v>42901</v>
      </c>
      <c r="B2526" s="17">
        <v>2409.89</v>
      </c>
      <c r="C2526" s="18">
        <v>2026259968</v>
      </c>
      <c r="D2526" s="21">
        <f t="shared" si="3"/>
        <v>12448700160</v>
      </c>
    </row>
    <row r="2527" spans="1:4" ht="14">
      <c r="A2527" s="16">
        <v>42902</v>
      </c>
      <c r="B2527" s="17">
        <v>2476.36</v>
      </c>
      <c r="C2527" s="18">
        <v>1195190016</v>
      </c>
      <c r="D2527" s="21">
        <f t="shared" si="3"/>
        <v>13193790080</v>
      </c>
    </row>
    <row r="2528" spans="1:4" ht="14">
      <c r="A2528" s="16">
        <v>42903</v>
      </c>
      <c r="B2528" s="17">
        <v>2652.76</v>
      </c>
      <c r="C2528" s="18">
        <v>1534509952</v>
      </c>
      <c r="D2528" s="21">
        <f t="shared" si="3"/>
        <v>13040030080</v>
      </c>
    </row>
    <row r="2529" spans="1:4" ht="14">
      <c r="A2529" s="16">
        <v>42904</v>
      </c>
      <c r="B2529" s="17">
        <v>2508.21</v>
      </c>
      <c r="C2529" s="18">
        <v>1178659968</v>
      </c>
      <c r="D2529" s="21">
        <f t="shared" si="3"/>
        <v>12555650048</v>
      </c>
    </row>
    <row r="2530" spans="1:4" ht="14">
      <c r="A2530" s="16">
        <v>42905</v>
      </c>
      <c r="B2530" s="17">
        <v>2589.64</v>
      </c>
      <c r="C2530" s="18">
        <v>1446840064</v>
      </c>
      <c r="D2530" s="21">
        <f t="shared" si="3"/>
        <v>11981910016</v>
      </c>
    </row>
    <row r="2531" spans="1:4" ht="14">
      <c r="A2531" s="16">
        <v>42906</v>
      </c>
      <c r="B2531" s="17">
        <v>2733.23</v>
      </c>
      <c r="C2531" s="18">
        <v>1854189952</v>
      </c>
      <c r="D2531" s="21">
        <f t="shared" si="3"/>
        <v>10859219968</v>
      </c>
    </row>
    <row r="2532" spans="1:4" ht="14">
      <c r="A2532" s="16">
        <v>42907</v>
      </c>
      <c r="B2532" s="17">
        <v>2639.26</v>
      </c>
      <c r="C2532" s="18">
        <v>1626579968</v>
      </c>
      <c r="D2532" s="21">
        <f t="shared" si="3"/>
        <v>10932209920</v>
      </c>
    </row>
    <row r="2533" spans="1:4" ht="14">
      <c r="A2533" s="16">
        <v>42908</v>
      </c>
      <c r="B2533" s="17">
        <v>2686.65</v>
      </c>
      <c r="C2533" s="18">
        <v>1097939968</v>
      </c>
      <c r="D2533" s="21">
        <f t="shared" si="3"/>
        <v>10862229888</v>
      </c>
    </row>
    <row r="2534" spans="1:4" ht="14">
      <c r="A2534" s="16">
        <v>42909</v>
      </c>
      <c r="B2534" s="17">
        <v>2685.87</v>
      </c>
      <c r="C2534" s="18">
        <v>961318976</v>
      </c>
      <c r="D2534" s="21">
        <f t="shared" si="3"/>
        <v>9933909888</v>
      </c>
    </row>
    <row r="2535" spans="1:4" ht="14">
      <c r="A2535" s="16">
        <v>42910</v>
      </c>
      <c r="B2535" s="17">
        <v>2562.19</v>
      </c>
      <c r="C2535" s="18">
        <v>982750016</v>
      </c>
      <c r="D2535" s="21">
        <f t="shared" si="3"/>
        <v>9700038848</v>
      </c>
    </row>
    <row r="2536" spans="1:4" ht="14">
      <c r="A2536" s="16">
        <v>42911</v>
      </c>
      <c r="B2536" s="17">
        <v>2497.73</v>
      </c>
      <c r="C2536" s="18">
        <v>1161100032</v>
      </c>
      <c r="D2536" s="21">
        <f t="shared" si="3"/>
        <v>9148278912</v>
      </c>
    </row>
    <row r="2537" spans="1:4" ht="14">
      <c r="A2537" s="16">
        <v>42912</v>
      </c>
      <c r="B2537" s="17">
        <v>2426.37</v>
      </c>
      <c r="C2537" s="18">
        <v>1663280000</v>
      </c>
      <c r="D2537" s="21">
        <f t="shared" si="3"/>
        <v>9130718976</v>
      </c>
    </row>
    <row r="2538" spans="1:4" ht="14">
      <c r="A2538" s="16">
        <v>42913</v>
      </c>
      <c r="B2538" s="17">
        <v>2530.35</v>
      </c>
      <c r="C2538" s="18">
        <v>1489789952</v>
      </c>
      <c r="D2538" s="21">
        <f t="shared" si="3"/>
        <v>9347158912</v>
      </c>
    </row>
    <row r="2539" spans="1:4" ht="14">
      <c r="A2539" s="16">
        <v>42914</v>
      </c>
      <c r="B2539" s="17">
        <v>2562.79</v>
      </c>
      <c r="C2539" s="18">
        <v>1183869952</v>
      </c>
      <c r="D2539" s="21">
        <f t="shared" si="3"/>
        <v>8982758912</v>
      </c>
    </row>
    <row r="2540" spans="1:4" ht="14">
      <c r="A2540" s="16">
        <v>42915</v>
      </c>
      <c r="B2540" s="17">
        <v>2540.44</v>
      </c>
      <c r="C2540" s="18">
        <v>949979008</v>
      </c>
      <c r="D2540" s="21">
        <f t="shared" si="3"/>
        <v>8540048896</v>
      </c>
    </row>
    <row r="2541" spans="1:4" ht="14">
      <c r="A2541" s="16">
        <v>42916</v>
      </c>
      <c r="B2541" s="17">
        <v>2452.71</v>
      </c>
      <c r="C2541" s="18">
        <v>860273024</v>
      </c>
      <c r="D2541" s="21">
        <f t="shared" si="3"/>
        <v>8392087936</v>
      </c>
    </row>
    <row r="2542" spans="1:4" ht="14">
      <c r="A2542" s="16">
        <v>42917</v>
      </c>
      <c r="B2542" s="17">
        <v>2412.37</v>
      </c>
      <c r="C2542" s="18">
        <v>779913984</v>
      </c>
      <c r="D2542" s="21">
        <f t="shared" si="3"/>
        <v>8291041984</v>
      </c>
    </row>
    <row r="2543" spans="1:4" ht="14">
      <c r="A2543" s="16">
        <v>42918</v>
      </c>
      <c r="B2543" s="17">
        <v>2518.87</v>
      </c>
      <c r="C2543" s="18">
        <v>803747008</v>
      </c>
      <c r="D2543" s="21">
        <f t="shared" si="3"/>
        <v>8088205952</v>
      </c>
    </row>
    <row r="2544" spans="1:4" ht="14">
      <c r="A2544" s="16">
        <v>42919</v>
      </c>
      <c r="B2544" s="17">
        <v>2551.9299999999998</v>
      </c>
      <c r="C2544" s="18">
        <v>964112000</v>
      </c>
      <c r="D2544" s="21">
        <f t="shared" ref="D2544:D2798" si="4">IF(C2537&lt;&gt;"",SUM(C2537:C2543),"")</f>
        <v>7730852928</v>
      </c>
    </row>
    <row r="2545" spans="1:4" ht="14">
      <c r="A2545" s="16">
        <v>42920</v>
      </c>
      <c r="B2545" s="17">
        <v>2599.7399999999998</v>
      </c>
      <c r="C2545" s="18">
        <v>985516032</v>
      </c>
      <c r="D2545" s="21">
        <f t="shared" si="4"/>
        <v>7031684928</v>
      </c>
    </row>
    <row r="2546" spans="1:4" ht="14">
      <c r="A2546" s="16">
        <v>42921</v>
      </c>
      <c r="B2546" s="17">
        <v>2608.1</v>
      </c>
      <c r="C2546" s="18">
        <v>941566016</v>
      </c>
      <c r="D2546" s="21">
        <f t="shared" si="4"/>
        <v>6527411008</v>
      </c>
    </row>
    <row r="2547" spans="1:4" ht="14">
      <c r="A2547" s="16">
        <v>42922</v>
      </c>
      <c r="B2547" s="17">
        <v>2603.1999999999998</v>
      </c>
      <c r="C2547" s="18">
        <v>761956992</v>
      </c>
      <c r="D2547" s="21">
        <f t="shared" si="4"/>
        <v>6285107072</v>
      </c>
    </row>
    <row r="2548" spans="1:4" ht="14">
      <c r="A2548" s="16">
        <v>42923</v>
      </c>
      <c r="B2548" s="17">
        <v>2495.7800000000002</v>
      </c>
      <c r="C2548" s="18">
        <v>917411968</v>
      </c>
      <c r="D2548" s="21">
        <f t="shared" si="4"/>
        <v>6097085056</v>
      </c>
    </row>
    <row r="2549" spans="1:4" ht="14">
      <c r="A2549" s="16">
        <v>42924</v>
      </c>
      <c r="B2549" s="17">
        <v>2553.4899999999998</v>
      </c>
      <c r="C2549" s="18">
        <v>733329984</v>
      </c>
      <c r="D2549" s="21">
        <f t="shared" si="4"/>
        <v>6154224000</v>
      </c>
    </row>
    <row r="2550" spans="1:4" ht="14">
      <c r="A2550" s="16">
        <v>42925</v>
      </c>
      <c r="B2550" s="17">
        <v>2506.17</v>
      </c>
      <c r="C2550" s="18">
        <v>527856000</v>
      </c>
      <c r="D2550" s="21">
        <f t="shared" si="4"/>
        <v>6107640000</v>
      </c>
    </row>
    <row r="2551" spans="1:4" ht="14">
      <c r="A2551" s="16">
        <v>42926</v>
      </c>
      <c r="B2551" s="17">
        <v>2319.37</v>
      </c>
      <c r="C2551" s="18">
        <v>1111200000</v>
      </c>
      <c r="D2551" s="21">
        <f t="shared" si="4"/>
        <v>5831748992</v>
      </c>
    </row>
    <row r="2552" spans="1:4" ht="14">
      <c r="A2552" s="16">
        <v>42927</v>
      </c>
      <c r="B2552" s="17">
        <v>2319.17</v>
      </c>
      <c r="C2552" s="18">
        <v>1329760000</v>
      </c>
      <c r="D2552" s="21">
        <f t="shared" si="4"/>
        <v>5978836992</v>
      </c>
    </row>
    <row r="2553" spans="1:4" ht="14">
      <c r="A2553" s="16">
        <v>42928</v>
      </c>
      <c r="B2553" s="17">
        <v>2374.89</v>
      </c>
      <c r="C2553" s="18">
        <v>1117410048</v>
      </c>
      <c r="D2553" s="21">
        <f t="shared" si="4"/>
        <v>6323080960</v>
      </c>
    </row>
    <row r="2554" spans="1:4" ht="14">
      <c r="A2554" s="16">
        <v>42929</v>
      </c>
      <c r="B2554" s="17">
        <v>2343.7399999999998</v>
      </c>
      <c r="C2554" s="18">
        <v>835769984</v>
      </c>
      <c r="D2554" s="21">
        <f t="shared" si="4"/>
        <v>6498924992</v>
      </c>
    </row>
    <row r="2555" spans="1:4" ht="14">
      <c r="A2555" s="16">
        <v>42930</v>
      </c>
      <c r="B2555" s="17">
        <v>2214.83</v>
      </c>
      <c r="C2555" s="18">
        <v>882502976</v>
      </c>
      <c r="D2555" s="21">
        <f t="shared" si="4"/>
        <v>6572737984</v>
      </c>
    </row>
    <row r="2556" spans="1:4" ht="14">
      <c r="A2556" s="16">
        <v>42931</v>
      </c>
      <c r="B2556" s="17">
        <v>1989.63</v>
      </c>
      <c r="C2556" s="18">
        <v>993608000</v>
      </c>
      <c r="D2556" s="21">
        <f t="shared" si="4"/>
        <v>6537828992</v>
      </c>
    </row>
    <row r="2557" spans="1:4" ht="14">
      <c r="A2557" s="16">
        <v>42932</v>
      </c>
      <c r="B2557" s="17">
        <v>1910.75</v>
      </c>
      <c r="C2557" s="18">
        <v>1182870016</v>
      </c>
      <c r="D2557" s="21">
        <f t="shared" si="4"/>
        <v>6798107008</v>
      </c>
    </row>
    <row r="2558" spans="1:4" ht="14">
      <c r="A2558" s="16">
        <v>42933</v>
      </c>
      <c r="B2558" s="17">
        <v>2215.75</v>
      </c>
      <c r="C2558" s="18">
        <v>1201760000</v>
      </c>
      <c r="D2558" s="21">
        <f t="shared" si="4"/>
        <v>7453121024</v>
      </c>
    </row>
    <row r="2559" spans="1:4" ht="14">
      <c r="A2559" s="16">
        <v>42934</v>
      </c>
      <c r="B2559" s="17">
        <v>2303.7600000000002</v>
      </c>
      <c r="C2559" s="18">
        <v>1512450048</v>
      </c>
      <c r="D2559" s="21">
        <f t="shared" si="4"/>
        <v>7543681024</v>
      </c>
    </row>
    <row r="2560" spans="1:4" ht="14">
      <c r="A2560" s="16">
        <v>42935</v>
      </c>
      <c r="B2560" s="17">
        <v>2257.0700000000002</v>
      </c>
      <c r="C2560" s="18">
        <v>1245100032</v>
      </c>
      <c r="D2560" s="21">
        <f t="shared" si="4"/>
        <v>7726371072</v>
      </c>
    </row>
    <row r="2561" spans="1:4" ht="14">
      <c r="A2561" s="16">
        <v>42936</v>
      </c>
      <c r="B2561" s="17">
        <v>2823.9</v>
      </c>
      <c r="C2561" s="18">
        <v>2249260032</v>
      </c>
      <c r="D2561" s="21">
        <f t="shared" si="4"/>
        <v>7854061056</v>
      </c>
    </row>
    <row r="2562" spans="1:4" ht="14">
      <c r="A2562" s="16">
        <v>42937</v>
      </c>
      <c r="B2562" s="17">
        <v>2666.14</v>
      </c>
      <c r="C2562" s="18">
        <v>1489449984</v>
      </c>
      <c r="D2562" s="21">
        <f t="shared" si="4"/>
        <v>9267551104</v>
      </c>
    </row>
    <row r="2563" spans="1:4" ht="14">
      <c r="A2563" s="16">
        <v>42938</v>
      </c>
      <c r="B2563" s="17">
        <v>2829.75</v>
      </c>
      <c r="C2563" s="18">
        <v>1177129984</v>
      </c>
      <c r="D2563" s="21">
        <f t="shared" si="4"/>
        <v>9874498112</v>
      </c>
    </row>
    <row r="2564" spans="1:4" ht="14">
      <c r="A2564" s="16">
        <v>42939</v>
      </c>
      <c r="B2564" s="17">
        <v>2753.24</v>
      </c>
      <c r="C2564" s="18">
        <v>1072840000</v>
      </c>
      <c r="D2564" s="21">
        <f t="shared" si="4"/>
        <v>10058020096</v>
      </c>
    </row>
    <row r="2565" spans="1:4" ht="14">
      <c r="A2565" s="16">
        <v>42940</v>
      </c>
      <c r="B2565" s="17">
        <v>2755.16</v>
      </c>
      <c r="C2565" s="18">
        <v>866473984</v>
      </c>
      <c r="D2565" s="21">
        <f t="shared" si="4"/>
        <v>9947990080</v>
      </c>
    </row>
    <row r="2566" spans="1:4" ht="14">
      <c r="A2566" s="16">
        <v>42941</v>
      </c>
      <c r="B2566" s="17">
        <v>2558.69</v>
      </c>
      <c r="C2566" s="18">
        <v>1460089984</v>
      </c>
      <c r="D2566" s="21">
        <f t="shared" si="4"/>
        <v>9612704064</v>
      </c>
    </row>
    <row r="2567" spans="1:4" ht="14">
      <c r="A2567" s="16">
        <v>42942</v>
      </c>
      <c r="B2567" s="17">
        <v>2522.3200000000002</v>
      </c>
      <c r="C2567" s="18">
        <v>937404032</v>
      </c>
      <c r="D2567" s="21">
        <f t="shared" si="4"/>
        <v>9560344000</v>
      </c>
    </row>
    <row r="2568" spans="1:4" ht="14">
      <c r="A2568" s="16">
        <v>42943</v>
      </c>
      <c r="B2568" s="17">
        <v>2665.15</v>
      </c>
      <c r="C2568" s="18">
        <v>789104000</v>
      </c>
      <c r="D2568" s="21">
        <f t="shared" si="4"/>
        <v>9252648000</v>
      </c>
    </row>
    <row r="2569" spans="1:4" ht="14">
      <c r="A2569" s="16">
        <v>42944</v>
      </c>
      <c r="B2569" s="17">
        <v>2793.83</v>
      </c>
      <c r="C2569" s="18">
        <v>1380099968</v>
      </c>
      <c r="D2569" s="21">
        <f t="shared" si="4"/>
        <v>7792491968</v>
      </c>
    </row>
    <row r="2570" spans="1:4" ht="14">
      <c r="A2570" s="16">
        <v>42945</v>
      </c>
      <c r="B2570" s="17">
        <v>2706.45</v>
      </c>
      <c r="C2570" s="18">
        <v>803745984</v>
      </c>
      <c r="D2570" s="21">
        <f t="shared" si="4"/>
        <v>7683141952</v>
      </c>
    </row>
    <row r="2571" spans="1:4" ht="14">
      <c r="A2571" s="16">
        <v>42946</v>
      </c>
      <c r="B2571" s="17">
        <v>2749.38</v>
      </c>
      <c r="C2571" s="18">
        <v>705942976</v>
      </c>
      <c r="D2571" s="21">
        <f t="shared" si="4"/>
        <v>7309757952</v>
      </c>
    </row>
    <row r="2572" spans="1:4" ht="14">
      <c r="A2572" s="16">
        <v>42947</v>
      </c>
      <c r="B2572" s="17">
        <v>2862.61</v>
      </c>
      <c r="C2572" s="18">
        <v>860574976</v>
      </c>
      <c r="D2572" s="21">
        <f t="shared" si="4"/>
        <v>6942860928</v>
      </c>
    </row>
    <row r="2573" spans="1:4" ht="14">
      <c r="A2573" s="16">
        <v>42948</v>
      </c>
      <c r="B2573" s="17">
        <v>2727.39</v>
      </c>
      <c r="C2573" s="18">
        <v>1324669952</v>
      </c>
      <c r="D2573" s="21">
        <f t="shared" si="4"/>
        <v>6936961920</v>
      </c>
    </row>
    <row r="2574" spans="1:4" ht="14">
      <c r="A2574" s="16">
        <v>42949</v>
      </c>
      <c r="B2574" s="17">
        <v>2690.15</v>
      </c>
      <c r="C2574" s="18">
        <v>1094950016</v>
      </c>
      <c r="D2574" s="21">
        <f t="shared" si="4"/>
        <v>6801541888</v>
      </c>
    </row>
    <row r="2575" spans="1:4" ht="14">
      <c r="A2575" s="16">
        <v>42950</v>
      </c>
      <c r="B2575" s="17">
        <v>2789.75</v>
      </c>
      <c r="C2575" s="18">
        <v>804796992</v>
      </c>
      <c r="D2575" s="21">
        <f t="shared" si="4"/>
        <v>6959087872</v>
      </c>
    </row>
    <row r="2576" spans="1:4" ht="14">
      <c r="A2576" s="16">
        <v>42951</v>
      </c>
      <c r="B2576" s="17">
        <v>2860.27</v>
      </c>
      <c r="C2576" s="18">
        <v>1002120000</v>
      </c>
      <c r="D2576" s="21">
        <f t="shared" si="4"/>
        <v>6974780864</v>
      </c>
    </row>
    <row r="2577" spans="1:4" ht="14">
      <c r="A2577" s="16">
        <v>42952</v>
      </c>
      <c r="B2577" s="17">
        <v>3237.42</v>
      </c>
      <c r="C2577" s="18">
        <v>1945699968</v>
      </c>
      <c r="D2577" s="21">
        <f t="shared" si="4"/>
        <v>6596800896</v>
      </c>
    </row>
    <row r="2578" spans="1:4" ht="14">
      <c r="A2578" s="16">
        <v>42953</v>
      </c>
      <c r="B2578" s="17">
        <v>3230.12</v>
      </c>
      <c r="C2578" s="18">
        <v>1105030016</v>
      </c>
      <c r="D2578" s="21">
        <f t="shared" si="4"/>
        <v>7738754880</v>
      </c>
    </row>
    <row r="2579" spans="1:4" ht="14">
      <c r="A2579" s="16">
        <v>42954</v>
      </c>
      <c r="B2579" s="17">
        <v>3392.56</v>
      </c>
      <c r="C2579" s="18">
        <v>1482279936</v>
      </c>
      <c r="D2579" s="21">
        <f t="shared" si="4"/>
        <v>8137841920</v>
      </c>
    </row>
    <row r="2580" spans="1:4" ht="14">
      <c r="A2580" s="16">
        <v>42955</v>
      </c>
      <c r="B2580" s="17">
        <v>3425.68</v>
      </c>
      <c r="C2580" s="18">
        <v>1752760064</v>
      </c>
      <c r="D2580" s="21">
        <f t="shared" si="4"/>
        <v>8759546880</v>
      </c>
    </row>
    <row r="2581" spans="1:4" ht="14">
      <c r="A2581" s="16">
        <v>42956</v>
      </c>
      <c r="B2581" s="17">
        <v>3347.22</v>
      </c>
      <c r="C2581" s="18">
        <v>1468960000</v>
      </c>
      <c r="D2581" s="21">
        <f t="shared" si="4"/>
        <v>9187636992</v>
      </c>
    </row>
    <row r="2582" spans="1:4" ht="14">
      <c r="A2582" s="16">
        <v>42957</v>
      </c>
      <c r="B2582" s="17">
        <v>3437.03</v>
      </c>
      <c r="C2582" s="18">
        <v>1515110016</v>
      </c>
      <c r="D2582" s="21">
        <f t="shared" si="4"/>
        <v>9561646976</v>
      </c>
    </row>
    <row r="2583" spans="1:4" ht="14">
      <c r="A2583" s="16">
        <v>42958</v>
      </c>
      <c r="B2583" s="17">
        <v>3660.52</v>
      </c>
      <c r="C2583" s="18">
        <v>2021190016</v>
      </c>
      <c r="D2583" s="21">
        <f t="shared" si="4"/>
        <v>10271960000</v>
      </c>
    </row>
    <row r="2584" spans="1:4" ht="14">
      <c r="A2584" s="16">
        <v>42959</v>
      </c>
      <c r="B2584" s="17">
        <v>3871.08</v>
      </c>
      <c r="C2584" s="18">
        <v>2219589888</v>
      </c>
      <c r="D2584" s="21">
        <f t="shared" si="4"/>
        <v>11291030016</v>
      </c>
    </row>
    <row r="2585" spans="1:4" ht="14">
      <c r="A2585" s="16">
        <v>42960</v>
      </c>
      <c r="B2585" s="17">
        <v>4063.8</v>
      </c>
      <c r="C2585" s="18">
        <v>3159089920</v>
      </c>
      <c r="D2585" s="21">
        <f t="shared" si="4"/>
        <v>11564919936</v>
      </c>
    </row>
    <row r="2586" spans="1:4" ht="14">
      <c r="A2586" s="16">
        <v>42961</v>
      </c>
      <c r="B2586" s="17">
        <v>4304.6000000000004</v>
      </c>
      <c r="C2586" s="18">
        <v>2463089920</v>
      </c>
      <c r="D2586" s="21">
        <f t="shared" si="4"/>
        <v>13618979840</v>
      </c>
    </row>
    <row r="2587" spans="1:4" ht="14">
      <c r="A2587" s="16">
        <v>42962</v>
      </c>
      <c r="B2587" s="17">
        <v>4160.03</v>
      </c>
      <c r="C2587" s="18">
        <v>3258050048</v>
      </c>
      <c r="D2587" s="21">
        <f t="shared" si="4"/>
        <v>14599789824</v>
      </c>
    </row>
    <row r="2588" spans="1:4" ht="14">
      <c r="A2588" s="16">
        <v>42963</v>
      </c>
      <c r="B2588" s="17">
        <v>4364.68</v>
      </c>
      <c r="C2588" s="18">
        <v>2272039936</v>
      </c>
      <c r="D2588" s="21">
        <f t="shared" si="4"/>
        <v>16105079808</v>
      </c>
    </row>
    <row r="2589" spans="1:4" ht="14">
      <c r="A2589" s="16">
        <v>42964</v>
      </c>
      <c r="B2589" s="17">
        <v>4308.5200000000004</v>
      </c>
      <c r="C2589" s="18">
        <v>2553359872</v>
      </c>
      <c r="D2589" s="21">
        <f t="shared" si="4"/>
        <v>16908159744</v>
      </c>
    </row>
    <row r="2590" spans="1:4" ht="14">
      <c r="A2590" s="16">
        <v>42965</v>
      </c>
      <c r="B2590" s="17">
        <v>4108.51</v>
      </c>
      <c r="C2590" s="18">
        <v>2941710080</v>
      </c>
      <c r="D2590" s="21">
        <f t="shared" si="4"/>
        <v>17946409600</v>
      </c>
    </row>
    <row r="2591" spans="1:4" ht="14">
      <c r="A2591" s="16">
        <v>42966</v>
      </c>
      <c r="B2591" s="17">
        <v>4160.33</v>
      </c>
      <c r="C2591" s="18">
        <v>2975820032</v>
      </c>
      <c r="D2591" s="21">
        <f t="shared" si="4"/>
        <v>18866929664</v>
      </c>
    </row>
    <row r="2592" spans="1:4" ht="14">
      <c r="A2592" s="16">
        <v>42967</v>
      </c>
      <c r="B2592" s="17">
        <v>4085.81</v>
      </c>
      <c r="C2592" s="18">
        <v>2109769984</v>
      </c>
      <c r="D2592" s="21">
        <f t="shared" si="4"/>
        <v>19623159808</v>
      </c>
    </row>
    <row r="2593" spans="1:4" ht="14">
      <c r="A2593" s="16">
        <v>42968</v>
      </c>
      <c r="B2593" s="17">
        <v>3992.63</v>
      </c>
      <c r="C2593" s="18">
        <v>2800890112</v>
      </c>
      <c r="D2593" s="21">
        <f t="shared" si="4"/>
        <v>18573839872</v>
      </c>
    </row>
    <row r="2594" spans="1:4" ht="14">
      <c r="A2594" s="16">
        <v>42969</v>
      </c>
      <c r="B2594" s="17">
        <v>4074.33</v>
      </c>
      <c r="C2594" s="18">
        <v>3764239872</v>
      </c>
      <c r="D2594" s="21">
        <f t="shared" si="4"/>
        <v>18911640064</v>
      </c>
    </row>
    <row r="2595" spans="1:4" ht="14">
      <c r="A2595" s="16">
        <v>42970</v>
      </c>
      <c r="B2595" s="17">
        <v>4146.92</v>
      </c>
      <c r="C2595" s="18">
        <v>2369819904</v>
      </c>
      <c r="D2595" s="21">
        <f t="shared" si="4"/>
        <v>19417829888</v>
      </c>
    </row>
    <row r="2596" spans="1:4" ht="14">
      <c r="A2596" s="16">
        <v>42971</v>
      </c>
      <c r="B2596" s="17">
        <v>4325.82</v>
      </c>
      <c r="C2596" s="18">
        <v>2037750016</v>
      </c>
      <c r="D2596" s="21">
        <f t="shared" si="4"/>
        <v>19515609856</v>
      </c>
    </row>
    <row r="2597" spans="1:4" ht="14">
      <c r="A2597" s="16">
        <v>42972</v>
      </c>
      <c r="B2597" s="17">
        <v>4353.13</v>
      </c>
      <c r="C2597" s="18">
        <v>1727970048</v>
      </c>
      <c r="D2597" s="21">
        <f t="shared" si="4"/>
        <v>19000000000</v>
      </c>
    </row>
    <row r="2598" spans="1:4" ht="14">
      <c r="A2598" s="16">
        <v>42973</v>
      </c>
      <c r="B2598" s="17">
        <v>4341.9799999999996</v>
      </c>
      <c r="C2598" s="18">
        <v>1511609984</v>
      </c>
      <c r="D2598" s="21">
        <f t="shared" si="4"/>
        <v>17786259968</v>
      </c>
    </row>
    <row r="2599" spans="1:4" ht="14">
      <c r="A2599" s="16">
        <v>42974</v>
      </c>
      <c r="B2599" s="17">
        <v>4344.8999999999996</v>
      </c>
      <c r="C2599" s="18">
        <v>1537459968</v>
      </c>
      <c r="D2599" s="21">
        <f t="shared" si="4"/>
        <v>16322049920</v>
      </c>
    </row>
    <row r="2600" spans="1:4" ht="14">
      <c r="A2600" s="16">
        <v>42975</v>
      </c>
      <c r="B2600" s="17">
        <v>4379.76</v>
      </c>
      <c r="C2600" s="18">
        <v>1959330048</v>
      </c>
      <c r="D2600" s="21">
        <f t="shared" si="4"/>
        <v>15749739904</v>
      </c>
    </row>
    <row r="2601" spans="1:4" ht="14">
      <c r="A2601" s="16">
        <v>42976</v>
      </c>
      <c r="B2601" s="17">
        <v>4600.46</v>
      </c>
      <c r="C2601" s="18">
        <v>2486080000</v>
      </c>
      <c r="D2601" s="21">
        <f t="shared" si="4"/>
        <v>14908179840</v>
      </c>
    </row>
    <row r="2602" spans="1:4" ht="14">
      <c r="A2602" s="16">
        <v>42977</v>
      </c>
      <c r="B2602" s="17">
        <v>4586.63</v>
      </c>
      <c r="C2602" s="18">
        <v>1937849984</v>
      </c>
      <c r="D2602" s="21">
        <f t="shared" si="4"/>
        <v>13630019968</v>
      </c>
    </row>
    <row r="2603" spans="1:4" ht="14">
      <c r="A2603" s="16">
        <v>42978</v>
      </c>
      <c r="B2603" s="17">
        <v>4740.3599999999997</v>
      </c>
      <c r="C2603" s="18">
        <v>1944930048</v>
      </c>
      <c r="D2603" s="21">
        <f t="shared" si="4"/>
        <v>13198050048</v>
      </c>
    </row>
    <row r="2604" spans="1:4" ht="14">
      <c r="A2604" s="16">
        <v>42979</v>
      </c>
      <c r="B2604" s="17">
        <v>4918.17</v>
      </c>
      <c r="C2604" s="18">
        <v>2599079936</v>
      </c>
      <c r="D2604" s="21">
        <f t="shared" si="4"/>
        <v>13105230080</v>
      </c>
    </row>
    <row r="2605" spans="1:4" ht="14">
      <c r="A2605" s="16">
        <v>42980</v>
      </c>
      <c r="B2605" s="17">
        <v>4595.0200000000004</v>
      </c>
      <c r="C2605" s="18">
        <v>2722139904</v>
      </c>
      <c r="D2605" s="21">
        <f t="shared" si="4"/>
        <v>13976339968</v>
      </c>
    </row>
    <row r="2606" spans="1:4" ht="14">
      <c r="A2606" s="16">
        <v>42981</v>
      </c>
      <c r="B2606" s="17">
        <v>4625.3</v>
      </c>
      <c r="C2606" s="18">
        <v>1933190016</v>
      </c>
      <c r="D2606" s="21">
        <f t="shared" si="4"/>
        <v>15186869888</v>
      </c>
    </row>
    <row r="2607" spans="1:4" ht="14">
      <c r="A2607" s="16">
        <v>42982</v>
      </c>
      <c r="B2607" s="17">
        <v>4374.75</v>
      </c>
      <c r="C2607" s="18">
        <v>2987330048</v>
      </c>
      <c r="D2607" s="21">
        <f t="shared" si="4"/>
        <v>15582599936</v>
      </c>
    </row>
    <row r="2608" spans="1:4" ht="14">
      <c r="A2608" s="16">
        <v>42983</v>
      </c>
      <c r="B2608" s="17">
        <v>4454.05</v>
      </c>
      <c r="C2608" s="18">
        <v>2697969920</v>
      </c>
      <c r="D2608" s="21">
        <f t="shared" si="4"/>
        <v>16610599936</v>
      </c>
    </row>
    <row r="2609" spans="1:4" ht="14">
      <c r="A2609" s="16">
        <v>42984</v>
      </c>
      <c r="B2609" s="17">
        <v>4607.5200000000004</v>
      </c>
      <c r="C2609" s="18">
        <v>2172100096</v>
      </c>
      <c r="D2609" s="21">
        <f t="shared" si="4"/>
        <v>16822489856</v>
      </c>
    </row>
    <row r="2610" spans="1:4" ht="14">
      <c r="A2610" s="16">
        <v>42985</v>
      </c>
      <c r="B2610" s="17">
        <v>4635.1099999999997</v>
      </c>
      <c r="C2610" s="18">
        <v>1844620032</v>
      </c>
      <c r="D2610" s="21">
        <f t="shared" si="4"/>
        <v>17056739968</v>
      </c>
    </row>
    <row r="2611" spans="1:4" ht="14">
      <c r="A2611" s="16">
        <v>42986</v>
      </c>
      <c r="B2611" s="17">
        <v>4345.46</v>
      </c>
      <c r="C2611" s="18">
        <v>2700890112</v>
      </c>
      <c r="D2611" s="21">
        <f t="shared" si="4"/>
        <v>16956429952</v>
      </c>
    </row>
    <row r="2612" spans="1:4" ht="14">
      <c r="A2612" s="16">
        <v>42987</v>
      </c>
      <c r="B2612" s="17">
        <v>4335.59</v>
      </c>
      <c r="C2612" s="18">
        <v>1386230016</v>
      </c>
      <c r="D2612" s="21">
        <f t="shared" si="4"/>
        <v>17058240128</v>
      </c>
    </row>
    <row r="2613" spans="1:4" ht="14">
      <c r="A2613" s="16">
        <v>42988</v>
      </c>
      <c r="B2613" s="17">
        <v>4261.84</v>
      </c>
      <c r="C2613" s="18">
        <v>1679090048</v>
      </c>
      <c r="D2613" s="21">
        <f t="shared" si="4"/>
        <v>15722330240</v>
      </c>
    </row>
    <row r="2614" spans="1:4" ht="14">
      <c r="A2614" s="16">
        <v>42989</v>
      </c>
      <c r="B2614" s="17">
        <v>4212.55</v>
      </c>
      <c r="C2614" s="18">
        <v>1557330048</v>
      </c>
      <c r="D2614" s="21">
        <f t="shared" si="4"/>
        <v>15468230272</v>
      </c>
    </row>
    <row r="2615" spans="1:4" ht="14">
      <c r="A2615" s="16">
        <v>42990</v>
      </c>
      <c r="B2615" s="17">
        <v>4164.32</v>
      </c>
      <c r="C2615" s="18">
        <v>1864530048</v>
      </c>
      <c r="D2615" s="21">
        <f t="shared" si="4"/>
        <v>14038230272</v>
      </c>
    </row>
    <row r="2616" spans="1:4" ht="14">
      <c r="A2616" s="16">
        <v>42991</v>
      </c>
      <c r="B2616" s="17">
        <v>3887.12</v>
      </c>
      <c r="C2616" s="18">
        <v>2219409920</v>
      </c>
      <c r="D2616" s="21">
        <f t="shared" si="4"/>
        <v>13204790400</v>
      </c>
    </row>
    <row r="2617" spans="1:4" ht="14">
      <c r="A2617" s="16">
        <v>42992</v>
      </c>
      <c r="B2617" s="17">
        <v>3247.47</v>
      </c>
      <c r="C2617" s="18">
        <v>2716310016</v>
      </c>
      <c r="D2617" s="21">
        <f t="shared" si="4"/>
        <v>13252100224</v>
      </c>
    </row>
    <row r="2618" spans="1:4" ht="14">
      <c r="A2618" s="16">
        <v>42993</v>
      </c>
      <c r="B2618" s="17">
        <v>3699.22</v>
      </c>
      <c r="C2618" s="18">
        <v>4148069888</v>
      </c>
      <c r="D2618" s="21">
        <f t="shared" si="4"/>
        <v>14123790208</v>
      </c>
    </row>
    <row r="2619" spans="1:4" ht="14">
      <c r="A2619" s="16">
        <v>42994</v>
      </c>
      <c r="B2619" s="17">
        <v>3711.23</v>
      </c>
      <c r="C2619" s="18">
        <v>1818400000</v>
      </c>
      <c r="D2619" s="21">
        <f t="shared" si="4"/>
        <v>15570969984</v>
      </c>
    </row>
    <row r="2620" spans="1:4" ht="14">
      <c r="A2620" s="16">
        <v>42995</v>
      </c>
      <c r="B2620" s="17">
        <v>3711.86</v>
      </c>
      <c r="C2620" s="18">
        <v>1239149952</v>
      </c>
      <c r="D2620" s="21">
        <f t="shared" si="4"/>
        <v>16003139968</v>
      </c>
    </row>
    <row r="2621" spans="1:4" ht="14">
      <c r="A2621" s="16">
        <v>42996</v>
      </c>
      <c r="B2621" s="17">
        <v>4080.43</v>
      </c>
      <c r="C2621" s="18">
        <v>1943209984</v>
      </c>
      <c r="D2621" s="21">
        <f t="shared" si="4"/>
        <v>15563199872</v>
      </c>
    </row>
    <row r="2622" spans="1:4" ht="14">
      <c r="A2622" s="16">
        <v>42997</v>
      </c>
      <c r="B2622" s="17">
        <v>3925.74</v>
      </c>
      <c r="C2622" s="18">
        <v>1563980032</v>
      </c>
      <c r="D2622" s="21">
        <f t="shared" si="4"/>
        <v>15949079808</v>
      </c>
    </row>
    <row r="2623" spans="1:4" ht="14">
      <c r="A2623" s="16">
        <v>42998</v>
      </c>
      <c r="B2623" s="17">
        <v>3895.78</v>
      </c>
      <c r="C2623" s="18">
        <v>1213830016</v>
      </c>
      <c r="D2623" s="21">
        <f t="shared" si="4"/>
        <v>15648529792</v>
      </c>
    </row>
    <row r="2624" spans="1:4" ht="14">
      <c r="A2624" s="16">
        <v>42999</v>
      </c>
      <c r="B2624" s="17">
        <v>3617.24</v>
      </c>
      <c r="C2624" s="18">
        <v>1411480064</v>
      </c>
      <c r="D2624" s="21">
        <f t="shared" si="4"/>
        <v>14642949888</v>
      </c>
    </row>
    <row r="2625" spans="1:4" ht="14">
      <c r="A2625" s="16">
        <v>43000</v>
      </c>
      <c r="B2625" s="17">
        <v>3619.21</v>
      </c>
      <c r="C2625" s="18">
        <v>1194829952</v>
      </c>
      <c r="D2625" s="21">
        <f t="shared" si="4"/>
        <v>13338119936</v>
      </c>
    </row>
    <row r="2626" spans="1:4" ht="14">
      <c r="A2626" s="16">
        <v>43001</v>
      </c>
      <c r="B2626" s="17">
        <v>3775.6</v>
      </c>
      <c r="C2626" s="18">
        <v>928113984</v>
      </c>
      <c r="D2626" s="21">
        <f t="shared" si="4"/>
        <v>10384880000</v>
      </c>
    </row>
    <row r="2627" spans="1:4" ht="14">
      <c r="A2627" s="16">
        <v>43002</v>
      </c>
      <c r="B2627" s="17">
        <v>3676.9</v>
      </c>
      <c r="C2627" s="18">
        <v>768014976</v>
      </c>
      <c r="D2627" s="21">
        <f t="shared" si="4"/>
        <v>9494593984</v>
      </c>
    </row>
    <row r="2628" spans="1:4" ht="14">
      <c r="A2628" s="16">
        <v>43003</v>
      </c>
      <c r="B2628" s="17">
        <v>3918.74</v>
      </c>
      <c r="C2628" s="18">
        <v>1374210048</v>
      </c>
      <c r="D2628" s="21">
        <f t="shared" si="4"/>
        <v>9023459008</v>
      </c>
    </row>
    <row r="2629" spans="1:4" ht="14">
      <c r="A2629" s="16">
        <v>43004</v>
      </c>
      <c r="B2629" s="17">
        <v>3890.09</v>
      </c>
      <c r="C2629" s="18">
        <v>1043740032</v>
      </c>
      <c r="D2629" s="21">
        <f t="shared" si="4"/>
        <v>8454459072</v>
      </c>
    </row>
    <row r="2630" spans="1:4" ht="14">
      <c r="A2630" s="16">
        <v>43005</v>
      </c>
      <c r="B2630" s="17">
        <v>4207.79</v>
      </c>
      <c r="C2630" s="18">
        <v>1686880000</v>
      </c>
      <c r="D2630" s="21">
        <f t="shared" si="4"/>
        <v>7934219072</v>
      </c>
    </row>
    <row r="2631" spans="1:4" ht="14">
      <c r="A2631" s="16">
        <v>43006</v>
      </c>
      <c r="B2631" s="17">
        <v>4187.7700000000004</v>
      </c>
      <c r="C2631" s="18">
        <v>1712320000</v>
      </c>
      <c r="D2631" s="21">
        <f t="shared" si="4"/>
        <v>8407269056</v>
      </c>
    </row>
    <row r="2632" spans="1:4" ht="14">
      <c r="A2632" s="16">
        <v>43007</v>
      </c>
      <c r="B2632" s="17">
        <v>4155.01</v>
      </c>
      <c r="C2632" s="18">
        <v>1367049984</v>
      </c>
      <c r="D2632" s="21">
        <f t="shared" si="4"/>
        <v>8708108992</v>
      </c>
    </row>
    <row r="2633" spans="1:4" ht="14">
      <c r="A2633" s="16">
        <v>43008</v>
      </c>
      <c r="B2633" s="17">
        <v>4334.54</v>
      </c>
      <c r="C2633" s="18">
        <v>1207449984</v>
      </c>
      <c r="D2633" s="21">
        <f t="shared" si="4"/>
        <v>8880329024</v>
      </c>
    </row>
    <row r="2634" spans="1:4" ht="14">
      <c r="A2634" s="16">
        <v>43009</v>
      </c>
      <c r="B2634" s="17">
        <v>4382.09</v>
      </c>
      <c r="C2634" s="18">
        <v>1208210048</v>
      </c>
      <c r="D2634" s="21">
        <f t="shared" si="4"/>
        <v>9159665024</v>
      </c>
    </row>
    <row r="2635" spans="1:4" ht="14">
      <c r="A2635" s="16">
        <v>43010</v>
      </c>
      <c r="B2635" s="17">
        <v>4386.88</v>
      </c>
      <c r="C2635" s="18">
        <v>1431730048</v>
      </c>
      <c r="D2635" s="21">
        <f t="shared" si="4"/>
        <v>9599860096</v>
      </c>
    </row>
    <row r="2636" spans="1:4" ht="14">
      <c r="A2636" s="16">
        <v>43011</v>
      </c>
      <c r="B2636" s="17">
        <v>4306.5600000000004</v>
      </c>
      <c r="C2636" s="18">
        <v>1288019968</v>
      </c>
      <c r="D2636" s="21">
        <f t="shared" si="4"/>
        <v>9657380096</v>
      </c>
    </row>
    <row r="2637" spans="1:4" ht="14">
      <c r="A2637" s="16">
        <v>43012</v>
      </c>
      <c r="B2637" s="17">
        <v>4216.68</v>
      </c>
      <c r="C2637" s="18">
        <v>1116770048</v>
      </c>
      <c r="D2637" s="21">
        <f t="shared" si="4"/>
        <v>9901660032</v>
      </c>
    </row>
    <row r="2638" spans="1:4" ht="14">
      <c r="A2638" s="16">
        <v>43013</v>
      </c>
      <c r="B2638" s="17">
        <v>4319.42</v>
      </c>
      <c r="C2638" s="18">
        <v>1161769984</v>
      </c>
      <c r="D2638" s="21">
        <f t="shared" si="4"/>
        <v>9331550080</v>
      </c>
    </row>
    <row r="2639" spans="1:4" ht="14">
      <c r="A2639" s="16">
        <v>43014</v>
      </c>
      <c r="B2639" s="17">
        <v>4365.92</v>
      </c>
      <c r="C2639" s="18">
        <v>1069939968</v>
      </c>
      <c r="D2639" s="21">
        <f t="shared" si="4"/>
        <v>8781000064</v>
      </c>
    </row>
    <row r="2640" spans="1:4" ht="14">
      <c r="A2640" s="16">
        <v>43015</v>
      </c>
      <c r="B2640" s="17">
        <v>4438.8599999999997</v>
      </c>
      <c r="C2640" s="18">
        <v>906928000</v>
      </c>
      <c r="D2640" s="21">
        <f t="shared" si="4"/>
        <v>8483890048</v>
      </c>
    </row>
    <row r="2641" spans="1:4" ht="14">
      <c r="A2641" s="16">
        <v>43016</v>
      </c>
      <c r="B2641" s="17">
        <v>4600.74</v>
      </c>
      <c r="C2641" s="18">
        <v>1313869952</v>
      </c>
      <c r="D2641" s="21">
        <f t="shared" si="4"/>
        <v>8183368064</v>
      </c>
    </row>
    <row r="2642" spans="1:4" ht="14">
      <c r="A2642" s="16">
        <v>43017</v>
      </c>
      <c r="B2642" s="17">
        <v>4777.53</v>
      </c>
      <c r="C2642" s="18">
        <v>1968739968</v>
      </c>
      <c r="D2642" s="21">
        <f t="shared" si="4"/>
        <v>8289027968</v>
      </c>
    </row>
    <row r="2643" spans="1:4" ht="14">
      <c r="A2643" s="16">
        <v>43018</v>
      </c>
      <c r="B2643" s="17">
        <v>4741.08</v>
      </c>
      <c r="C2643" s="18">
        <v>1597139968</v>
      </c>
      <c r="D2643" s="21">
        <f t="shared" si="4"/>
        <v>8826037888</v>
      </c>
    </row>
    <row r="2644" spans="1:4" ht="14">
      <c r="A2644" s="16">
        <v>43019</v>
      </c>
      <c r="B2644" s="17">
        <v>4814.97</v>
      </c>
      <c r="C2644" s="18">
        <v>1222279936</v>
      </c>
      <c r="D2644" s="21">
        <f t="shared" si="4"/>
        <v>9135157888</v>
      </c>
    </row>
    <row r="2645" spans="1:4" ht="14">
      <c r="A2645" s="16">
        <v>43020</v>
      </c>
      <c r="B2645" s="17">
        <v>5393.67</v>
      </c>
      <c r="C2645" s="18">
        <v>2791610112</v>
      </c>
      <c r="D2645" s="21">
        <f t="shared" si="4"/>
        <v>9240667776</v>
      </c>
    </row>
    <row r="2646" spans="1:4" ht="14">
      <c r="A2646" s="16">
        <v>43021</v>
      </c>
      <c r="B2646" s="17">
        <v>5614.08</v>
      </c>
      <c r="C2646" s="18">
        <v>3615480064</v>
      </c>
      <c r="D2646" s="21">
        <f t="shared" si="4"/>
        <v>10870507904</v>
      </c>
    </row>
    <row r="2647" spans="1:4" ht="14">
      <c r="A2647" s="16">
        <v>43022</v>
      </c>
      <c r="B2647" s="17">
        <v>5785.74</v>
      </c>
      <c r="C2647" s="18">
        <v>1669030016</v>
      </c>
      <c r="D2647" s="21">
        <f t="shared" si="4"/>
        <v>13416048000</v>
      </c>
    </row>
    <row r="2648" spans="1:4" ht="14">
      <c r="A2648" s="16">
        <v>43023</v>
      </c>
      <c r="B2648" s="17">
        <v>5689.87</v>
      </c>
      <c r="C2648" s="18">
        <v>1976039936</v>
      </c>
      <c r="D2648" s="21">
        <f t="shared" si="4"/>
        <v>14178150016</v>
      </c>
    </row>
    <row r="2649" spans="1:4" ht="14">
      <c r="A2649" s="16">
        <v>43024</v>
      </c>
      <c r="B2649" s="17">
        <v>5756.15</v>
      </c>
      <c r="C2649" s="18">
        <v>2008070016</v>
      </c>
      <c r="D2649" s="21">
        <f t="shared" si="4"/>
        <v>14840320000</v>
      </c>
    </row>
    <row r="2650" spans="1:4" ht="14">
      <c r="A2650" s="16">
        <v>43025</v>
      </c>
      <c r="B2650" s="17">
        <v>5590.42</v>
      </c>
      <c r="C2650" s="18">
        <v>1821570048</v>
      </c>
      <c r="D2650" s="21">
        <f t="shared" si="4"/>
        <v>14879650048</v>
      </c>
    </row>
    <row r="2651" spans="1:4" ht="14">
      <c r="A2651" s="16">
        <v>43026</v>
      </c>
      <c r="B2651" s="17">
        <v>5583.87</v>
      </c>
      <c r="C2651" s="18">
        <v>2399269888</v>
      </c>
      <c r="D2651" s="21">
        <f t="shared" si="4"/>
        <v>15104080128</v>
      </c>
    </row>
    <row r="2652" spans="1:4" ht="14">
      <c r="A2652" s="16">
        <v>43027</v>
      </c>
      <c r="B2652" s="17">
        <v>5708.31</v>
      </c>
      <c r="C2652" s="18">
        <v>1780540032</v>
      </c>
      <c r="D2652" s="21">
        <f t="shared" si="4"/>
        <v>16281070080</v>
      </c>
    </row>
    <row r="2653" spans="1:4" ht="14">
      <c r="A2653" s="16">
        <v>43028</v>
      </c>
      <c r="B2653" s="17">
        <v>6000.88</v>
      </c>
      <c r="C2653" s="18">
        <v>2354429952</v>
      </c>
      <c r="D2653" s="21">
        <f t="shared" si="4"/>
        <v>15270000000</v>
      </c>
    </row>
    <row r="2654" spans="1:4" ht="14">
      <c r="A2654" s="16">
        <v>43029</v>
      </c>
      <c r="B2654" s="17">
        <v>6030.21</v>
      </c>
      <c r="C2654" s="18">
        <v>2207099904</v>
      </c>
      <c r="D2654" s="21">
        <f t="shared" si="4"/>
        <v>14008949888</v>
      </c>
    </row>
    <row r="2655" spans="1:4" ht="14">
      <c r="A2655" s="16">
        <v>43030</v>
      </c>
      <c r="B2655" s="17">
        <v>5996.6</v>
      </c>
      <c r="C2655" s="18">
        <v>2034630016</v>
      </c>
      <c r="D2655" s="21">
        <f t="shared" si="4"/>
        <v>14547019776</v>
      </c>
    </row>
    <row r="2656" spans="1:4" ht="14">
      <c r="A2656" s="16">
        <v>43031</v>
      </c>
      <c r="B2656" s="17">
        <v>5888.25</v>
      </c>
      <c r="C2656" s="18">
        <v>2401840128</v>
      </c>
      <c r="D2656" s="21">
        <f t="shared" si="4"/>
        <v>14605609856</v>
      </c>
    </row>
    <row r="2657" spans="1:4" ht="14">
      <c r="A2657" s="16">
        <v>43032</v>
      </c>
      <c r="B2657" s="17">
        <v>5517.78</v>
      </c>
      <c r="C2657" s="18">
        <v>2735699968</v>
      </c>
      <c r="D2657" s="21">
        <f t="shared" si="4"/>
        <v>14999379968</v>
      </c>
    </row>
    <row r="2658" spans="1:4" ht="14">
      <c r="A2658" s="16">
        <v>43033</v>
      </c>
      <c r="B2658" s="17">
        <v>5736.02</v>
      </c>
      <c r="C2658" s="18">
        <v>1966989952</v>
      </c>
      <c r="D2658" s="21">
        <f t="shared" si="4"/>
        <v>15913509888</v>
      </c>
    </row>
    <row r="2659" spans="1:4" ht="14">
      <c r="A2659" s="16">
        <v>43034</v>
      </c>
      <c r="B2659" s="17">
        <v>5900.32</v>
      </c>
      <c r="C2659" s="18">
        <v>1905040000</v>
      </c>
      <c r="D2659" s="21">
        <f t="shared" si="4"/>
        <v>15481229952</v>
      </c>
    </row>
    <row r="2660" spans="1:4" ht="14">
      <c r="A2660" s="16">
        <v>43035</v>
      </c>
      <c r="B2660" s="17">
        <v>5771.95</v>
      </c>
      <c r="C2660" s="18">
        <v>1710130048</v>
      </c>
      <c r="D2660" s="21">
        <f t="shared" si="4"/>
        <v>15605729920</v>
      </c>
    </row>
    <row r="2661" spans="1:4" ht="14">
      <c r="A2661" s="16">
        <v>43036</v>
      </c>
      <c r="B2661" s="17">
        <v>5762.39</v>
      </c>
      <c r="C2661" s="18">
        <v>1403920000</v>
      </c>
      <c r="D2661" s="21">
        <f t="shared" si="4"/>
        <v>14961430016</v>
      </c>
    </row>
    <row r="2662" spans="1:4" ht="14">
      <c r="A2662" s="16">
        <v>43037</v>
      </c>
      <c r="B2662" s="17">
        <v>6174.73</v>
      </c>
      <c r="C2662" s="18">
        <v>2859040000</v>
      </c>
      <c r="D2662" s="21">
        <f t="shared" si="4"/>
        <v>14158250112</v>
      </c>
    </row>
    <row r="2663" spans="1:4" ht="14">
      <c r="A2663" s="16">
        <v>43038</v>
      </c>
      <c r="B2663" s="17">
        <v>6119.26</v>
      </c>
      <c r="C2663" s="18">
        <v>1772150016</v>
      </c>
      <c r="D2663" s="21">
        <f t="shared" si="4"/>
        <v>14982660096</v>
      </c>
    </row>
    <row r="2664" spans="1:4" ht="14">
      <c r="A2664" s="16">
        <v>43039</v>
      </c>
      <c r="B2664" s="17">
        <v>6428.51</v>
      </c>
      <c r="C2664" s="18">
        <v>2311379968</v>
      </c>
      <c r="D2664" s="21">
        <f t="shared" si="4"/>
        <v>14352969984</v>
      </c>
    </row>
    <row r="2665" spans="1:4" ht="14">
      <c r="A2665" s="16">
        <v>43040</v>
      </c>
      <c r="B2665" s="17">
        <v>6726.41</v>
      </c>
      <c r="C2665" s="18">
        <v>2870320128</v>
      </c>
      <c r="D2665" s="21">
        <f t="shared" si="4"/>
        <v>13928649984</v>
      </c>
    </row>
    <row r="2666" spans="1:4" ht="14">
      <c r="A2666" s="16">
        <v>43041</v>
      </c>
      <c r="B2666" s="17">
        <v>7043.78</v>
      </c>
      <c r="C2666" s="18">
        <v>4653770240</v>
      </c>
      <c r="D2666" s="21">
        <f t="shared" si="4"/>
        <v>14831980160</v>
      </c>
    </row>
    <row r="2667" spans="1:4" ht="14">
      <c r="A2667" s="16">
        <v>43042</v>
      </c>
      <c r="B2667" s="17">
        <v>7198.63</v>
      </c>
      <c r="C2667" s="18">
        <v>3369860096</v>
      </c>
      <c r="D2667" s="21">
        <f t="shared" si="4"/>
        <v>17580710400</v>
      </c>
    </row>
    <row r="2668" spans="1:4" ht="14">
      <c r="A2668" s="16">
        <v>43043</v>
      </c>
      <c r="B2668" s="17">
        <v>7420.5</v>
      </c>
      <c r="C2668" s="18">
        <v>2483800064</v>
      </c>
      <c r="D2668" s="21">
        <f t="shared" si="4"/>
        <v>19240440448</v>
      </c>
    </row>
    <row r="2669" spans="1:4" ht="14">
      <c r="A2669" s="16">
        <v>43044</v>
      </c>
      <c r="B2669" s="17">
        <v>7371.14</v>
      </c>
      <c r="C2669" s="18">
        <v>2380410112</v>
      </c>
      <c r="D2669" s="21">
        <f t="shared" si="4"/>
        <v>20320320512</v>
      </c>
    </row>
    <row r="2670" spans="1:4" ht="14">
      <c r="A2670" s="16">
        <v>43045</v>
      </c>
      <c r="B2670" s="17">
        <v>6985.26</v>
      </c>
      <c r="C2670" s="18">
        <v>3111899904</v>
      </c>
      <c r="D2670" s="21">
        <f t="shared" si="4"/>
        <v>19841690624</v>
      </c>
    </row>
    <row r="2671" spans="1:4" ht="14">
      <c r="A2671" s="16">
        <v>43046</v>
      </c>
      <c r="B2671" s="17">
        <v>7118.2</v>
      </c>
      <c r="C2671" s="18">
        <v>2326340096</v>
      </c>
      <c r="D2671" s="21">
        <f t="shared" si="4"/>
        <v>21181440512</v>
      </c>
    </row>
    <row r="2672" spans="1:4" ht="14">
      <c r="A2672" s="16">
        <v>43047</v>
      </c>
      <c r="B2672" s="17">
        <v>7451.21</v>
      </c>
      <c r="C2672" s="18">
        <v>4602200064</v>
      </c>
      <c r="D2672" s="21">
        <f t="shared" si="4"/>
        <v>21196400640</v>
      </c>
    </row>
    <row r="2673" spans="1:4" ht="14">
      <c r="A2673" s="16">
        <v>43048</v>
      </c>
      <c r="B2673" s="17">
        <v>7117.74</v>
      </c>
      <c r="C2673" s="18">
        <v>3226249984</v>
      </c>
      <c r="D2673" s="21">
        <f t="shared" si="4"/>
        <v>22928280576</v>
      </c>
    </row>
    <row r="2674" spans="1:4" ht="14">
      <c r="A2674" s="16">
        <v>43049</v>
      </c>
      <c r="B2674" s="17">
        <v>6620.57</v>
      </c>
      <c r="C2674" s="18">
        <v>5208249856</v>
      </c>
      <c r="D2674" s="21">
        <f t="shared" si="4"/>
        <v>21500760320</v>
      </c>
    </row>
    <row r="2675" spans="1:4" ht="14">
      <c r="A2675" s="16">
        <v>43050</v>
      </c>
      <c r="B2675" s="17">
        <v>6346.72</v>
      </c>
      <c r="C2675" s="18">
        <v>4908680192</v>
      </c>
      <c r="D2675" s="21">
        <f t="shared" si="4"/>
        <v>23339150080</v>
      </c>
    </row>
    <row r="2676" spans="1:4" ht="14">
      <c r="A2676" s="16">
        <v>43051</v>
      </c>
      <c r="B2676" s="17">
        <v>5829.1</v>
      </c>
      <c r="C2676" s="18">
        <v>8957349888</v>
      </c>
      <c r="D2676" s="21">
        <f t="shared" si="4"/>
        <v>25764030208</v>
      </c>
    </row>
    <row r="2677" spans="1:4" ht="14">
      <c r="A2677" s="16">
        <v>43052</v>
      </c>
      <c r="B2677" s="17">
        <v>6519.45</v>
      </c>
      <c r="C2677" s="18">
        <v>6263249920</v>
      </c>
      <c r="D2677" s="21">
        <f t="shared" si="4"/>
        <v>32340969984</v>
      </c>
    </row>
    <row r="2678" spans="1:4" ht="14">
      <c r="A2678" s="16">
        <v>43053</v>
      </c>
      <c r="B2678" s="17">
        <v>6592.37</v>
      </c>
      <c r="C2678" s="18">
        <v>3197110016</v>
      </c>
      <c r="D2678" s="21">
        <f t="shared" si="4"/>
        <v>35492320000</v>
      </c>
    </row>
    <row r="2679" spans="1:4" ht="14">
      <c r="A2679" s="16">
        <v>43054</v>
      </c>
      <c r="B2679" s="17">
        <v>7257.37</v>
      </c>
      <c r="C2679" s="18">
        <v>4200880128</v>
      </c>
      <c r="D2679" s="21">
        <f t="shared" si="4"/>
        <v>36363089920</v>
      </c>
    </row>
    <row r="2680" spans="1:4" ht="14">
      <c r="A2680" s="16">
        <v>43055</v>
      </c>
      <c r="B2680" s="17">
        <v>7833.7</v>
      </c>
      <c r="C2680" s="18">
        <v>5123809792</v>
      </c>
      <c r="D2680" s="21">
        <f t="shared" si="4"/>
        <v>35961769984</v>
      </c>
    </row>
    <row r="2681" spans="1:4" ht="14">
      <c r="A2681" s="16">
        <v>43056</v>
      </c>
      <c r="B2681" s="17">
        <v>7729.03</v>
      </c>
      <c r="C2681" s="18">
        <v>4651670016</v>
      </c>
      <c r="D2681" s="21">
        <f t="shared" si="4"/>
        <v>37859329792</v>
      </c>
    </row>
    <row r="2682" spans="1:4" ht="14">
      <c r="A2682" s="16">
        <v>43057</v>
      </c>
      <c r="B2682" s="17">
        <v>7796.15</v>
      </c>
      <c r="C2682" s="18">
        <v>3667190016</v>
      </c>
      <c r="D2682" s="21">
        <f t="shared" si="4"/>
        <v>37302749952</v>
      </c>
    </row>
    <row r="2683" spans="1:4" ht="14">
      <c r="A2683" s="16">
        <v>43058</v>
      </c>
      <c r="B2683" s="17">
        <v>8018.32</v>
      </c>
      <c r="C2683" s="18">
        <v>3149319936</v>
      </c>
      <c r="D2683" s="21">
        <f t="shared" si="4"/>
        <v>36061259776</v>
      </c>
    </row>
    <row r="2684" spans="1:4" ht="14">
      <c r="A2684" s="16">
        <v>43059</v>
      </c>
      <c r="B2684" s="17">
        <v>8269.8700000000008</v>
      </c>
      <c r="C2684" s="18">
        <v>3488450048</v>
      </c>
      <c r="D2684" s="21">
        <f t="shared" si="4"/>
        <v>30253229824</v>
      </c>
    </row>
    <row r="2685" spans="1:4" ht="14">
      <c r="A2685" s="16">
        <v>43060</v>
      </c>
      <c r="B2685" s="17">
        <v>8092</v>
      </c>
      <c r="C2685" s="18">
        <v>4277609984</v>
      </c>
      <c r="D2685" s="21">
        <f t="shared" si="4"/>
        <v>27478429952</v>
      </c>
    </row>
    <row r="2686" spans="1:4" ht="14">
      <c r="A2686" s="16">
        <v>43061</v>
      </c>
      <c r="B2686" s="17">
        <v>8249.6</v>
      </c>
      <c r="C2686" s="18">
        <v>3633530112</v>
      </c>
      <c r="D2686" s="21">
        <f t="shared" si="4"/>
        <v>28558929920</v>
      </c>
    </row>
    <row r="2687" spans="1:4" ht="14">
      <c r="A2687" s="16">
        <v>43062</v>
      </c>
      <c r="B2687" s="17">
        <v>8071.67</v>
      </c>
      <c r="C2687" s="18">
        <v>4225179904</v>
      </c>
      <c r="D2687" s="21">
        <f t="shared" si="4"/>
        <v>27991579904</v>
      </c>
    </row>
    <row r="2688" spans="1:4" ht="14">
      <c r="A2688" s="16">
        <v>43063</v>
      </c>
      <c r="B2688" s="17">
        <v>8232.42</v>
      </c>
      <c r="C2688" s="18">
        <v>5058610176</v>
      </c>
      <c r="D2688" s="21">
        <f t="shared" si="4"/>
        <v>27092950016</v>
      </c>
    </row>
    <row r="2689" spans="1:4" ht="14">
      <c r="A2689" s="16">
        <v>43064</v>
      </c>
      <c r="B2689" s="17">
        <v>8760.17</v>
      </c>
      <c r="C2689" s="18">
        <v>4342060032</v>
      </c>
      <c r="D2689" s="21">
        <f t="shared" si="4"/>
        <v>27499890176</v>
      </c>
    </row>
    <row r="2690" spans="1:4" ht="14">
      <c r="A2690" s="16">
        <v>43065</v>
      </c>
      <c r="B2690" s="17">
        <v>9319.9</v>
      </c>
      <c r="C2690" s="18">
        <v>5475579904</v>
      </c>
      <c r="D2690" s="21">
        <f t="shared" si="4"/>
        <v>28174760192</v>
      </c>
    </row>
    <row r="2691" spans="1:4" ht="14">
      <c r="A2691" s="16">
        <v>43066</v>
      </c>
      <c r="B2691" s="17">
        <v>9730.73</v>
      </c>
      <c r="C2691" s="18">
        <v>5653320192</v>
      </c>
      <c r="D2691" s="21">
        <f t="shared" si="4"/>
        <v>30501020160</v>
      </c>
    </row>
    <row r="2692" spans="1:4" ht="14">
      <c r="A2692" s="16">
        <v>43067</v>
      </c>
      <c r="B2692" s="17">
        <v>9932.19</v>
      </c>
      <c r="C2692" s="18">
        <v>6348819968</v>
      </c>
      <c r="D2692" s="21">
        <f t="shared" si="4"/>
        <v>32665890304</v>
      </c>
    </row>
    <row r="2693" spans="1:4" ht="14">
      <c r="A2693" s="16">
        <v>43068</v>
      </c>
      <c r="B2693" s="17">
        <v>9800.0300000000007</v>
      </c>
      <c r="C2693" s="18">
        <v>11568799744</v>
      </c>
      <c r="D2693" s="21">
        <f t="shared" si="4"/>
        <v>34737100288</v>
      </c>
    </row>
    <row r="2694" spans="1:4" ht="14">
      <c r="A2694" s="16">
        <v>43069</v>
      </c>
      <c r="B2694" s="17">
        <v>9996.7099999999991</v>
      </c>
      <c r="C2694" s="18">
        <v>8310689792</v>
      </c>
      <c r="D2694" s="21">
        <f t="shared" si="4"/>
        <v>42672369920</v>
      </c>
    </row>
    <row r="2695" spans="1:4" ht="14">
      <c r="A2695" s="16">
        <v>43070</v>
      </c>
      <c r="B2695" s="17">
        <v>10808.96</v>
      </c>
      <c r="C2695" s="18">
        <v>6783119872</v>
      </c>
      <c r="D2695" s="21">
        <f t="shared" si="4"/>
        <v>46757879808</v>
      </c>
    </row>
    <row r="2696" spans="1:4" ht="14">
      <c r="A2696" s="16">
        <v>43071</v>
      </c>
      <c r="B2696" s="17">
        <v>10934.86</v>
      </c>
      <c r="C2696" s="18">
        <v>5138500096</v>
      </c>
      <c r="D2696" s="21">
        <f t="shared" si="4"/>
        <v>48482389504</v>
      </c>
    </row>
    <row r="2697" spans="1:4" ht="14">
      <c r="A2697" s="16">
        <v>43072</v>
      </c>
      <c r="B2697" s="17">
        <v>11213.94</v>
      </c>
      <c r="C2697" s="18">
        <v>6608309760</v>
      </c>
      <c r="D2697" s="21">
        <f t="shared" si="4"/>
        <v>49278829568</v>
      </c>
    </row>
    <row r="2698" spans="1:4" ht="14">
      <c r="A2698" s="16">
        <v>43073</v>
      </c>
      <c r="B2698" s="17">
        <v>11562.13</v>
      </c>
      <c r="C2698" s="18">
        <v>6132409856</v>
      </c>
      <c r="D2698" s="21">
        <f t="shared" si="4"/>
        <v>50411559424</v>
      </c>
    </row>
    <row r="2699" spans="1:4" ht="14">
      <c r="A2699" s="16">
        <v>43074</v>
      </c>
      <c r="B2699" s="17">
        <v>11736.75</v>
      </c>
      <c r="C2699" s="18">
        <v>6895260160</v>
      </c>
      <c r="D2699" s="21">
        <f t="shared" si="4"/>
        <v>50890649088</v>
      </c>
    </row>
    <row r="2700" spans="1:4" ht="14">
      <c r="A2700" s="16">
        <v>43075</v>
      </c>
      <c r="B2700" s="17">
        <v>13992.13</v>
      </c>
      <c r="C2700" s="18">
        <v>12656300032</v>
      </c>
      <c r="D2700" s="21">
        <f t="shared" si="4"/>
        <v>51437089280</v>
      </c>
    </row>
    <row r="2701" spans="1:4" ht="14">
      <c r="A2701" s="16">
        <v>43076</v>
      </c>
      <c r="B2701" s="17">
        <v>17032.29</v>
      </c>
      <c r="C2701" s="18">
        <v>17950699520</v>
      </c>
      <c r="D2701" s="21">
        <f t="shared" si="4"/>
        <v>52524589568</v>
      </c>
    </row>
    <row r="2702" spans="1:4" ht="14">
      <c r="A2702" s="16">
        <v>43077</v>
      </c>
      <c r="B2702" s="17">
        <v>16298.49</v>
      </c>
      <c r="C2702" s="18">
        <v>21135998976</v>
      </c>
      <c r="D2702" s="21">
        <f t="shared" si="4"/>
        <v>62164599296</v>
      </c>
    </row>
    <row r="2703" spans="1:4" ht="14">
      <c r="A2703" s="16">
        <v>43078</v>
      </c>
      <c r="B2703" s="17">
        <v>15050.02</v>
      </c>
      <c r="C2703" s="18">
        <v>13911300096</v>
      </c>
      <c r="D2703" s="21">
        <f t="shared" si="4"/>
        <v>76517478400</v>
      </c>
    </row>
    <row r="2704" spans="1:4" ht="14">
      <c r="A2704" s="16">
        <v>43079</v>
      </c>
      <c r="B2704" s="17">
        <v>15475</v>
      </c>
      <c r="C2704" s="18">
        <v>13433299968</v>
      </c>
      <c r="D2704" s="21">
        <f t="shared" si="4"/>
        <v>85290278400</v>
      </c>
    </row>
    <row r="2705" spans="1:4" ht="14">
      <c r="A2705" s="16">
        <v>43080</v>
      </c>
      <c r="B2705" s="17">
        <v>16873.5</v>
      </c>
      <c r="C2705" s="18">
        <v>12153900032</v>
      </c>
      <c r="D2705" s="21">
        <f t="shared" si="4"/>
        <v>92115268608</v>
      </c>
    </row>
    <row r="2706" spans="1:4" ht="14">
      <c r="A2706" s="16">
        <v>43081</v>
      </c>
      <c r="B2706" s="17">
        <v>17433.93</v>
      </c>
      <c r="C2706" s="18">
        <v>14603799552</v>
      </c>
      <c r="D2706" s="21">
        <f t="shared" si="4"/>
        <v>98136758784</v>
      </c>
    </row>
    <row r="2707" spans="1:4" ht="14">
      <c r="A2707" s="16">
        <v>43082</v>
      </c>
      <c r="B2707" s="17">
        <v>16515.150000000001</v>
      </c>
      <c r="C2707" s="18">
        <v>12976900096</v>
      </c>
      <c r="D2707" s="21">
        <f t="shared" si="4"/>
        <v>105845298176</v>
      </c>
    </row>
    <row r="2708" spans="1:4" ht="14">
      <c r="A2708" s="16">
        <v>43083</v>
      </c>
      <c r="B2708" s="17">
        <v>16602.89</v>
      </c>
      <c r="C2708" s="18">
        <v>13777399808</v>
      </c>
      <c r="D2708" s="21">
        <f t="shared" si="4"/>
        <v>106165898240</v>
      </c>
    </row>
    <row r="2709" spans="1:4" ht="14">
      <c r="A2709" s="16">
        <v>43084</v>
      </c>
      <c r="B2709" s="17">
        <v>17702</v>
      </c>
      <c r="C2709" s="18">
        <v>14309999616</v>
      </c>
      <c r="D2709" s="21">
        <f t="shared" si="4"/>
        <v>101992598528</v>
      </c>
    </row>
    <row r="2710" spans="1:4" ht="14">
      <c r="A2710" s="16">
        <v>43085</v>
      </c>
      <c r="B2710" s="17">
        <v>19640.509999999998</v>
      </c>
      <c r="C2710" s="18">
        <v>12740599808</v>
      </c>
      <c r="D2710" s="21">
        <f t="shared" si="4"/>
        <v>95166599168</v>
      </c>
    </row>
    <row r="2711" spans="1:4" ht="14">
      <c r="A2711" s="16">
        <v>43086</v>
      </c>
      <c r="B2711" s="17">
        <v>19250.47</v>
      </c>
      <c r="C2711" s="18">
        <v>13314599936</v>
      </c>
      <c r="D2711" s="21">
        <f t="shared" si="4"/>
        <v>93995898880</v>
      </c>
    </row>
    <row r="2712" spans="1:4" ht="14">
      <c r="A2712" s="16">
        <v>43087</v>
      </c>
      <c r="B2712" s="17">
        <v>18982.03</v>
      </c>
      <c r="C2712" s="18">
        <v>14839499776</v>
      </c>
      <c r="D2712" s="21">
        <f t="shared" si="4"/>
        <v>93877198848</v>
      </c>
    </row>
    <row r="2713" spans="1:4" ht="14">
      <c r="A2713" s="16">
        <v>43088</v>
      </c>
      <c r="B2713" s="17">
        <v>17653.330000000002</v>
      </c>
      <c r="C2713" s="18">
        <v>16894499840</v>
      </c>
      <c r="D2713" s="21">
        <f t="shared" si="4"/>
        <v>96562798592</v>
      </c>
    </row>
    <row r="2714" spans="1:4" ht="14">
      <c r="A2714" s="16">
        <v>43089</v>
      </c>
      <c r="B2714" s="17">
        <v>16453.63</v>
      </c>
      <c r="C2714" s="18">
        <v>22149699584</v>
      </c>
      <c r="D2714" s="21">
        <f t="shared" si="4"/>
        <v>98853498880</v>
      </c>
    </row>
    <row r="2715" spans="1:4" ht="14">
      <c r="A2715" s="16">
        <v>43090</v>
      </c>
      <c r="B2715" s="17">
        <v>15633.83</v>
      </c>
      <c r="C2715" s="18">
        <v>16516599808</v>
      </c>
      <c r="D2715" s="21">
        <f t="shared" si="4"/>
        <v>108026298368</v>
      </c>
    </row>
    <row r="2716" spans="1:4" ht="14">
      <c r="A2716" s="16">
        <v>43091</v>
      </c>
      <c r="B2716" s="17">
        <v>14305.72</v>
      </c>
      <c r="C2716" s="18">
        <v>22197999616</v>
      </c>
      <c r="D2716" s="21">
        <f t="shared" si="4"/>
        <v>110765498368</v>
      </c>
    </row>
    <row r="2717" spans="1:4" ht="14">
      <c r="A2717" s="16">
        <v>43092</v>
      </c>
      <c r="B2717" s="17">
        <v>14910.86</v>
      </c>
      <c r="C2717" s="18">
        <v>13086000128</v>
      </c>
      <c r="D2717" s="21">
        <f t="shared" si="4"/>
        <v>118653498368</v>
      </c>
    </row>
    <row r="2718" spans="1:4" ht="14">
      <c r="A2718" s="16">
        <v>43093</v>
      </c>
      <c r="B2718" s="17">
        <v>14026.35</v>
      </c>
      <c r="C2718" s="18">
        <v>11572299776</v>
      </c>
      <c r="D2718" s="21">
        <f t="shared" si="4"/>
        <v>118998898688</v>
      </c>
    </row>
    <row r="2719" spans="1:4" ht="14">
      <c r="A2719" s="16">
        <v>43094</v>
      </c>
      <c r="B2719" s="17">
        <v>14080.94</v>
      </c>
      <c r="C2719" s="18">
        <v>10664699904</v>
      </c>
      <c r="D2719" s="21">
        <f t="shared" si="4"/>
        <v>117256598528</v>
      </c>
    </row>
    <row r="2720" spans="1:4" ht="14">
      <c r="A2720" s="16">
        <v>43095</v>
      </c>
      <c r="B2720" s="17">
        <v>15727.15</v>
      </c>
      <c r="C2720" s="18">
        <v>13454300160</v>
      </c>
      <c r="D2720" s="21">
        <f t="shared" si="4"/>
        <v>113081798656</v>
      </c>
    </row>
    <row r="2721" spans="1:4" ht="14">
      <c r="A2721" s="16">
        <v>43096</v>
      </c>
      <c r="B2721" s="17">
        <v>15389</v>
      </c>
      <c r="C2721" s="18">
        <v>12487600128</v>
      </c>
      <c r="D2721" s="21">
        <f t="shared" si="4"/>
        <v>109641598976</v>
      </c>
    </row>
    <row r="2722" spans="1:4" ht="14">
      <c r="A2722" s="16">
        <v>43097</v>
      </c>
      <c r="B2722" s="17">
        <v>14289.45</v>
      </c>
      <c r="C2722" s="18">
        <v>12336499712</v>
      </c>
      <c r="D2722" s="21">
        <f t="shared" si="4"/>
        <v>99979499520</v>
      </c>
    </row>
    <row r="2723" spans="1:4" ht="14">
      <c r="A2723" s="16">
        <v>43098</v>
      </c>
      <c r="B2723" s="17">
        <v>14571.75</v>
      </c>
      <c r="C2723" s="18">
        <v>13025500160</v>
      </c>
      <c r="D2723" s="21">
        <f t="shared" si="4"/>
        <v>95799399424</v>
      </c>
    </row>
    <row r="2724" spans="1:4" ht="14">
      <c r="A2724" s="16">
        <v>43099</v>
      </c>
      <c r="B2724" s="17">
        <v>12948.72</v>
      </c>
      <c r="C2724" s="18">
        <v>14452599808</v>
      </c>
      <c r="D2724" s="21">
        <f t="shared" si="4"/>
        <v>86626899968</v>
      </c>
    </row>
    <row r="2725" spans="1:4" ht="14">
      <c r="A2725" s="16">
        <v>43100</v>
      </c>
      <c r="B2725" s="17">
        <v>13921.48</v>
      </c>
      <c r="C2725" s="18">
        <v>12136299520</v>
      </c>
      <c r="D2725" s="21">
        <f t="shared" si="4"/>
        <v>87993499648</v>
      </c>
    </row>
    <row r="2726" spans="1:4" ht="14">
      <c r="A2726" s="16">
        <v>43101</v>
      </c>
      <c r="B2726" s="17">
        <v>13464.65</v>
      </c>
      <c r="C2726" s="18">
        <v>10291200000</v>
      </c>
      <c r="D2726" s="21">
        <f t="shared" si="4"/>
        <v>88557499392</v>
      </c>
    </row>
    <row r="2727" spans="1:4" ht="14">
      <c r="A2727" s="16">
        <v>43102</v>
      </c>
      <c r="B2727" s="17">
        <v>14754.32</v>
      </c>
      <c r="C2727" s="18">
        <v>16846600192</v>
      </c>
      <c r="D2727" s="21">
        <f t="shared" si="4"/>
        <v>88183999488</v>
      </c>
    </row>
    <row r="2728" spans="1:4" ht="14">
      <c r="A2728" s="16">
        <v>43103</v>
      </c>
      <c r="B2728" s="17">
        <v>15010.29</v>
      </c>
      <c r="C2728" s="18">
        <v>16871900160</v>
      </c>
      <c r="D2728" s="21">
        <f t="shared" si="4"/>
        <v>91576299520</v>
      </c>
    </row>
    <row r="2729" spans="1:4" ht="14">
      <c r="A2729" s="16">
        <v>43104</v>
      </c>
      <c r="B2729" s="17">
        <v>15070.3</v>
      </c>
      <c r="C2729" s="18">
        <v>21783199744</v>
      </c>
      <c r="D2729" s="21">
        <f t="shared" si="4"/>
        <v>95960599552</v>
      </c>
    </row>
    <row r="2730" spans="1:4" ht="14">
      <c r="A2730" s="16">
        <v>43105</v>
      </c>
      <c r="B2730" s="17">
        <v>16997.23</v>
      </c>
      <c r="C2730" s="18">
        <v>23840899072</v>
      </c>
      <c r="D2730" s="21">
        <f t="shared" si="4"/>
        <v>105407299584</v>
      </c>
    </row>
    <row r="2731" spans="1:4" ht="14">
      <c r="A2731" s="16">
        <v>43106</v>
      </c>
      <c r="B2731" s="17">
        <v>17103.59</v>
      </c>
      <c r="C2731" s="18">
        <v>18314600448</v>
      </c>
      <c r="D2731" s="21">
        <f t="shared" si="4"/>
        <v>116222698496</v>
      </c>
    </row>
    <row r="2732" spans="1:4" ht="14">
      <c r="A2732" s="16">
        <v>43107</v>
      </c>
      <c r="B2732" s="17">
        <v>16231.7</v>
      </c>
      <c r="C2732" s="18">
        <v>15866000384</v>
      </c>
      <c r="D2732" s="21">
        <f t="shared" si="4"/>
        <v>120084699136</v>
      </c>
    </row>
    <row r="2733" spans="1:4" ht="14">
      <c r="A2733" s="16">
        <v>43108</v>
      </c>
      <c r="B2733" s="17">
        <v>14937.42</v>
      </c>
      <c r="C2733" s="18">
        <v>18413899776</v>
      </c>
      <c r="D2733" s="21">
        <f t="shared" si="4"/>
        <v>123814400000</v>
      </c>
    </row>
    <row r="2734" spans="1:4" ht="14">
      <c r="A2734" s="16">
        <v>43109</v>
      </c>
      <c r="B2734" s="17">
        <v>14378.59</v>
      </c>
      <c r="C2734" s="18">
        <v>16659999744</v>
      </c>
      <c r="D2734" s="21">
        <f t="shared" si="4"/>
        <v>131937099776</v>
      </c>
    </row>
    <row r="2735" spans="1:4" ht="14">
      <c r="A2735" s="16">
        <v>43110</v>
      </c>
      <c r="B2735" s="17">
        <v>14669.09</v>
      </c>
      <c r="C2735" s="18">
        <v>18500800512</v>
      </c>
      <c r="D2735" s="21">
        <f t="shared" si="4"/>
        <v>131750499328</v>
      </c>
    </row>
    <row r="2736" spans="1:4" ht="14">
      <c r="A2736" s="16">
        <v>43111</v>
      </c>
      <c r="B2736" s="17">
        <v>13186.75</v>
      </c>
      <c r="C2736" s="18">
        <v>16534099968</v>
      </c>
      <c r="D2736" s="21">
        <f t="shared" si="4"/>
        <v>133379399680</v>
      </c>
    </row>
    <row r="2737" spans="1:4" ht="14">
      <c r="A2737" s="16">
        <v>43112</v>
      </c>
      <c r="B2737" s="17">
        <v>13789.44</v>
      </c>
      <c r="C2737" s="18">
        <v>12065699840</v>
      </c>
      <c r="D2737" s="21">
        <f t="shared" si="4"/>
        <v>128130299904</v>
      </c>
    </row>
    <row r="2738" spans="1:4" ht="14">
      <c r="A2738" s="16">
        <v>43113</v>
      </c>
      <c r="B2738" s="17">
        <v>14231.23</v>
      </c>
      <c r="C2738" s="18">
        <v>12763599872</v>
      </c>
      <c r="D2738" s="21">
        <f t="shared" si="4"/>
        <v>116355100672</v>
      </c>
    </row>
    <row r="2739" spans="1:4" ht="14">
      <c r="A2739" s="16">
        <v>43114</v>
      </c>
      <c r="B2739" s="17">
        <v>13681.07</v>
      </c>
      <c r="C2739" s="18">
        <v>11084099584</v>
      </c>
      <c r="D2739" s="21">
        <f t="shared" si="4"/>
        <v>110804100096</v>
      </c>
    </row>
    <row r="2740" spans="1:4" ht="14">
      <c r="A2740" s="16">
        <v>43115</v>
      </c>
      <c r="B2740" s="17">
        <v>13591.7</v>
      </c>
      <c r="C2740" s="18">
        <v>12750799872</v>
      </c>
      <c r="D2740" s="21">
        <f t="shared" si="4"/>
        <v>106022199296</v>
      </c>
    </row>
    <row r="2741" spans="1:4" ht="14">
      <c r="A2741" s="16">
        <v>43116</v>
      </c>
      <c r="B2741" s="17">
        <v>11431.04</v>
      </c>
      <c r="C2741" s="18">
        <v>18853799936</v>
      </c>
      <c r="D2741" s="21">
        <f t="shared" si="4"/>
        <v>100359099392</v>
      </c>
    </row>
    <row r="2742" spans="1:4" ht="14">
      <c r="A2742" s="16">
        <v>43117</v>
      </c>
      <c r="B2742" s="17">
        <v>11159.61</v>
      </c>
      <c r="C2742" s="18">
        <v>18830600192</v>
      </c>
      <c r="D2742" s="21">
        <f t="shared" si="4"/>
        <v>102552899584</v>
      </c>
    </row>
    <row r="2743" spans="1:4" ht="14">
      <c r="A2743" s="16">
        <v>43118</v>
      </c>
      <c r="B2743" s="17">
        <v>11246.04</v>
      </c>
      <c r="C2743" s="18">
        <v>15020399616</v>
      </c>
      <c r="D2743" s="21">
        <f t="shared" si="4"/>
        <v>102882699264</v>
      </c>
    </row>
    <row r="2744" spans="1:4" ht="14">
      <c r="A2744" s="16">
        <v>43119</v>
      </c>
      <c r="B2744" s="17">
        <v>11440.26</v>
      </c>
      <c r="C2744" s="18">
        <v>10740400128</v>
      </c>
      <c r="D2744" s="21">
        <f t="shared" si="4"/>
        <v>101368998912</v>
      </c>
    </row>
    <row r="2745" spans="1:4" ht="14">
      <c r="A2745" s="16">
        <v>43120</v>
      </c>
      <c r="B2745" s="17">
        <v>12768.4</v>
      </c>
      <c r="C2745" s="18">
        <v>11801700352</v>
      </c>
      <c r="D2745" s="21">
        <f t="shared" si="4"/>
        <v>100043699200</v>
      </c>
    </row>
    <row r="2746" spans="1:4" ht="14">
      <c r="A2746" s="16">
        <v>43121</v>
      </c>
      <c r="B2746" s="17">
        <v>11422.39</v>
      </c>
      <c r="C2746" s="18">
        <v>9935179776</v>
      </c>
      <c r="D2746" s="21">
        <f t="shared" si="4"/>
        <v>99081799680</v>
      </c>
    </row>
    <row r="2747" spans="1:4" ht="14">
      <c r="A2747" s="16">
        <v>43122</v>
      </c>
      <c r="B2747" s="17">
        <v>10737.35</v>
      </c>
      <c r="C2747" s="18">
        <v>10537400320</v>
      </c>
      <c r="D2747" s="21">
        <f t="shared" si="4"/>
        <v>97932879872</v>
      </c>
    </row>
    <row r="2748" spans="1:4" ht="14">
      <c r="A2748" s="16">
        <v>43123</v>
      </c>
      <c r="B2748" s="17">
        <v>10849.39</v>
      </c>
      <c r="C2748" s="18">
        <v>9660609536</v>
      </c>
      <c r="D2748" s="21">
        <f t="shared" si="4"/>
        <v>95719480320</v>
      </c>
    </row>
    <row r="2749" spans="1:4" ht="14">
      <c r="A2749" s="16">
        <v>43124</v>
      </c>
      <c r="B2749" s="17">
        <v>11225.9</v>
      </c>
      <c r="C2749" s="18">
        <v>9940989952</v>
      </c>
      <c r="D2749" s="21">
        <f t="shared" si="4"/>
        <v>86526289920</v>
      </c>
    </row>
    <row r="2750" spans="1:4" ht="14">
      <c r="A2750" s="16">
        <v>43125</v>
      </c>
      <c r="B2750" s="17">
        <v>11130.46</v>
      </c>
      <c r="C2750" s="18">
        <v>8873169920</v>
      </c>
      <c r="D2750" s="21">
        <f t="shared" si="4"/>
        <v>77636679680</v>
      </c>
    </row>
    <row r="2751" spans="1:4" ht="14">
      <c r="A2751" s="16">
        <v>43126</v>
      </c>
      <c r="B2751" s="17">
        <v>11035.55</v>
      </c>
      <c r="C2751" s="18">
        <v>9746199552</v>
      </c>
      <c r="D2751" s="21">
        <f t="shared" si="4"/>
        <v>71489449984</v>
      </c>
    </row>
    <row r="2752" spans="1:4" ht="14">
      <c r="A2752" s="16">
        <v>43127</v>
      </c>
      <c r="B2752" s="17">
        <v>11320.97</v>
      </c>
      <c r="C2752" s="18">
        <v>7583269888</v>
      </c>
      <c r="D2752" s="21">
        <f t="shared" si="4"/>
        <v>70495249408</v>
      </c>
    </row>
    <row r="2753" spans="1:4" ht="14">
      <c r="A2753" s="16">
        <v>43128</v>
      </c>
      <c r="B2753" s="17">
        <v>11615.96</v>
      </c>
      <c r="C2753" s="18">
        <v>8350360064</v>
      </c>
      <c r="D2753" s="21">
        <f t="shared" si="4"/>
        <v>66276818944</v>
      </c>
    </row>
    <row r="2754" spans="1:4" ht="14">
      <c r="A2754" s="16">
        <v>43129</v>
      </c>
      <c r="B2754" s="17">
        <v>11132.55</v>
      </c>
      <c r="C2754" s="18">
        <v>7107359744</v>
      </c>
      <c r="D2754" s="21">
        <f t="shared" si="4"/>
        <v>64691999232</v>
      </c>
    </row>
    <row r="2755" spans="1:4" ht="14">
      <c r="A2755" s="16">
        <v>43130</v>
      </c>
      <c r="B2755" s="17">
        <v>9959.5499999999993</v>
      </c>
      <c r="C2755" s="18">
        <v>8637859840</v>
      </c>
      <c r="D2755" s="21">
        <f t="shared" si="4"/>
        <v>61261958656</v>
      </c>
    </row>
    <row r="2756" spans="1:4" ht="14">
      <c r="A2756" s="16">
        <v>43131</v>
      </c>
      <c r="B2756" s="17">
        <v>10050.1</v>
      </c>
      <c r="C2756" s="18">
        <v>8041160192</v>
      </c>
      <c r="D2756" s="21">
        <f t="shared" si="4"/>
        <v>60239208960</v>
      </c>
    </row>
    <row r="2757" spans="1:4" ht="14">
      <c r="A2757" s="16">
        <v>43132</v>
      </c>
      <c r="B2757" s="17">
        <v>9039.8700000000008</v>
      </c>
      <c r="C2757" s="18">
        <v>9959400448</v>
      </c>
      <c r="D2757" s="21">
        <f t="shared" si="4"/>
        <v>58339379200</v>
      </c>
    </row>
    <row r="2758" spans="1:4" ht="14">
      <c r="A2758" s="16">
        <v>43133</v>
      </c>
      <c r="B2758" s="17">
        <v>8786.08</v>
      </c>
      <c r="C2758" s="18">
        <v>12726899712</v>
      </c>
      <c r="D2758" s="21">
        <f t="shared" si="4"/>
        <v>59425609728</v>
      </c>
    </row>
    <row r="2759" spans="1:4" ht="14">
      <c r="A2759" s="16">
        <v>43134</v>
      </c>
      <c r="B2759" s="17">
        <v>9132.1</v>
      </c>
      <c r="C2759" s="18">
        <v>7263790080</v>
      </c>
      <c r="D2759" s="21">
        <f t="shared" si="4"/>
        <v>62406309888</v>
      </c>
    </row>
    <row r="2760" spans="1:4" ht="14">
      <c r="A2760" s="16">
        <v>43135</v>
      </c>
      <c r="B2760" s="17">
        <v>8250.5300000000007</v>
      </c>
      <c r="C2760" s="18">
        <v>7073549824</v>
      </c>
      <c r="D2760" s="21">
        <f t="shared" si="4"/>
        <v>62086830080</v>
      </c>
    </row>
    <row r="2761" spans="1:4" ht="14">
      <c r="A2761" s="16">
        <v>43136</v>
      </c>
      <c r="B2761" s="17">
        <v>6849.54</v>
      </c>
      <c r="C2761" s="18">
        <v>9285289984</v>
      </c>
      <c r="D2761" s="21">
        <f t="shared" si="4"/>
        <v>60810019840</v>
      </c>
    </row>
    <row r="2762" spans="1:4" ht="14">
      <c r="A2762" s="16">
        <v>43137</v>
      </c>
      <c r="B2762" s="17">
        <v>7738.64</v>
      </c>
      <c r="C2762" s="18">
        <v>13999800320</v>
      </c>
      <c r="D2762" s="21">
        <f t="shared" si="4"/>
        <v>62987950080</v>
      </c>
    </row>
    <row r="2763" spans="1:4" ht="14">
      <c r="A2763" s="16">
        <v>43138</v>
      </c>
      <c r="B2763" s="17">
        <v>7624.6</v>
      </c>
      <c r="C2763" s="18">
        <v>9169280000</v>
      </c>
      <c r="D2763" s="21">
        <f t="shared" si="4"/>
        <v>68349890560</v>
      </c>
    </row>
    <row r="2764" spans="1:4" ht="14">
      <c r="A2764" s="16">
        <v>43139</v>
      </c>
      <c r="B2764" s="17">
        <v>8218.58</v>
      </c>
      <c r="C2764" s="18">
        <v>9346750464</v>
      </c>
      <c r="D2764" s="21">
        <f t="shared" si="4"/>
        <v>69478010368</v>
      </c>
    </row>
    <row r="2765" spans="1:4" ht="14">
      <c r="A2765" s="16">
        <v>43140</v>
      </c>
      <c r="B2765" s="17">
        <v>8660.4500000000007</v>
      </c>
      <c r="C2765" s="18">
        <v>6784820224</v>
      </c>
      <c r="D2765" s="21">
        <f t="shared" si="4"/>
        <v>68865360384</v>
      </c>
    </row>
    <row r="2766" spans="1:4" ht="14">
      <c r="A2766" s="16">
        <v>43141</v>
      </c>
      <c r="B2766" s="17">
        <v>8530.2900000000009</v>
      </c>
      <c r="C2766" s="18">
        <v>7780960256</v>
      </c>
      <c r="D2766" s="21">
        <f t="shared" si="4"/>
        <v>62923280896</v>
      </c>
    </row>
    <row r="2767" spans="1:4" ht="14">
      <c r="A2767" s="16">
        <v>43142</v>
      </c>
      <c r="B2767" s="17">
        <v>8096.73</v>
      </c>
      <c r="C2767" s="18">
        <v>6122189824</v>
      </c>
      <c r="D2767" s="21">
        <f t="shared" si="4"/>
        <v>63440451072</v>
      </c>
    </row>
    <row r="2768" spans="1:4" ht="14">
      <c r="A2768" s="16">
        <v>43143</v>
      </c>
      <c r="B2768" s="17">
        <v>8907.67</v>
      </c>
      <c r="C2768" s="18">
        <v>6256439808</v>
      </c>
      <c r="D2768" s="21">
        <f t="shared" si="4"/>
        <v>62489091072</v>
      </c>
    </row>
    <row r="2769" spans="1:4" ht="14">
      <c r="A2769" s="16">
        <v>43144</v>
      </c>
      <c r="B2769" s="17">
        <v>8523.9699999999993</v>
      </c>
      <c r="C2769" s="18">
        <v>5696719872</v>
      </c>
      <c r="D2769" s="21">
        <f t="shared" si="4"/>
        <v>59460240896</v>
      </c>
    </row>
    <row r="2770" spans="1:4" ht="14">
      <c r="A2770" s="16">
        <v>43145</v>
      </c>
      <c r="B2770" s="17">
        <v>9467.2999999999993</v>
      </c>
      <c r="C2770" s="18">
        <v>7909819904</v>
      </c>
      <c r="D2770" s="21">
        <f t="shared" si="4"/>
        <v>51157160448</v>
      </c>
    </row>
    <row r="2771" spans="1:4" ht="14">
      <c r="A2771" s="16">
        <v>43146</v>
      </c>
      <c r="B2771" s="17">
        <v>10106.73</v>
      </c>
      <c r="C2771" s="18">
        <v>9062540288</v>
      </c>
      <c r="D2771" s="21">
        <f t="shared" si="4"/>
        <v>49897700352</v>
      </c>
    </row>
    <row r="2772" spans="1:4" ht="14">
      <c r="A2772" s="16">
        <v>43147</v>
      </c>
      <c r="B2772" s="17">
        <v>10189.32</v>
      </c>
      <c r="C2772" s="18">
        <v>7296159744</v>
      </c>
      <c r="D2772" s="21">
        <f t="shared" si="4"/>
        <v>49613490176</v>
      </c>
    </row>
    <row r="2773" spans="1:4" ht="14">
      <c r="A2773" s="16">
        <v>43148</v>
      </c>
      <c r="B2773" s="17">
        <v>11085.6</v>
      </c>
      <c r="C2773" s="18">
        <v>8660880384</v>
      </c>
      <c r="D2773" s="21">
        <f t="shared" si="4"/>
        <v>50124829696</v>
      </c>
    </row>
    <row r="2774" spans="1:4" ht="14">
      <c r="A2774" s="16">
        <v>43149</v>
      </c>
      <c r="B2774" s="17">
        <v>10452.09</v>
      </c>
      <c r="C2774" s="18">
        <v>8744009728</v>
      </c>
      <c r="D2774" s="21">
        <f t="shared" si="4"/>
        <v>51004749824</v>
      </c>
    </row>
    <row r="2775" spans="1:4" ht="14">
      <c r="A2775" s="16">
        <v>43150</v>
      </c>
      <c r="B2775" s="17">
        <v>11139.36</v>
      </c>
      <c r="C2775" s="18">
        <v>7652089856</v>
      </c>
      <c r="D2775" s="21">
        <f t="shared" si="4"/>
        <v>53626569728</v>
      </c>
    </row>
    <row r="2776" spans="1:4" ht="14">
      <c r="A2776" s="16">
        <v>43151</v>
      </c>
      <c r="B2776" s="17">
        <v>11245.93</v>
      </c>
      <c r="C2776" s="18">
        <v>9926540288</v>
      </c>
      <c r="D2776" s="21">
        <f t="shared" si="4"/>
        <v>55022219776</v>
      </c>
    </row>
    <row r="2777" spans="1:4" ht="14">
      <c r="A2777" s="16">
        <v>43152</v>
      </c>
      <c r="B2777" s="17">
        <v>10458.870000000001</v>
      </c>
      <c r="C2777" s="18">
        <v>9405339648</v>
      </c>
      <c r="D2777" s="21">
        <f t="shared" si="4"/>
        <v>59252040192</v>
      </c>
    </row>
    <row r="2778" spans="1:4" ht="14">
      <c r="A2778" s="16">
        <v>43153</v>
      </c>
      <c r="B2778" s="17">
        <v>9878.16</v>
      </c>
      <c r="C2778" s="18">
        <v>8040079872</v>
      </c>
      <c r="D2778" s="21">
        <f t="shared" si="4"/>
        <v>60747559936</v>
      </c>
    </row>
    <row r="2779" spans="1:4" ht="14">
      <c r="A2779" s="16">
        <v>43154</v>
      </c>
      <c r="B2779" s="17">
        <v>10159.07</v>
      </c>
      <c r="C2779" s="18">
        <v>7739500032</v>
      </c>
      <c r="D2779" s="21">
        <f t="shared" si="4"/>
        <v>59725099520</v>
      </c>
    </row>
    <row r="2780" spans="1:4" ht="14">
      <c r="A2780" s="16">
        <v>43155</v>
      </c>
      <c r="B2780" s="17">
        <v>9686.6</v>
      </c>
      <c r="C2780" s="18">
        <v>6917929984</v>
      </c>
      <c r="D2780" s="21">
        <f t="shared" si="4"/>
        <v>60168439808</v>
      </c>
    </row>
    <row r="2781" spans="1:4" ht="14">
      <c r="A2781" s="16">
        <v>43156</v>
      </c>
      <c r="B2781" s="17">
        <v>9603.23</v>
      </c>
      <c r="C2781" s="18">
        <v>5706939904</v>
      </c>
      <c r="D2781" s="21">
        <f t="shared" si="4"/>
        <v>58425489408</v>
      </c>
    </row>
    <row r="2782" spans="1:4" ht="14">
      <c r="A2782" s="16">
        <v>43157</v>
      </c>
      <c r="B2782" s="17">
        <v>10312.370000000001</v>
      </c>
      <c r="C2782" s="18">
        <v>7287690240</v>
      </c>
      <c r="D2782" s="21">
        <f t="shared" si="4"/>
        <v>55388419584</v>
      </c>
    </row>
    <row r="2783" spans="1:4" ht="14">
      <c r="A2783" s="16">
        <v>43158</v>
      </c>
      <c r="B2783" s="17">
        <v>10654.11</v>
      </c>
      <c r="C2783" s="18">
        <v>6966179840</v>
      </c>
      <c r="D2783" s="21">
        <f t="shared" si="4"/>
        <v>55024019968</v>
      </c>
    </row>
    <row r="2784" spans="1:4" ht="14">
      <c r="A2784" s="16">
        <v>43159</v>
      </c>
      <c r="B2784" s="17">
        <v>10307.02</v>
      </c>
      <c r="C2784" s="18">
        <v>6936189952</v>
      </c>
      <c r="D2784" s="21">
        <f t="shared" si="4"/>
        <v>52063659520</v>
      </c>
    </row>
    <row r="2785" spans="1:4" ht="14">
      <c r="A2785" s="16">
        <v>43160</v>
      </c>
      <c r="B2785" s="17">
        <v>10923.63</v>
      </c>
      <c r="C2785" s="18">
        <v>7317279744</v>
      </c>
      <c r="D2785" s="21">
        <f t="shared" si="4"/>
        <v>49594509824</v>
      </c>
    </row>
    <row r="2786" spans="1:4" ht="14">
      <c r="A2786" s="16">
        <v>43161</v>
      </c>
      <c r="B2786" s="17">
        <v>11014.06</v>
      </c>
      <c r="C2786" s="18">
        <v>7620590080</v>
      </c>
      <c r="D2786" s="21">
        <f t="shared" si="4"/>
        <v>48871709696</v>
      </c>
    </row>
    <row r="2787" spans="1:4" ht="14">
      <c r="A2787" s="16">
        <v>43162</v>
      </c>
      <c r="B2787" s="17">
        <v>11425.68</v>
      </c>
      <c r="C2787" s="18">
        <v>6690570240</v>
      </c>
      <c r="D2787" s="21">
        <f t="shared" si="4"/>
        <v>48752799744</v>
      </c>
    </row>
    <row r="2788" spans="1:4" ht="14">
      <c r="A2788" s="16">
        <v>43163</v>
      </c>
      <c r="B2788" s="17">
        <v>11462.58</v>
      </c>
      <c r="C2788" s="18">
        <v>6084149760</v>
      </c>
      <c r="D2788" s="21">
        <f t="shared" si="4"/>
        <v>48525440000</v>
      </c>
    </row>
    <row r="2789" spans="1:4" ht="14">
      <c r="A2789" s="16">
        <v>43164</v>
      </c>
      <c r="B2789" s="17">
        <v>11540.66</v>
      </c>
      <c r="C2789" s="18">
        <v>6468539904</v>
      </c>
      <c r="D2789" s="21">
        <f t="shared" si="4"/>
        <v>48902649856</v>
      </c>
    </row>
    <row r="2790" spans="1:4" ht="14">
      <c r="A2790" s="16">
        <v>43165</v>
      </c>
      <c r="B2790" s="17">
        <v>10677.04</v>
      </c>
      <c r="C2790" s="18">
        <v>6832169984</v>
      </c>
      <c r="D2790" s="21">
        <f t="shared" si="4"/>
        <v>48083499520</v>
      </c>
    </row>
    <row r="2791" spans="1:4" ht="14">
      <c r="A2791" s="16">
        <v>43166</v>
      </c>
      <c r="B2791" s="17">
        <v>9903.09</v>
      </c>
      <c r="C2791" s="18">
        <v>8797910016</v>
      </c>
      <c r="D2791" s="21">
        <f t="shared" si="4"/>
        <v>47949489664</v>
      </c>
    </row>
    <row r="2792" spans="1:4" ht="14">
      <c r="A2792" s="16">
        <v>43167</v>
      </c>
      <c r="B2792" s="17">
        <v>9330.48</v>
      </c>
      <c r="C2792" s="18">
        <v>7186089984</v>
      </c>
      <c r="D2792" s="21">
        <f t="shared" si="4"/>
        <v>49811209728</v>
      </c>
    </row>
    <row r="2793" spans="1:4" ht="14">
      <c r="A2793" s="16">
        <v>43168</v>
      </c>
      <c r="B2793" s="17">
        <v>9278.14</v>
      </c>
      <c r="C2793" s="18">
        <v>8704190464</v>
      </c>
      <c r="D2793" s="21">
        <f t="shared" si="4"/>
        <v>49680019968</v>
      </c>
    </row>
    <row r="2794" spans="1:4" ht="14">
      <c r="A2794" s="16">
        <v>43169</v>
      </c>
      <c r="B2794" s="17">
        <v>8786.56</v>
      </c>
      <c r="C2794" s="18">
        <v>5386319872</v>
      </c>
      <c r="D2794" s="21">
        <f t="shared" si="4"/>
        <v>50763620352</v>
      </c>
    </row>
    <row r="2795" spans="1:4" ht="14">
      <c r="A2795" s="16">
        <v>43170</v>
      </c>
      <c r="B2795" s="17">
        <v>9513.5400000000009</v>
      </c>
      <c r="C2795" s="18">
        <v>6296370176</v>
      </c>
      <c r="D2795" s="21">
        <f t="shared" si="4"/>
        <v>49459369984</v>
      </c>
    </row>
    <row r="2796" spans="1:4" ht="14">
      <c r="A2796" s="16">
        <v>43171</v>
      </c>
      <c r="B2796" s="17">
        <v>9147.89</v>
      </c>
      <c r="C2796" s="18">
        <v>6457399808</v>
      </c>
      <c r="D2796" s="21">
        <f t="shared" si="4"/>
        <v>49671590400</v>
      </c>
    </row>
    <row r="2797" spans="1:4" ht="14">
      <c r="A2797" s="16">
        <v>43172</v>
      </c>
      <c r="B2797" s="17">
        <v>9160.5400000000009</v>
      </c>
      <c r="C2797" s="18">
        <v>5991139840</v>
      </c>
      <c r="D2797" s="21">
        <f t="shared" si="4"/>
        <v>49660450304</v>
      </c>
    </row>
    <row r="2798" spans="1:4" ht="14">
      <c r="A2798" s="16">
        <v>43173</v>
      </c>
      <c r="B2798" s="17">
        <v>8222.1299999999992</v>
      </c>
      <c r="C2798" s="18">
        <v>6438230016</v>
      </c>
      <c r="D2798" s="21">
        <f t="shared" si="4"/>
        <v>48819420160</v>
      </c>
    </row>
    <row r="2799" spans="1:4" ht="14">
      <c r="A2799" s="16">
        <v>43174</v>
      </c>
      <c r="B2799" s="17">
        <v>8268.59</v>
      </c>
      <c r="C2799" s="18">
        <v>6834429952</v>
      </c>
      <c r="D2799" s="21">
        <f t="shared" ref="D2799:D3053" si="5">IF(C2792&lt;&gt;"",SUM(C2792:C2798),"")</f>
        <v>46459740160</v>
      </c>
    </row>
    <row r="2800" spans="1:4" ht="14">
      <c r="A2800" s="16">
        <v>43175</v>
      </c>
      <c r="B2800" s="17">
        <v>8376.9</v>
      </c>
      <c r="C2800" s="18">
        <v>5289379840</v>
      </c>
      <c r="D2800" s="21">
        <f t="shared" si="5"/>
        <v>46108080128</v>
      </c>
    </row>
    <row r="2801" spans="1:4" ht="14">
      <c r="A2801" s="16">
        <v>43176</v>
      </c>
      <c r="B2801" s="17">
        <v>7881.66</v>
      </c>
      <c r="C2801" s="18">
        <v>4426149888</v>
      </c>
      <c r="D2801" s="21">
        <f t="shared" si="5"/>
        <v>42693269504</v>
      </c>
    </row>
    <row r="2802" spans="1:4" ht="14">
      <c r="A2802" s="16">
        <v>43177</v>
      </c>
      <c r="B2802" s="17">
        <v>8189.02</v>
      </c>
      <c r="C2802" s="18">
        <v>6639190016</v>
      </c>
      <c r="D2802" s="21">
        <f t="shared" si="5"/>
        <v>41733099520</v>
      </c>
    </row>
    <row r="2803" spans="1:4" ht="14">
      <c r="A2803" s="16">
        <v>43178</v>
      </c>
      <c r="B2803" s="17">
        <v>8537.02</v>
      </c>
      <c r="C2803" s="18">
        <v>6729110016</v>
      </c>
      <c r="D2803" s="21">
        <f t="shared" si="5"/>
        <v>42075919360</v>
      </c>
    </row>
    <row r="2804" spans="1:4" ht="14">
      <c r="A2804" s="16">
        <v>43179</v>
      </c>
      <c r="B2804" s="17">
        <v>8895.5499999999993</v>
      </c>
      <c r="C2804" s="18">
        <v>6361789952</v>
      </c>
      <c r="D2804" s="21">
        <f t="shared" si="5"/>
        <v>42347629568</v>
      </c>
    </row>
    <row r="2805" spans="1:4" ht="14">
      <c r="A2805" s="16">
        <v>43180</v>
      </c>
      <c r="B2805" s="17">
        <v>8879.59</v>
      </c>
      <c r="C2805" s="18">
        <v>6043129856</v>
      </c>
      <c r="D2805" s="21">
        <f t="shared" si="5"/>
        <v>42718279680</v>
      </c>
    </row>
    <row r="2806" spans="1:4" ht="14">
      <c r="A2806" s="16">
        <v>43181</v>
      </c>
      <c r="B2806" s="17">
        <v>8710.66</v>
      </c>
      <c r="C2806" s="18">
        <v>5530390016</v>
      </c>
      <c r="D2806" s="21">
        <f t="shared" si="5"/>
        <v>42323179520</v>
      </c>
    </row>
    <row r="2807" spans="1:4" ht="14">
      <c r="A2807" s="16">
        <v>43182</v>
      </c>
      <c r="B2807" s="17">
        <v>8771.75</v>
      </c>
      <c r="C2807" s="18">
        <v>5954120192</v>
      </c>
      <c r="D2807" s="21">
        <f t="shared" si="5"/>
        <v>41019139584</v>
      </c>
    </row>
    <row r="2808" spans="1:4" ht="14">
      <c r="A2808" s="16">
        <v>43183</v>
      </c>
      <c r="B2808" s="17">
        <v>8610.99</v>
      </c>
      <c r="C2808" s="18">
        <v>5664600064</v>
      </c>
      <c r="D2808" s="21">
        <f t="shared" si="5"/>
        <v>41683879936</v>
      </c>
    </row>
    <row r="2809" spans="1:4" ht="14">
      <c r="A2809" s="16">
        <v>43184</v>
      </c>
      <c r="B2809" s="17">
        <v>8440.61</v>
      </c>
      <c r="C2809" s="18">
        <v>4569880064</v>
      </c>
      <c r="D2809" s="21">
        <f t="shared" si="5"/>
        <v>42922330112</v>
      </c>
    </row>
    <row r="2810" spans="1:4" ht="14">
      <c r="A2810" s="16">
        <v>43185</v>
      </c>
      <c r="B2810" s="17">
        <v>8171.18</v>
      </c>
      <c r="C2810" s="18">
        <v>5921039872</v>
      </c>
      <c r="D2810" s="21">
        <f t="shared" si="5"/>
        <v>40853020160</v>
      </c>
    </row>
    <row r="2811" spans="1:4" ht="14">
      <c r="A2811" s="16">
        <v>43186</v>
      </c>
      <c r="B2811" s="17">
        <v>7837.27</v>
      </c>
      <c r="C2811" s="18">
        <v>5378250240</v>
      </c>
      <c r="D2811" s="21">
        <f t="shared" si="5"/>
        <v>40044950016</v>
      </c>
    </row>
    <row r="2812" spans="1:4" ht="14">
      <c r="A2812" s="16">
        <v>43187</v>
      </c>
      <c r="B2812" s="17">
        <v>7933.64</v>
      </c>
      <c r="C2812" s="18">
        <v>4935289856</v>
      </c>
      <c r="D2812" s="21">
        <f t="shared" si="5"/>
        <v>39061410304</v>
      </c>
    </row>
    <row r="2813" spans="1:4" ht="14">
      <c r="A2813" s="16">
        <v>43188</v>
      </c>
      <c r="B2813" s="17">
        <v>7108.57</v>
      </c>
      <c r="C2813" s="18">
        <v>6361229824</v>
      </c>
      <c r="D2813" s="21">
        <f t="shared" si="5"/>
        <v>37953570304</v>
      </c>
    </row>
    <row r="2814" spans="1:4" ht="14">
      <c r="A2814" s="16">
        <v>43189</v>
      </c>
      <c r="B2814" s="17">
        <v>6832.15</v>
      </c>
      <c r="C2814" s="18">
        <v>6289509888</v>
      </c>
      <c r="D2814" s="21">
        <f t="shared" si="5"/>
        <v>38784410112</v>
      </c>
    </row>
    <row r="2815" spans="1:4" ht="14">
      <c r="A2815" s="16">
        <v>43190</v>
      </c>
      <c r="B2815" s="17">
        <v>6922.28</v>
      </c>
      <c r="C2815" s="18">
        <v>4553269760</v>
      </c>
      <c r="D2815" s="21">
        <f t="shared" si="5"/>
        <v>39119799808</v>
      </c>
    </row>
    <row r="2816" spans="1:4" ht="14">
      <c r="A2816" s="16">
        <v>43191</v>
      </c>
      <c r="B2816" s="17">
        <v>6804.52</v>
      </c>
      <c r="C2816" s="18">
        <v>4532100096</v>
      </c>
      <c r="D2816" s="21">
        <f t="shared" si="5"/>
        <v>38008469504</v>
      </c>
    </row>
    <row r="2817" spans="1:4" ht="14">
      <c r="A2817" s="16">
        <v>43192</v>
      </c>
      <c r="B2817" s="17">
        <v>7033.26</v>
      </c>
      <c r="C2817" s="18">
        <v>4333440000</v>
      </c>
      <c r="D2817" s="21">
        <f t="shared" si="5"/>
        <v>37970689536</v>
      </c>
    </row>
    <row r="2818" spans="1:4" ht="14">
      <c r="A2818" s="16">
        <v>43193</v>
      </c>
      <c r="B2818" s="17">
        <v>7420.8</v>
      </c>
      <c r="C2818" s="18">
        <v>5499700224</v>
      </c>
      <c r="D2818" s="21">
        <f t="shared" si="5"/>
        <v>36383089664</v>
      </c>
    </row>
    <row r="2819" spans="1:4" ht="14">
      <c r="A2819" s="16">
        <v>43194</v>
      </c>
      <c r="B2819" s="17">
        <v>6780.54</v>
      </c>
      <c r="C2819" s="18">
        <v>4936000000</v>
      </c>
      <c r="D2819" s="21">
        <f t="shared" si="5"/>
        <v>36504539648</v>
      </c>
    </row>
    <row r="2820" spans="1:4" ht="14">
      <c r="A2820" s="16">
        <v>43195</v>
      </c>
      <c r="B2820" s="17">
        <v>6798.42</v>
      </c>
      <c r="C2820" s="18">
        <v>5639320064</v>
      </c>
      <c r="D2820" s="21">
        <f t="shared" si="5"/>
        <v>36505249792</v>
      </c>
    </row>
    <row r="2821" spans="1:4" ht="14">
      <c r="A2821" s="16">
        <v>43196</v>
      </c>
      <c r="B2821" s="17">
        <v>6610.49</v>
      </c>
      <c r="C2821" s="18">
        <v>3766810112</v>
      </c>
      <c r="D2821" s="21">
        <f t="shared" si="5"/>
        <v>35783340032</v>
      </c>
    </row>
    <row r="2822" spans="1:4" ht="14">
      <c r="A2822" s="16">
        <v>43197</v>
      </c>
      <c r="B2822" s="17">
        <v>6886.47</v>
      </c>
      <c r="C2822" s="18">
        <v>3976610048</v>
      </c>
      <c r="D2822" s="21">
        <f t="shared" si="5"/>
        <v>33260640256</v>
      </c>
    </row>
    <row r="2823" spans="1:4" ht="14">
      <c r="A2823" s="16">
        <v>43198</v>
      </c>
      <c r="B2823" s="17">
        <v>7010</v>
      </c>
      <c r="C2823" s="18">
        <v>3652499968</v>
      </c>
      <c r="D2823" s="21">
        <f t="shared" si="5"/>
        <v>32683980544</v>
      </c>
    </row>
    <row r="2824" spans="1:4" ht="14">
      <c r="A2824" s="16">
        <v>43199</v>
      </c>
      <c r="B2824" s="17">
        <v>6736.89</v>
      </c>
      <c r="C2824" s="18">
        <v>4894060032</v>
      </c>
      <c r="D2824" s="21">
        <f t="shared" si="5"/>
        <v>31804380416</v>
      </c>
    </row>
    <row r="2825" spans="1:4" ht="14">
      <c r="A2825" s="16">
        <v>43200</v>
      </c>
      <c r="B2825" s="17">
        <v>6816.72</v>
      </c>
      <c r="C2825" s="18">
        <v>4272750080</v>
      </c>
      <c r="D2825" s="21">
        <f t="shared" si="5"/>
        <v>32365000448</v>
      </c>
    </row>
    <row r="2826" spans="1:4" ht="14">
      <c r="A2826" s="16">
        <v>43201</v>
      </c>
      <c r="B2826" s="17">
        <v>6944.79</v>
      </c>
      <c r="C2826" s="18">
        <v>4641889792</v>
      </c>
      <c r="D2826" s="21">
        <f t="shared" si="5"/>
        <v>31138050304</v>
      </c>
    </row>
    <row r="2827" spans="1:4" ht="14">
      <c r="A2827" s="16">
        <v>43202</v>
      </c>
      <c r="B2827" s="17">
        <v>7904.33</v>
      </c>
      <c r="C2827" s="18">
        <v>8906250240</v>
      </c>
      <c r="D2827" s="21">
        <f t="shared" si="5"/>
        <v>30843940096</v>
      </c>
    </row>
    <row r="2828" spans="1:4" ht="14">
      <c r="A2828" s="16">
        <v>43203</v>
      </c>
      <c r="B2828" s="17">
        <v>7919.06</v>
      </c>
      <c r="C2828" s="18">
        <v>7764460032</v>
      </c>
      <c r="D2828" s="21">
        <f t="shared" si="5"/>
        <v>34110870272</v>
      </c>
    </row>
    <row r="2829" spans="1:4" ht="14">
      <c r="A2829" s="16">
        <v>43204</v>
      </c>
      <c r="B2829" s="17">
        <v>8006.42</v>
      </c>
      <c r="C2829" s="18">
        <v>5191430144</v>
      </c>
      <c r="D2829" s="21">
        <f t="shared" si="5"/>
        <v>38108520192</v>
      </c>
    </row>
    <row r="2830" spans="1:4" ht="14">
      <c r="A2830" s="16">
        <v>43205</v>
      </c>
      <c r="B2830" s="17">
        <v>8342.27</v>
      </c>
      <c r="C2830" s="18">
        <v>5244480000</v>
      </c>
      <c r="D2830" s="21">
        <f t="shared" si="5"/>
        <v>39323340288</v>
      </c>
    </row>
    <row r="2831" spans="1:4" ht="14">
      <c r="A2831" s="16">
        <v>43206</v>
      </c>
      <c r="B2831" s="17">
        <v>8046.98</v>
      </c>
      <c r="C2831" s="18">
        <v>5631309824</v>
      </c>
      <c r="D2831" s="21">
        <f t="shared" si="5"/>
        <v>40915320320</v>
      </c>
    </row>
    <row r="2832" spans="1:4" ht="14">
      <c r="A2832" s="16">
        <v>43207</v>
      </c>
      <c r="B2832" s="17">
        <v>7887.74</v>
      </c>
      <c r="C2832" s="18">
        <v>6900879872</v>
      </c>
      <c r="D2832" s="21">
        <f t="shared" si="5"/>
        <v>41652570112</v>
      </c>
    </row>
    <row r="2833" spans="1:4" ht="14">
      <c r="A2833" s="16">
        <v>43208</v>
      </c>
      <c r="B2833" s="17">
        <v>8162.83</v>
      </c>
      <c r="C2833" s="18">
        <v>6529909760</v>
      </c>
      <c r="D2833" s="21">
        <f t="shared" si="5"/>
        <v>44280699904</v>
      </c>
    </row>
    <row r="2834" spans="1:4" ht="14">
      <c r="A2834" s="16">
        <v>43209</v>
      </c>
      <c r="B2834" s="17">
        <v>8272.9699999999993</v>
      </c>
      <c r="C2834" s="18">
        <v>7063209984</v>
      </c>
      <c r="D2834" s="21">
        <f t="shared" si="5"/>
        <v>46168719872</v>
      </c>
    </row>
    <row r="2835" spans="1:4" ht="14">
      <c r="A2835" s="16">
        <v>43210</v>
      </c>
      <c r="B2835" s="17">
        <v>8839.5</v>
      </c>
      <c r="C2835" s="18">
        <v>8438110208</v>
      </c>
      <c r="D2835" s="21">
        <f t="shared" si="5"/>
        <v>44325679616</v>
      </c>
    </row>
    <row r="2836" spans="1:4" ht="14">
      <c r="A2836" s="16">
        <v>43211</v>
      </c>
      <c r="B2836" s="17">
        <v>8863.5400000000009</v>
      </c>
      <c r="C2836" s="18">
        <v>7548550144</v>
      </c>
      <c r="D2836" s="21">
        <f t="shared" si="5"/>
        <v>44999329792</v>
      </c>
    </row>
    <row r="2837" spans="1:4" ht="14">
      <c r="A2837" s="16">
        <v>43212</v>
      </c>
      <c r="B2837" s="17">
        <v>8800.9599999999991</v>
      </c>
      <c r="C2837" s="18">
        <v>6629899776</v>
      </c>
      <c r="D2837" s="21">
        <f t="shared" si="5"/>
        <v>47356449792</v>
      </c>
    </row>
    <row r="2838" spans="1:4" ht="14">
      <c r="A2838" s="16">
        <v>43213</v>
      </c>
      <c r="B2838" s="17">
        <v>8930.7800000000007</v>
      </c>
      <c r="C2838" s="18">
        <v>6925190144</v>
      </c>
      <c r="D2838" s="21">
        <f t="shared" si="5"/>
        <v>48741869568</v>
      </c>
    </row>
    <row r="2839" spans="1:4" ht="14">
      <c r="A2839" s="16">
        <v>43214</v>
      </c>
      <c r="B2839" s="17">
        <v>9652.2099999999991</v>
      </c>
      <c r="C2839" s="18">
        <v>10678800384</v>
      </c>
      <c r="D2839" s="21">
        <f t="shared" si="5"/>
        <v>50035749888</v>
      </c>
    </row>
    <row r="2840" spans="1:4" ht="14">
      <c r="A2840" s="16">
        <v>43215</v>
      </c>
      <c r="B2840" s="17">
        <v>8855.51</v>
      </c>
      <c r="C2840" s="18">
        <v>11083100160</v>
      </c>
      <c r="D2840" s="21">
        <f t="shared" si="5"/>
        <v>53813670400</v>
      </c>
    </row>
    <row r="2841" spans="1:4" ht="14">
      <c r="A2841" s="16">
        <v>43216</v>
      </c>
      <c r="B2841" s="17">
        <v>9264.73</v>
      </c>
      <c r="C2841" s="18">
        <v>8970559488</v>
      </c>
      <c r="D2841" s="21">
        <f t="shared" si="5"/>
        <v>58366860800</v>
      </c>
    </row>
    <row r="2842" spans="1:4" ht="14">
      <c r="A2842" s="16">
        <v>43217</v>
      </c>
      <c r="B2842" s="17">
        <v>8981.33</v>
      </c>
      <c r="C2842" s="18">
        <v>7566289920</v>
      </c>
      <c r="D2842" s="21">
        <f t="shared" si="5"/>
        <v>60274210304</v>
      </c>
    </row>
    <row r="2843" spans="1:4" ht="14">
      <c r="A2843" s="16">
        <v>43218</v>
      </c>
      <c r="B2843" s="17">
        <v>9341.82</v>
      </c>
      <c r="C2843" s="18">
        <v>7805479936</v>
      </c>
      <c r="D2843" s="21">
        <f t="shared" si="5"/>
        <v>59402390016</v>
      </c>
    </row>
    <row r="2844" spans="1:4" ht="14">
      <c r="A2844" s="16">
        <v>43219</v>
      </c>
      <c r="B2844" s="17">
        <v>9397</v>
      </c>
      <c r="C2844" s="18">
        <v>8853000192</v>
      </c>
      <c r="D2844" s="21">
        <f t="shared" si="5"/>
        <v>59659319808</v>
      </c>
    </row>
    <row r="2845" spans="1:4" ht="14">
      <c r="A2845" s="16">
        <v>43220</v>
      </c>
      <c r="B2845" s="17">
        <v>9228.73</v>
      </c>
      <c r="C2845" s="18">
        <v>8673920000</v>
      </c>
      <c r="D2845" s="21">
        <f t="shared" si="5"/>
        <v>61882420224</v>
      </c>
    </row>
    <row r="2846" spans="1:4" ht="14">
      <c r="A2846" s="16">
        <v>43221</v>
      </c>
      <c r="B2846" s="17">
        <v>9072.17</v>
      </c>
      <c r="C2846" s="18">
        <v>7713019904</v>
      </c>
      <c r="D2846" s="21">
        <f t="shared" si="5"/>
        <v>63631150080</v>
      </c>
    </row>
    <row r="2847" spans="1:4" ht="14">
      <c r="A2847" s="16">
        <v>43222</v>
      </c>
      <c r="B2847" s="17">
        <v>9204.1299999999992</v>
      </c>
      <c r="C2847" s="18">
        <v>7558159872</v>
      </c>
      <c r="D2847" s="21">
        <f t="shared" si="5"/>
        <v>60665369600</v>
      </c>
    </row>
    <row r="2848" spans="1:4" ht="14">
      <c r="A2848" s="16">
        <v>43223</v>
      </c>
      <c r="B2848" s="17">
        <v>9750.7000000000007</v>
      </c>
      <c r="C2848" s="18">
        <v>10207299584</v>
      </c>
      <c r="D2848" s="21">
        <f t="shared" si="5"/>
        <v>57140429312</v>
      </c>
    </row>
    <row r="2849" spans="1:4" ht="14">
      <c r="A2849" s="16">
        <v>43224</v>
      </c>
      <c r="B2849" s="17">
        <v>9696.64</v>
      </c>
      <c r="C2849" s="18">
        <v>8217829888</v>
      </c>
      <c r="D2849" s="21">
        <f t="shared" si="5"/>
        <v>58377169408</v>
      </c>
    </row>
    <row r="2850" spans="1:4" ht="14">
      <c r="A2850" s="16">
        <v>43225</v>
      </c>
      <c r="B2850" s="17">
        <v>9795.93</v>
      </c>
      <c r="C2850" s="18">
        <v>7651939840</v>
      </c>
      <c r="D2850" s="21">
        <f t="shared" si="5"/>
        <v>59028709376</v>
      </c>
    </row>
    <row r="2851" spans="1:4" ht="14">
      <c r="A2851" s="16">
        <v>43226</v>
      </c>
      <c r="B2851" s="17">
        <v>9595.09</v>
      </c>
      <c r="C2851" s="18">
        <v>7222280192</v>
      </c>
      <c r="D2851" s="21">
        <f t="shared" si="5"/>
        <v>58875169280</v>
      </c>
    </row>
    <row r="2852" spans="1:4" ht="14">
      <c r="A2852" s="16">
        <v>43227</v>
      </c>
      <c r="B2852" s="17">
        <v>9339.51</v>
      </c>
      <c r="C2852" s="18">
        <v>7394019840</v>
      </c>
      <c r="D2852" s="21">
        <f t="shared" si="5"/>
        <v>57244449280</v>
      </c>
    </row>
    <row r="2853" spans="1:4" ht="14">
      <c r="A2853" s="16">
        <v>43228</v>
      </c>
      <c r="B2853" s="17">
        <v>9212.3700000000008</v>
      </c>
      <c r="C2853" s="18">
        <v>7415869952</v>
      </c>
      <c r="D2853" s="21">
        <f t="shared" si="5"/>
        <v>55964549120</v>
      </c>
    </row>
    <row r="2854" spans="1:4" ht="14">
      <c r="A2854" s="16">
        <v>43229</v>
      </c>
      <c r="B2854" s="17">
        <v>9293.0400000000009</v>
      </c>
      <c r="C2854" s="18">
        <v>7226890240</v>
      </c>
      <c r="D2854" s="21">
        <f t="shared" si="5"/>
        <v>55667399168</v>
      </c>
    </row>
    <row r="2855" spans="1:4" ht="14">
      <c r="A2855" s="16">
        <v>43230</v>
      </c>
      <c r="B2855" s="17">
        <v>9037.5300000000007</v>
      </c>
      <c r="C2855" s="18">
        <v>6906699776</v>
      </c>
      <c r="D2855" s="21">
        <f t="shared" si="5"/>
        <v>55336129536</v>
      </c>
    </row>
    <row r="2856" spans="1:4" ht="14">
      <c r="A2856" s="16">
        <v>43231</v>
      </c>
      <c r="B2856" s="17">
        <v>8419.76</v>
      </c>
      <c r="C2856" s="18">
        <v>8488520192</v>
      </c>
      <c r="D2856" s="21">
        <f t="shared" si="5"/>
        <v>52035529728</v>
      </c>
    </row>
    <row r="2857" spans="1:4" ht="14">
      <c r="A2857" s="16">
        <v>43232</v>
      </c>
      <c r="B2857" s="17">
        <v>8485.7800000000007</v>
      </c>
      <c r="C2857" s="18">
        <v>6821380096</v>
      </c>
      <c r="D2857" s="21">
        <f t="shared" si="5"/>
        <v>52306220032</v>
      </c>
    </row>
    <row r="2858" spans="1:4" ht="14">
      <c r="A2858" s="16">
        <v>43233</v>
      </c>
      <c r="B2858" s="17">
        <v>8695.83</v>
      </c>
      <c r="C2858" s="18">
        <v>5866379776</v>
      </c>
      <c r="D2858" s="21">
        <f t="shared" si="5"/>
        <v>51475660288</v>
      </c>
    </row>
    <row r="2859" spans="1:4" ht="14">
      <c r="A2859" s="16">
        <v>43234</v>
      </c>
      <c r="B2859" s="17">
        <v>8671.07</v>
      </c>
      <c r="C2859" s="18">
        <v>7364149760</v>
      </c>
      <c r="D2859" s="21">
        <f t="shared" si="5"/>
        <v>50119759872</v>
      </c>
    </row>
    <row r="2860" spans="1:4" ht="14">
      <c r="A2860" s="16">
        <v>43235</v>
      </c>
      <c r="B2860" s="17">
        <v>8488.4599999999991</v>
      </c>
      <c r="C2860" s="18">
        <v>6705710080</v>
      </c>
      <c r="D2860" s="21">
        <f t="shared" si="5"/>
        <v>50089889792</v>
      </c>
    </row>
    <row r="2861" spans="1:4" ht="14">
      <c r="A2861" s="16">
        <v>43236</v>
      </c>
      <c r="B2861" s="17">
        <v>8327.76</v>
      </c>
      <c r="C2861" s="18">
        <v>6760220160</v>
      </c>
      <c r="D2861" s="21">
        <f t="shared" si="5"/>
        <v>49379729920</v>
      </c>
    </row>
    <row r="2862" spans="1:4" ht="14">
      <c r="A2862" s="16">
        <v>43237</v>
      </c>
      <c r="B2862" s="17">
        <v>8050.52</v>
      </c>
      <c r="C2862" s="18">
        <v>5862530048</v>
      </c>
      <c r="D2862" s="21">
        <f t="shared" si="5"/>
        <v>48913059840</v>
      </c>
    </row>
    <row r="2863" spans="1:4" ht="14">
      <c r="A2863" s="16">
        <v>43238</v>
      </c>
      <c r="B2863" s="17">
        <v>8233.09</v>
      </c>
      <c r="C2863" s="18">
        <v>5764190208</v>
      </c>
      <c r="D2863" s="21">
        <f t="shared" si="5"/>
        <v>47868890112</v>
      </c>
    </row>
    <row r="2864" spans="1:4" ht="14">
      <c r="A2864" s="16">
        <v>43239</v>
      </c>
      <c r="B2864" s="17">
        <v>8229.48</v>
      </c>
      <c r="C2864" s="18">
        <v>4712399872</v>
      </c>
      <c r="D2864" s="21">
        <f t="shared" si="5"/>
        <v>45144560128</v>
      </c>
    </row>
    <row r="2865" spans="1:4" ht="14">
      <c r="A2865" s="16">
        <v>43240</v>
      </c>
      <c r="B2865" s="17">
        <v>8511.4500000000007</v>
      </c>
      <c r="C2865" s="18">
        <v>5191059968</v>
      </c>
      <c r="D2865" s="21">
        <f t="shared" si="5"/>
        <v>43035579904</v>
      </c>
    </row>
    <row r="2866" spans="1:4" ht="14">
      <c r="A2866" s="16">
        <v>43241</v>
      </c>
      <c r="B2866" s="17">
        <v>8398.6200000000008</v>
      </c>
      <c r="C2866" s="18">
        <v>5154990080</v>
      </c>
      <c r="D2866" s="21">
        <f t="shared" si="5"/>
        <v>42360260096</v>
      </c>
    </row>
    <row r="2867" spans="1:4" ht="14">
      <c r="A2867" s="16">
        <v>43242</v>
      </c>
      <c r="B2867" s="17">
        <v>8007.53</v>
      </c>
      <c r="C2867" s="18">
        <v>5137010176</v>
      </c>
      <c r="D2867" s="21">
        <f t="shared" si="5"/>
        <v>40151100416</v>
      </c>
    </row>
    <row r="2868" spans="1:4" ht="14">
      <c r="A2868" s="16">
        <v>43243</v>
      </c>
      <c r="B2868" s="17">
        <v>7520.87</v>
      </c>
      <c r="C2868" s="18">
        <v>6491120128</v>
      </c>
      <c r="D2868" s="21">
        <f t="shared" si="5"/>
        <v>38582400512</v>
      </c>
    </row>
    <row r="2869" spans="1:4" ht="14">
      <c r="A2869" s="16">
        <v>43244</v>
      </c>
      <c r="B2869" s="17">
        <v>7575.62</v>
      </c>
      <c r="C2869" s="18">
        <v>6049220096</v>
      </c>
      <c r="D2869" s="21">
        <f t="shared" si="5"/>
        <v>38313300480</v>
      </c>
    </row>
    <row r="2870" spans="1:4" ht="14">
      <c r="A2870" s="16">
        <v>43245</v>
      </c>
      <c r="B2870" s="17">
        <v>7425.38</v>
      </c>
      <c r="C2870" s="18">
        <v>4867829760</v>
      </c>
      <c r="D2870" s="21">
        <f t="shared" si="5"/>
        <v>38499990528</v>
      </c>
    </row>
    <row r="2871" spans="1:4" ht="14">
      <c r="A2871" s="16">
        <v>43246</v>
      </c>
      <c r="B2871" s="17">
        <v>7326.3</v>
      </c>
      <c r="C2871" s="18">
        <v>4051539968</v>
      </c>
      <c r="D2871" s="21">
        <f t="shared" si="5"/>
        <v>37603630080</v>
      </c>
    </row>
    <row r="2872" spans="1:4" ht="14">
      <c r="A2872" s="16">
        <v>43247</v>
      </c>
      <c r="B2872" s="17">
        <v>7338.19</v>
      </c>
      <c r="C2872" s="18">
        <v>4056519936</v>
      </c>
      <c r="D2872" s="21">
        <f t="shared" si="5"/>
        <v>36942770176</v>
      </c>
    </row>
    <row r="2873" spans="1:4" ht="14">
      <c r="A2873" s="16">
        <v>43248</v>
      </c>
      <c r="B2873" s="17">
        <v>7110.82</v>
      </c>
      <c r="C2873" s="18">
        <v>5040600064</v>
      </c>
      <c r="D2873" s="21">
        <f t="shared" si="5"/>
        <v>35808230144</v>
      </c>
    </row>
    <row r="2874" spans="1:4" ht="14">
      <c r="A2874" s="16">
        <v>43249</v>
      </c>
      <c r="B2874" s="17">
        <v>7453.63</v>
      </c>
      <c r="C2874" s="18">
        <v>5662660096</v>
      </c>
      <c r="D2874" s="21">
        <f t="shared" si="5"/>
        <v>35693840128</v>
      </c>
    </row>
    <row r="2875" spans="1:4" ht="14">
      <c r="A2875" s="16">
        <v>43250</v>
      </c>
      <c r="B2875" s="17">
        <v>7374.67</v>
      </c>
      <c r="C2875" s="18">
        <v>4922540032</v>
      </c>
      <c r="D2875" s="21">
        <f t="shared" si="5"/>
        <v>36219490048</v>
      </c>
    </row>
    <row r="2876" spans="1:4" ht="14">
      <c r="A2876" s="16">
        <v>43251</v>
      </c>
      <c r="B2876" s="17">
        <v>7478.74</v>
      </c>
      <c r="C2876" s="18">
        <v>5127130112</v>
      </c>
      <c r="D2876" s="21">
        <f t="shared" si="5"/>
        <v>34650909952</v>
      </c>
    </row>
    <row r="2877" spans="1:4" ht="14">
      <c r="A2877" s="16">
        <v>43252</v>
      </c>
      <c r="B2877" s="17">
        <v>7519.84</v>
      </c>
      <c r="C2877" s="18">
        <v>4921460224</v>
      </c>
      <c r="D2877" s="21">
        <f t="shared" si="5"/>
        <v>33728819968</v>
      </c>
    </row>
    <row r="2878" spans="1:4" ht="14">
      <c r="A2878" s="16">
        <v>43253</v>
      </c>
      <c r="B2878" s="17">
        <v>7637.45</v>
      </c>
      <c r="C2878" s="18">
        <v>4939299840</v>
      </c>
      <c r="D2878" s="21">
        <f t="shared" si="5"/>
        <v>33782450432</v>
      </c>
    </row>
    <row r="2879" spans="1:4" ht="14">
      <c r="A2879" s="16">
        <v>43254</v>
      </c>
      <c r="B2879" s="17">
        <v>7702.16</v>
      </c>
      <c r="C2879" s="18">
        <v>4851760128</v>
      </c>
      <c r="D2879" s="21">
        <f t="shared" si="5"/>
        <v>34670210304</v>
      </c>
    </row>
    <row r="2880" spans="1:4" ht="14">
      <c r="A2880" s="16">
        <v>43255</v>
      </c>
      <c r="B2880" s="17">
        <v>7486.65</v>
      </c>
      <c r="C2880" s="18">
        <v>4993169920</v>
      </c>
      <c r="D2880" s="21">
        <f t="shared" si="5"/>
        <v>35465450496</v>
      </c>
    </row>
    <row r="2881" spans="1:4" ht="14">
      <c r="A2881" s="16">
        <v>43256</v>
      </c>
      <c r="B2881" s="17">
        <v>7611.15</v>
      </c>
      <c r="C2881" s="18">
        <v>4961739776</v>
      </c>
      <c r="D2881" s="21">
        <f t="shared" si="5"/>
        <v>35418020352</v>
      </c>
    </row>
    <row r="2882" spans="1:4" ht="14">
      <c r="A2882" s="16">
        <v>43257</v>
      </c>
      <c r="B2882" s="17">
        <v>7650.78</v>
      </c>
      <c r="C2882" s="18">
        <v>4692259840</v>
      </c>
      <c r="D2882" s="21">
        <f t="shared" si="5"/>
        <v>34717100032</v>
      </c>
    </row>
    <row r="2883" spans="1:4" ht="14">
      <c r="A2883" s="16">
        <v>43258</v>
      </c>
      <c r="B2883" s="17">
        <v>7665.95</v>
      </c>
      <c r="C2883" s="18">
        <v>4485799936</v>
      </c>
      <c r="D2883" s="21">
        <f t="shared" si="5"/>
        <v>34486819840</v>
      </c>
    </row>
    <row r="2884" spans="1:4" ht="14">
      <c r="A2884" s="16">
        <v>43259</v>
      </c>
      <c r="B2884" s="17">
        <v>7622.6</v>
      </c>
      <c r="C2884" s="18">
        <v>4227579904</v>
      </c>
      <c r="D2884" s="21">
        <f t="shared" si="5"/>
        <v>33845489664</v>
      </c>
    </row>
    <row r="2885" spans="1:4" ht="14">
      <c r="A2885" s="16">
        <v>43260</v>
      </c>
      <c r="B2885" s="17">
        <v>7556.17</v>
      </c>
      <c r="C2885" s="18">
        <v>3845220096</v>
      </c>
      <c r="D2885" s="21">
        <f t="shared" si="5"/>
        <v>33151609344</v>
      </c>
    </row>
    <row r="2886" spans="1:4" ht="14">
      <c r="A2886" s="16">
        <v>43261</v>
      </c>
      <c r="B2886" s="17">
        <v>6744.74</v>
      </c>
      <c r="C2886" s="18">
        <v>5804839936</v>
      </c>
      <c r="D2886" s="21">
        <f t="shared" si="5"/>
        <v>32057529600</v>
      </c>
    </row>
    <row r="2887" spans="1:4" ht="14">
      <c r="A2887" s="16">
        <v>43262</v>
      </c>
      <c r="B2887" s="17">
        <v>6849.45</v>
      </c>
      <c r="C2887" s="18">
        <v>4745269760</v>
      </c>
      <c r="D2887" s="21">
        <f t="shared" si="5"/>
        <v>33010609408</v>
      </c>
    </row>
    <row r="2888" spans="1:4" ht="14">
      <c r="A2888" s="16">
        <v>43263</v>
      </c>
      <c r="B2888" s="17">
        <v>6526.7</v>
      </c>
      <c r="C2888" s="18">
        <v>4654380032</v>
      </c>
      <c r="D2888" s="21">
        <f t="shared" si="5"/>
        <v>32762709248</v>
      </c>
    </row>
    <row r="2889" spans="1:4" ht="14">
      <c r="A2889" s="16">
        <v>43264</v>
      </c>
      <c r="B2889" s="17">
        <v>6306.51</v>
      </c>
      <c r="C2889" s="18">
        <v>5052349952</v>
      </c>
      <c r="D2889" s="21">
        <f t="shared" si="5"/>
        <v>32455349504</v>
      </c>
    </row>
    <row r="2890" spans="1:4" ht="14">
      <c r="A2890" s="16">
        <v>43265</v>
      </c>
      <c r="B2890" s="17">
        <v>6629.77</v>
      </c>
      <c r="C2890" s="18">
        <v>5138710016</v>
      </c>
      <c r="D2890" s="21">
        <f t="shared" si="5"/>
        <v>32815439616</v>
      </c>
    </row>
    <row r="2891" spans="1:4" ht="14">
      <c r="A2891" s="16">
        <v>43266</v>
      </c>
      <c r="B2891" s="17">
        <v>6399.67</v>
      </c>
      <c r="C2891" s="18">
        <v>3955389952</v>
      </c>
      <c r="D2891" s="21">
        <f t="shared" si="5"/>
        <v>33468349696</v>
      </c>
    </row>
    <row r="2892" spans="1:4" ht="14">
      <c r="A2892" s="16">
        <v>43267</v>
      </c>
      <c r="B2892" s="17">
        <v>6495.32</v>
      </c>
      <c r="C2892" s="18">
        <v>3194170112</v>
      </c>
      <c r="D2892" s="21">
        <f t="shared" si="5"/>
        <v>33196159744</v>
      </c>
    </row>
    <row r="2893" spans="1:4" ht="14">
      <c r="A2893" s="16">
        <v>43268</v>
      </c>
      <c r="B2893" s="17">
        <v>6450.69</v>
      </c>
      <c r="C2893" s="18">
        <v>3104019968</v>
      </c>
      <c r="D2893" s="21">
        <f t="shared" si="5"/>
        <v>32545109760</v>
      </c>
    </row>
    <row r="2894" spans="1:4" ht="14">
      <c r="A2894" s="16">
        <v>43269</v>
      </c>
      <c r="B2894" s="17">
        <v>6703.81</v>
      </c>
      <c r="C2894" s="18">
        <v>4039200000</v>
      </c>
      <c r="D2894" s="21">
        <f t="shared" si="5"/>
        <v>29844289792</v>
      </c>
    </row>
    <row r="2895" spans="1:4" ht="14">
      <c r="A2895" s="16">
        <v>43270</v>
      </c>
      <c r="B2895" s="17">
        <v>6732.51</v>
      </c>
      <c r="C2895" s="18">
        <v>4057029888</v>
      </c>
      <c r="D2895" s="21">
        <f t="shared" si="5"/>
        <v>29138220032</v>
      </c>
    </row>
    <row r="2896" spans="1:4" ht="14">
      <c r="A2896" s="16">
        <v>43271</v>
      </c>
      <c r="B2896" s="17">
        <v>6753.21</v>
      </c>
      <c r="C2896" s="18">
        <v>3888640000</v>
      </c>
      <c r="D2896" s="21">
        <f t="shared" si="5"/>
        <v>28540869888</v>
      </c>
    </row>
    <row r="2897" spans="1:4" ht="14">
      <c r="A2897" s="16">
        <v>43272</v>
      </c>
      <c r="B2897" s="17">
        <v>6720.37</v>
      </c>
      <c r="C2897" s="18">
        <v>3529129984</v>
      </c>
      <c r="D2897" s="21">
        <f t="shared" si="5"/>
        <v>27377159936</v>
      </c>
    </row>
    <row r="2898" spans="1:4" ht="14">
      <c r="A2898" s="16">
        <v>43273</v>
      </c>
      <c r="B2898" s="17">
        <v>6059.58</v>
      </c>
      <c r="C2898" s="18">
        <v>5079810048</v>
      </c>
      <c r="D2898" s="21">
        <f t="shared" si="5"/>
        <v>25767579904</v>
      </c>
    </row>
    <row r="2899" spans="1:4" ht="14">
      <c r="A2899" s="16">
        <v>43274</v>
      </c>
      <c r="B2899" s="17">
        <v>6174.23</v>
      </c>
      <c r="C2899" s="18">
        <v>3431360000</v>
      </c>
      <c r="D2899" s="21">
        <f t="shared" si="5"/>
        <v>26892000000</v>
      </c>
    </row>
    <row r="2900" spans="1:4" ht="14">
      <c r="A2900" s="16">
        <v>43275</v>
      </c>
      <c r="B2900" s="17">
        <v>6146.49</v>
      </c>
      <c r="C2900" s="18">
        <v>4566909952</v>
      </c>
      <c r="D2900" s="21">
        <f t="shared" si="5"/>
        <v>27129189888</v>
      </c>
    </row>
    <row r="2901" spans="1:4" ht="14">
      <c r="A2901" s="16">
        <v>43276</v>
      </c>
      <c r="B2901" s="17">
        <v>6243.54</v>
      </c>
      <c r="C2901" s="18">
        <v>5500810240</v>
      </c>
      <c r="D2901" s="21">
        <f t="shared" si="5"/>
        <v>28592079872</v>
      </c>
    </row>
    <row r="2902" spans="1:4" ht="14">
      <c r="A2902" s="16">
        <v>43277</v>
      </c>
      <c r="B2902" s="17">
        <v>6096.13</v>
      </c>
      <c r="C2902" s="18">
        <v>3279759872</v>
      </c>
      <c r="D2902" s="21">
        <f t="shared" si="5"/>
        <v>30053690112</v>
      </c>
    </row>
    <row r="2903" spans="1:4" ht="14">
      <c r="A2903" s="16">
        <v>43278</v>
      </c>
      <c r="B2903" s="17">
        <v>6139.19</v>
      </c>
      <c r="C2903" s="18">
        <v>3296219904</v>
      </c>
      <c r="D2903" s="21">
        <f t="shared" si="5"/>
        <v>29276420096</v>
      </c>
    </row>
    <row r="2904" spans="1:4" ht="14">
      <c r="A2904" s="16">
        <v>43279</v>
      </c>
      <c r="B2904" s="17">
        <v>5858.64</v>
      </c>
      <c r="C2904" s="18">
        <v>3467800064</v>
      </c>
      <c r="D2904" s="21">
        <f t="shared" si="5"/>
        <v>28684000000</v>
      </c>
    </row>
    <row r="2905" spans="1:4" ht="14">
      <c r="A2905" s="16">
        <v>43280</v>
      </c>
      <c r="B2905" s="17">
        <v>6220.91</v>
      </c>
      <c r="C2905" s="18">
        <v>3966230016</v>
      </c>
      <c r="D2905" s="21">
        <f t="shared" si="5"/>
        <v>28622670080</v>
      </c>
    </row>
    <row r="2906" spans="1:4" ht="14">
      <c r="A2906" s="16">
        <v>43281</v>
      </c>
      <c r="B2906" s="17">
        <v>6375.54</v>
      </c>
      <c r="C2906" s="18">
        <v>4543860224</v>
      </c>
      <c r="D2906" s="21">
        <f t="shared" si="5"/>
        <v>27509090048</v>
      </c>
    </row>
    <row r="2907" spans="1:4" ht="14">
      <c r="A2907" s="16">
        <v>43282</v>
      </c>
      <c r="B2907" s="17">
        <v>6361.4</v>
      </c>
      <c r="C2907" s="18">
        <v>4788259840</v>
      </c>
      <c r="D2907" s="21">
        <f t="shared" si="5"/>
        <v>28621590272</v>
      </c>
    </row>
    <row r="2908" spans="1:4" ht="14">
      <c r="A2908" s="16">
        <v>43283</v>
      </c>
      <c r="B2908" s="17">
        <v>6608.37</v>
      </c>
      <c r="C2908" s="18">
        <v>4396930048</v>
      </c>
      <c r="D2908" s="21">
        <f t="shared" si="5"/>
        <v>28842940160</v>
      </c>
    </row>
    <row r="2909" spans="1:4" ht="14">
      <c r="A2909" s="16">
        <v>43284</v>
      </c>
      <c r="B2909" s="17">
        <v>6498.31</v>
      </c>
      <c r="C2909" s="18">
        <v>4672309760</v>
      </c>
      <c r="D2909" s="21">
        <f t="shared" si="5"/>
        <v>27739059968</v>
      </c>
    </row>
    <row r="2910" spans="1:4" ht="14">
      <c r="A2910" s="16">
        <v>43285</v>
      </c>
      <c r="B2910" s="17">
        <v>6579.33</v>
      </c>
      <c r="C2910" s="18">
        <v>4176689920</v>
      </c>
      <c r="D2910" s="21">
        <f t="shared" si="5"/>
        <v>29131609856</v>
      </c>
    </row>
    <row r="2911" spans="1:4" ht="14">
      <c r="A2911" s="16">
        <v>43286</v>
      </c>
      <c r="B2911" s="17">
        <v>6535.3</v>
      </c>
      <c r="C2911" s="18">
        <v>4999240192</v>
      </c>
      <c r="D2911" s="21">
        <f t="shared" si="5"/>
        <v>30012079872</v>
      </c>
    </row>
    <row r="2912" spans="1:4" ht="14">
      <c r="A2912" s="16">
        <v>43287</v>
      </c>
      <c r="B2912" s="17">
        <v>6598.46</v>
      </c>
      <c r="C2912" s="18">
        <v>4313959936</v>
      </c>
      <c r="D2912" s="21">
        <f t="shared" si="5"/>
        <v>31543520000</v>
      </c>
    </row>
    <row r="2913" spans="1:4" ht="14">
      <c r="A2913" s="16">
        <v>43288</v>
      </c>
      <c r="B2913" s="17">
        <v>6737.86</v>
      </c>
      <c r="C2913" s="18">
        <v>3961080064</v>
      </c>
      <c r="D2913" s="21">
        <f t="shared" si="5"/>
        <v>31891249920</v>
      </c>
    </row>
    <row r="2914" spans="1:4" ht="14">
      <c r="A2914" s="16">
        <v>43289</v>
      </c>
      <c r="B2914" s="17">
        <v>6704.92</v>
      </c>
      <c r="C2914" s="18">
        <v>3386210048</v>
      </c>
      <c r="D2914" s="21">
        <f t="shared" si="5"/>
        <v>31308469760</v>
      </c>
    </row>
    <row r="2915" spans="1:4" ht="14">
      <c r="A2915" s="16">
        <v>43290</v>
      </c>
      <c r="B2915" s="17">
        <v>6664.02</v>
      </c>
      <c r="C2915" s="18">
        <v>3718129920</v>
      </c>
      <c r="D2915" s="21">
        <f t="shared" si="5"/>
        <v>29906419968</v>
      </c>
    </row>
    <row r="2916" spans="1:4" ht="14">
      <c r="A2916" s="16">
        <v>43291</v>
      </c>
      <c r="B2916" s="17">
        <v>6309.08</v>
      </c>
      <c r="C2916" s="18">
        <v>4052430080</v>
      </c>
      <c r="D2916" s="21">
        <f t="shared" si="5"/>
        <v>29227619840</v>
      </c>
    </row>
    <row r="2917" spans="1:4" ht="14">
      <c r="A2917" s="16">
        <v>43292</v>
      </c>
      <c r="B2917" s="17">
        <v>6377.98</v>
      </c>
      <c r="C2917" s="18">
        <v>3644859904</v>
      </c>
      <c r="D2917" s="21">
        <f t="shared" si="5"/>
        <v>28607740160</v>
      </c>
    </row>
    <row r="2918" spans="1:4" ht="14">
      <c r="A2918" s="16">
        <v>43293</v>
      </c>
      <c r="B2918" s="17">
        <v>6159.47</v>
      </c>
      <c r="C2918" s="18">
        <v>3770170112</v>
      </c>
      <c r="D2918" s="21">
        <f t="shared" si="5"/>
        <v>28075910144</v>
      </c>
    </row>
    <row r="2919" spans="1:4" ht="14">
      <c r="A2919" s="16">
        <v>43294</v>
      </c>
      <c r="B2919" s="17">
        <v>6208.99</v>
      </c>
      <c r="C2919" s="18">
        <v>3805400064</v>
      </c>
      <c r="D2919" s="21">
        <f t="shared" si="5"/>
        <v>26846840064</v>
      </c>
    </row>
    <row r="2920" spans="1:4" ht="14">
      <c r="A2920" s="16">
        <v>43295</v>
      </c>
      <c r="B2920" s="17">
        <v>6255.11</v>
      </c>
      <c r="C2920" s="18">
        <v>2923670016</v>
      </c>
      <c r="D2920" s="21">
        <f t="shared" si="5"/>
        <v>26338280192</v>
      </c>
    </row>
    <row r="2921" spans="1:4" ht="14">
      <c r="A2921" s="16">
        <v>43296</v>
      </c>
      <c r="B2921" s="17">
        <v>6347.6</v>
      </c>
      <c r="C2921" s="18">
        <v>3285459968</v>
      </c>
      <c r="D2921" s="21">
        <f t="shared" si="5"/>
        <v>25300870144</v>
      </c>
    </row>
    <row r="2922" spans="1:4" ht="14">
      <c r="A2922" s="16">
        <v>43297</v>
      </c>
      <c r="B2922" s="17">
        <v>6710.81</v>
      </c>
      <c r="C2922" s="18">
        <v>4725799936</v>
      </c>
      <c r="D2922" s="21">
        <f t="shared" si="5"/>
        <v>25200120064</v>
      </c>
    </row>
    <row r="2923" spans="1:4" ht="14">
      <c r="A2923" s="16">
        <v>43298</v>
      </c>
      <c r="B2923" s="17">
        <v>7320.59</v>
      </c>
      <c r="C2923" s="18">
        <v>5961950208</v>
      </c>
      <c r="D2923" s="21">
        <f t="shared" si="5"/>
        <v>26207790080</v>
      </c>
    </row>
    <row r="2924" spans="1:4" ht="14">
      <c r="A2924" s="16">
        <v>43299</v>
      </c>
      <c r="B2924" s="17">
        <v>7376.04</v>
      </c>
      <c r="C2924" s="18">
        <v>6103410176</v>
      </c>
      <c r="D2924" s="21">
        <f t="shared" si="5"/>
        <v>28117310208</v>
      </c>
    </row>
    <row r="2925" spans="1:4" ht="14">
      <c r="A2925" s="16">
        <v>43300</v>
      </c>
      <c r="B2925" s="17">
        <v>7467.03</v>
      </c>
      <c r="C2925" s="18">
        <v>5111629824</v>
      </c>
      <c r="D2925" s="21">
        <f t="shared" si="5"/>
        <v>30575860480</v>
      </c>
    </row>
    <row r="2926" spans="1:4" ht="14">
      <c r="A2926" s="16">
        <v>43301</v>
      </c>
      <c r="B2926" s="17">
        <v>7327.26</v>
      </c>
      <c r="C2926" s="18">
        <v>4936869888</v>
      </c>
      <c r="D2926" s="21">
        <f t="shared" si="5"/>
        <v>31917320192</v>
      </c>
    </row>
    <row r="2927" spans="1:4" ht="14">
      <c r="A2927" s="16">
        <v>43302</v>
      </c>
      <c r="B2927" s="17">
        <v>7410.57</v>
      </c>
      <c r="C2927" s="18">
        <v>3726609920</v>
      </c>
      <c r="D2927" s="21">
        <f t="shared" si="5"/>
        <v>33048790016</v>
      </c>
    </row>
    <row r="2928" spans="1:4" ht="14">
      <c r="A2928" s="16">
        <v>43303</v>
      </c>
      <c r="B2928" s="17">
        <v>7399.48</v>
      </c>
      <c r="C2928" s="18">
        <v>3695460096</v>
      </c>
      <c r="D2928" s="21">
        <f t="shared" si="5"/>
        <v>33851729920</v>
      </c>
    </row>
    <row r="2929" spans="1:4" ht="14">
      <c r="A2929" s="16">
        <v>43304</v>
      </c>
      <c r="B2929" s="17">
        <v>7716.16</v>
      </c>
      <c r="C2929" s="18">
        <v>5132480000</v>
      </c>
      <c r="D2929" s="21">
        <f t="shared" si="5"/>
        <v>34261730048</v>
      </c>
    </row>
    <row r="2930" spans="1:4" ht="14">
      <c r="A2930" s="16">
        <v>43305</v>
      </c>
      <c r="B2930" s="17">
        <v>8397.6200000000008</v>
      </c>
      <c r="C2930" s="18">
        <v>7277689856</v>
      </c>
      <c r="D2930" s="21">
        <f t="shared" si="5"/>
        <v>34668410112</v>
      </c>
    </row>
    <row r="2931" spans="1:4" ht="14">
      <c r="A2931" s="16">
        <v>43306</v>
      </c>
      <c r="B2931" s="17">
        <v>8202.7199999999993</v>
      </c>
      <c r="C2931" s="18">
        <v>5845400064</v>
      </c>
      <c r="D2931" s="21">
        <f t="shared" si="5"/>
        <v>35984149760</v>
      </c>
    </row>
    <row r="2932" spans="1:4" ht="14">
      <c r="A2932" s="16">
        <v>43307</v>
      </c>
      <c r="B2932" s="17">
        <v>7913.93</v>
      </c>
      <c r="C2932" s="18">
        <v>4899089920</v>
      </c>
      <c r="D2932" s="21">
        <f t="shared" si="5"/>
        <v>35726139648</v>
      </c>
    </row>
    <row r="2933" spans="1:4" ht="14">
      <c r="A2933" s="16">
        <v>43308</v>
      </c>
      <c r="B2933" s="17">
        <v>8173.77</v>
      </c>
      <c r="C2933" s="18">
        <v>5195879936</v>
      </c>
      <c r="D2933" s="21">
        <f t="shared" si="5"/>
        <v>35513599744</v>
      </c>
    </row>
    <row r="2934" spans="1:4" ht="14">
      <c r="A2934" s="16">
        <v>43309</v>
      </c>
      <c r="B2934" s="17">
        <v>8190.36</v>
      </c>
      <c r="C2934" s="18">
        <v>3988750080</v>
      </c>
      <c r="D2934" s="21">
        <f t="shared" si="5"/>
        <v>35772609792</v>
      </c>
    </row>
    <row r="2935" spans="1:4" ht="14">
      <c r="A2935" s="16">
        <v>43310</v>
      </c>
      <c r="B2935" s="17">
        <v>8229.61</v>
      </c>
      <c r="C2935" s="18">
        <v>4107190016</v>
      </c>
      <c r="D2935" s="21">
        <f t="shared" si="5"/>
        <v>36034749952</v>
      </c>
    </row>
    <row r="2936" spans="1:4" ht="14">
      <c r="A2936" s="16">
        <v>43311</v>
      </c>
      <c r="B2936" s="17">
        <v>8171.84</v>
      </c>
      <c r="C2936" s="18">
        <v>5551400000</v>
      </c>
      <c r="D2936" s="21">
        <f t="shared" si="5"/>
        <v>36446479872</v>
      </c>
    </row>
    <row r="2937" spans="1:4" ht="14">
      <c r="A2937" s="16">
        <v>43312</v>
      </c>
      <c r="B2937" s="17">
        <v>7725.13</v>
      </c>
      <c r="C2937" s="18">
        <v>5287530000</v>
      </c>
      <c r="D2937" s="21">
        <f t="shared" si="5"/>
        <v>36865399872</v>
      </c>
    </row>
    <row r="2938" spans="1:4" ht="14">
      <c r="A2938" s="16">
        <v>43313</v>
      </c>
      <c r="B2938" s="17">
        <v>7596.7</v>
      </c>
      <c r="C2938" s="18">
        <v>4797620000</v>
      </c>
      <c r="D2938" s="21">
        <f t="shared" si="5"/>
        <v>34875240016</v>
      </c>
    </row>
    <row r="2939" spans="1:4" ht="14">
      <c r="A2939" s="16">
        <v>43314</v>
      </c>
      <c r="B2939" s="17">
        <v>7542.69</v>
      </c>
      <c r="C2939" s="18">
        <v>4214110000</v>
      </c>
      <c r="D2939" s="21">
        <f t="shared" si="5"/>
        <v>33827459952</v>
      </c>
    </row>
    <row r="2940" spans="1:4" ht="14">
      <c r="A2940" s="16">
        <v>43315</v>
      </c>
      <c r="B2940" s="17">
        <v>7411.34</v>
      </c>
      <c r="C2940" s="18">
        <v>4627150000</v>
      </c>
      <c r="D2940" s="21">
        <f t="shared" si="5"/>
        <v>33142480032</v>
      </c>
    </row>
    <row r="2941" spans="1:4" ht="14">
      <c r="A2941" s="16">
        <v>43316</v>
      </c>
      <c r="B2941" s="17">
        <v>7002.21</v>
      </c>
      <c r="C2941" s="18">
        <v>4268390000</v>
      </c>
      <c r="D2941" s="21">
        <f t="shared" si="5"/>
        <v>32573750096</v>
      </c>
    </row>
    <row r="2942" spans="1:4" ht="14">
      <c r="A2942" s="16">
        <v>43317</v>
      </c>
      <c r="B2942" s="17">
        <v>7031.59</v>
      </c>
      <c r="C2942" s="18">
        <v>3679110000</v>
      </c>
      <c r="D2942" s="21">
        <f t="shared" si="5"/>
        <v>32853390016</v>
      </c>
    </row>
    <row r="2943" spans="1:4" ht="14">
      <c r="A2943" s="16">
        <v>43318</v>
      </c>
      <c r="B2943" s="17">
        <v>6929.99</v>
      </c>
      <c r="C2943" s="18">
        <v>3925900000</v>
      </c>
      <c r="D2943" s="21">
        <f t="shared" si="5"/>
        <v>32425310000</v>
      </c>
    </row>
    <row r="2944" spans="1:4" ht="14">
      <c r="A2944" s="16">
        <v>43319</v>
      </c>
      <c r="B2944" s="17">
        <v>6722.58</v>
      </c>
      <c r="C2944" s="18">
        <v>4682800000</v>
      </c>
      <c r="D2944" s="21">
        <f t="shared" si="5"/>
        <v>30799810000</v>
      </c>
    </row>
    <row r="2945" spans="1:4" ht="14">
      <c r="A2945" s="16">
        <v>43320</v>
      </c>
      <c r="B2945" s="17">
        <v>6267.39</v>
      </c>
      <c r="C2945" s="18">
        <v>5064430000</v>
      </c>
      <c r="D2945" s="21">
        <f t="shared" si="5"/>
        <v>30195080000</v>
      </c>
    </row>
    <row r="2946" spans="1:4" ht="14">
      <c r="A2946" s="16">
        <v>43321</v>
      </c>
      <c r="B2946" s="17">
        <v>6558.1</v>
      </c>
      <c r="C2946" s="18">
        <v>4267040000</v>
      </c>
      <c r="D2946" s="21">
        <f t="shared" si="5"/>
        <v>30461890000</v>
      </c>
    </row>
    <row r="2947" spans="1:4" ht="14">
      <c r="A2947" s="16">
        <v>43322</v>
      </c>
      <c r="B2947" s="17">
        <v>6135.75</v>
      </c>
      <c r="C2947" s="18">
        <v>4528680000</v>
      </c>
      <c r="D2947" s="21">
        <f t="shared" si="5"/>
        <v>30514820000</v>
      </c>
    </row>
    <row r="2948" spans="1:4" ht="14">
      <c r="A2948" s="16">
        <v>43323</v>
      </c>
      <c r="B2948" s="17">
        <v>6313.75</v>
      </c>
      <c r="C2948" s="18">
        <v>4047850000</v>
      </c>
      <c r="D2948" s="21">
        <f t="shared" si="5"/>
        <v>30416350000</v>
      </c>
    </row>
    <row r="2949" spans="1:4" ht="14">
      <c r="A2949" s="16">
        <v>43324</v>
      </c>
      <c r="B2949" s="17">
        <v>6314.69</v>
      </c>
      <c r="C2949" s="18">
        <v>5665250000</v>
      </c>
      <c r="D2949" s="21">
        <f t="shared" si="5"/>
        <v>30195810000</v>
      </c>
    </row>
    <row r="2950" spans="1:4" ht="14">
      <c r="A2950" s="16">
        <v>43325</v>
      </c>
      <c r="B2950" s="17">
        <v>6265.85</v>
      </c>
      <c r="C2950" s="18">
        <v>4083980000</v>
      </c>
      <c r="D2950" s="21">
        <f t="shared" si="5"/>
        <v>32181950000</v>
      </c>
    </row>
    <row r="2951" spans="1:4" ht="14">
      <c r="A2951" s="16">
        <v>43326</v>
      </c>
      <c r="B2951" s="17">
        <v>6184.83</v>
      </c>
      <c r="C2951" s="18">
        <v>5301700000</v>
      </c>
      <c r="D2951" s="21">
        <f t="shared" si="5"/>
        <v>32340030000</v>
      </c>
    </row>
    <row r="2952" spans="1:4" ht="14">
      <c r="A2952" s="16">
        <v>43327</v>
      </c>
      <c r="B2952" s="17">
        <v>6270.21</v>
      </c>
      <c r="C2952" s="18">
        <v>4895450000</v>
      </c>
      <c r="D2952" s="21">
        <f t="shared" si="5"/>
        <v>32958930000</v>
      </c>
    </row>
    <row r="2953" spans="1:4" ht="14">
      <c r="A2953" s="16">
        <v>43328</v>
      </c>
      <c r="B2953" s="17">
        <v>6290.75</v>
      </c>
      <c r="C2953" s="18">
        <v>4328420000</v>
      </c>
      <c r="D2953" s="21">
        <f t="shared" si="5"/>
        <v>32789950000</v>
      </c>
    </row>
    <row r="2954" spans="1:4" ht="14">
      <c r="A2954" s="16">
        <v>43329</v>
      </c>
      <c r="B2954" s="17">
        <v>6563.08</v>
      </c>
      <c r="C2954" s="18">
        <v>4992990000</v>
      </c>
      <c r="D2954" s="21">
        <f t="shared" si="5"/>
        <v>32851330000</v>
      </c>
    </row>
    <row r="2955" spans="1:4" ht="14">
      <c r="A2955" s="16">
        <v>43330</v>
      </c>
      <c r="B2955" s="17">
        <v>6399.29</v>
      </c>
      <c r="C2955" s="18">
        <v>3984520000</v>
      </c>
      <c r="D2955" s="21">
        <f t="shared" si="5"/>
        <v>33315640000</v>
      </c>
    </row>
    <row r="2956" spans="1:4" ht="14">
      <c r="A2956" s="16">
        <v>43331</v>
      </c>
      <c r="B2956" s="17">
        <v>6490.72</v>
      </c>
      <c r="C2956" s="18">
        <v>3311170000</v>
      </c>
      <c r="D2956" s="21">
        <f t="shared" si="5"/>
        <v>33252310000</v>
      </c>
    </row>
    <row r="2957" spans="1:4" ht="14">
      <c r="A2957" s="16">
        <v>43332</v>
      </c>
      <c r="B2957" s="17">
        <v>6272.95</v>
      </c>
      <c r="C2957" s="18">
        <v>3665100000</v>
      </c>
      <c r="D2957" s="21">
        <f t="shared" si="5"/>
        <v>30898230000</v>
      </c>
    </row>
    <row r="2958" spans="1:4" ht="14">
      <c r="A2958" s="16">
        <v>43333</v>
      </c>
      <c r="B2958" s="17">
        <v>6473.08</v>
      </c>
      <c r="C2958" s="18">
        <v>3377180000</v>
      </c>
      <c r="D2958" s="21">
        <f t="shared" si="5"/>
        <v>30479350000</v>
      </c>
    </row>
    <row r="2959" spans="1:4" ht="14">
      <c r="A2959" s="16">
        <v>43334</v>
      </c>
      <c r="B2959" s="17">
        <v>6365.01</v>
      </c>
      <c r="C2959" s="18">
        <v>4668110000</v>
      </c>
      <c r="D2959" s="21">
        <f t="shared" si="5"/>
        <v>28554830000</v>
      </c>
    </row>
    <row r="2960" spans="1:4" ht="14">
      <c r="A2960" s="16">
        <v>43335</v>
      </c>
      <c r="B2960" s="17">
        <v>6516.41</v>
      </c>
      <c r="C2960" s="18">
        <v>3426180000</v>
      </c>
      <c r="D2960" s="21">
        <f t="shared" si="5"/>
        <v>28327490000</v>
      </c>
    </row>
    <row r="2961" spans="1:4" ht="14">
      <c r="A2961" s="16">
        <v>43336</v>
      </c>
      <c r="B2961" s="17">
        <v>6697.73</v>
      </c>
      <c r="C2961" s="18">
        <v>4097820000</v>
      </c>
      <c r="D2961" s="21">
        <f t="shared" si="5"/>
        <v>27425250000</v>
      </c>
    </row>
    <row r="2962" spans="1:4" ht="14">
      <c r="A2962" s="16">
        <v>43337</v>
      </c>
      <c r="B2962" s="17">
        <v>6745.44</v>
      </c>
      <c r="C2962" s="18">
        <v>3312600000</v>
      </c>
      <c r="D2962" s="21">
        <f t="shared" si="5"/>
        <v>26530080000</v>
      </c>
    </row>
    <row r="2963" spans="1:4" ht="14">
      <c r="A2963" s="16">
        <v>43338</v>
      </c>
      <c r="B2963" s="17">
        <v>6689.87</v>
      </c>
      <c r="C2963" s="18">
        <v>3295500000</v>
      </c>
      <c r="D2963" s="21">
        <f t="shared" si="5"/>
        <v>25858160000</v>
      </c>
    </row>
    <row r="2964" spans="1:4" ht="14">
      <c r="A2964" s="16">
        <v>43339</v>
      </c>
      <c r="B2964" s="17">
        <v>6839.16</v>
      </c>
      <c r="C2964" s="18">
        <v>4019000000</v>
      </c>
      <c r="D2964" s="21">
        <f t="shared" si="5"/>
        <v>25842490000</v>
      </c>
    </row>
    <row r="2965" spans="1:4" ht="14">
      <c r="A2965" s="16">
        <v>43340</v>
      </c>
      <c r="B2965" s="17">
        <v>7092.97</v>
      </c>
      <c r="C2965" s="18">
        <v>4659940000</v>
      </c>
      <c r="D2965" s="21">
        <f t="shared" si="5"/>
        <v>26196390000</v>
      </c>
    </row>
    <row r="2966" spans="1:4" ht="14">
      <c r="A2966" s="16">
        <v>43341</v>
      </c>
      <c r="B2966" s="17">
        <v>7033.43</v>
      </c>
      <c r="C2966" s="18">
        <v>4145880000</v>
      </c>
      <c r="D2966" s="21">
        <f t="shared" si="5"/>
        <v>27479150000</v>
      </c>
    </row>
    <row r="2967" spans="1:4" ht="14">
      <c r="A2967" s="16">
        <v>43342</v>
      </c>
      <c r="B2967" s="17">
        <v>6966.96</v>
      </c>
      <c r="C2967" s="18">
        <v>4463250000</v>
      </c>
      <c r="D2967" s="21">
        <f t="shared" si="5"/>
        <v>26956920000</v>
      </c>
    </row>
    <row r="2968" spans="1:4" ht="14">
      <c r="A2968" s="16">
        <v>43343</v>
      </c>
      <c r="B2968" s="17">
        <v>7025.14</v>
      </c>
      <c r="C2968" s="18">
        <v>4495650000</v>
      </c>
      <c r="D2968" s="21">
        <f t="shared" si="5"/>
        <v>27993990000</v>
      </c>
    </row>
    <row r="2969" spans="1:4" ht="14">
      <c r="A2969" s="16">
        <v>43344</v>
      </c>
      <c r="B2969" s="17">
        <v>7192.35</v>
      </c>
      <c r="C2969" s="18">
        <v>4116050000</v>
      </c>
      <c r="D2969" s="21">
        <f t="shared" si="5"/>
        <v>28391820000</v>
      </c>
    </row>
    <row r="2970" spans="1:4" ht="14">
      <c r="A2970" s="16">
        <v>43345</v>
      </c>
      <c r="B2970" s="17">
        <v>7286.67</v>
      </c>
      <c r="C2970" s="18">
        <v>4329540000</v>
      </c>
      <c r="D2970" s="21">
        <f t="shared" si="5"/>
        <v>29195270000</v>
      </c>
    </row>
    <row r="2971" spans="1:4" ht="14">
      <c r="A2971" s="16">
        <v>43346</v>
      </c>
      <c r="B2971" s="17">
        <v>7257.47</v>
      </c>
      <c r="C2971" s="18">
        <v>4087760000</v>
      </c>
      <c r="D2971" s="21">
        <f t="shared" si="5"/>
        <v>30229310000</v>
      </c>
    </row>
    <row r="2972" spans="1:4" ht="14">
      <c r="A2972" s="16">
        <v>43347</v>
      </c>
      <c r="B2972" s="17">
        <v>7358.81</v>
      </c>
      <c r="C2972" s="18">
        <v>4273640000</v>
      </c>
      <c r="D2972" s="21">
        <f t="shared" si="5"/>
        <v>30298070000</v>
      </c>
    </row>
    <row r="2973" spans="1:4" ht="14">
      <c r="A2973" s="16">
        <v>43348</v>
      </c>
      <c r="B2973" s="17">
        <v>6790.9</v>
      </c>
      <c r="C2973" s="18">
        <v>5800460000</v>
      </c>
      <c r="D2973" s="21">
        <f t="shared" si="5"/>
        <v>29911770000</v>
      </c>
    </row>
    <row r="2974" spans="1:4" ht="14">
      <c r="A2974" s="16">
        <v>43349</v>
      </c>
      <c r="B2974" s="17">
        <v>6488.08</v>
      </c>
      <c r="C2974" s="18">
        <v>5523470000</v>
      </c>
      <c r="D2974" s="21">
        <f t="shared" si="5"/>
        <v>31566350000</v>
      </c>
    </row>
    <row r="2975" spans="1:4" ht="14">
      <c r="A2975" s="16">
        <v>43350</v>
      </c>
      <c r="B2975" s="17">
        <v>6408.65</v>
      </c>
      <c r="C2975" s="18">
        <v>4264680000</v>
      </c>
      <c r="D2975" s="21">
        <f t="shared" si="5"/>
        <v>32626570000</v>
      </c>
    </row>
    <row r="2976" spans="1:4" ht="14">
      <c r="A2976" s="16">
        <v>43351</v>
      </c>
      <c r="B2976" s="17">
        <v>6187.79</v>
      </c>
      <c r="C2976" s="18">
        <v>3835060000</v>
      </c>
      <c r="D2976" s="21">
        <f t="shared" si="5"/>
        <v>32395600000</v>
      </c>
    </row>
    <row r="2977" spans="1:4" ht="14">
      <c r="A2977" s="16">
        <v>43352</v>
      </c>
      <c r="B2977" s="17">
        <v>6249.25</v>
      </c>
      <c r="C2977" s="18">
        <v>3671890000</v>
      </c>
      <c r="D2977" s="21">
        <f t="shared" si="5"/>
        <v>32114610000</v>
      </c>
    </row>
    <row r="2978" spans="1:4" ht="14">
      <c r="A2978" s="16">
        <v>43353</v>
      </c>
      <c r="B2978" s="17">
        <v>6295.39</v>
      </c>
      <c r="C2978" s="18">
        <v>3714100000</v>
      </c>
      <c r="D2978" s="21">
        <f t="shared" si="5"/>
        <v>31456960000</v>
      </c>
    </row>
    <row r="2979" spans="1:4" ht="14">
      <c r="A2979" s="16">
        <v>43354</v>
      </c>
      <c r="B2979" s="17">
        <v>6278.42</v>
      </c>
      <c r="C2979" s="18">
        <v>3849910000</v>
      </c>
      <c r="D2979" s="21">
        <f t="shared" si="5"/>
        <v>31083300000</v>
      </c>
    </row>
    <row r="2980" spans="1:4" ht="14">
      <c r="A2980" s="16">
        <v>43355</v>
      </c>
      <c r="B2980" s="17">
        <v>6327.54</v>
      </c>
      <c r="C2980" s="18">
        <v>4064230000</v>
      </c>
      <c r="D2980" s="21">
        <f t="shared" si="5"/>
        <v>30659570000</v>
      </c>
    </row>
    <row r="2981" spans="1:4" ht="14">
      <c r="A2981" s="16">
        <v>43356</v>
      </c>
      <c r="B2981" s="17">
        <v>6490.91</v>
      </c>
      <c r="C2981" s="18">
        <v>4210910000</v>
      </c>
      <c r="D2981" s="21">
        <f t="shared" si="5"/>
        <v>28923340000</v>
      </c>
    </row>
    <row r="2982" spans="1:4" ht="14">
      <c r="A2982" s="16">
        <v>43357</v>
      </c>
      <c r="B2982" s="17">
        <v>6494.7</v>
      </c>
      <c r="C2982" s="18">
        <v>4076220000</v>
      </c>
      <c r="D2982" s="21">
        <f t="shared" si="5"/>
        <v>27610780000</v>
      </c>
    </row>
    <row r="2983" spans="1:4" ht="14">
      <c r="A2983" s="16">
        <v>43358</v>
      </c>
      <c r="B2983" s="17">
        <v>6524.17</v>
      </c>
      <c r="C2983" s="18">
        <v>3216300000</v>
      </c>
      <c r="D2983" s="21">
        <f t="shared" si="5"/>
        <v>27422320000</v>
      </c>
    </row>
    <row r="2984" spans="1:4" ht="14">
      <c r="A2984" s="16">
        <v>43359</v>
      </c>
      <c r="B2984" s="17">
        <v>6497.4</v>
      </c>
      <c r="C2984" s="18">
        <v>3273730000</v>
      </c>
      <c r="D2984" s="21">
        <f t="shared" si="5"/>
        <v>26803560000</v>
      </c>
    </row>
    <row r="2985" spans="1:4" ht="14">
      <c r="A2985" s="16">
        <v>43360</v>
      </c>
      <c r="B2985" s="17">
        <v>6258.59</v>
      </c>
      <c r="C2985" s="18">
        <v>3910780000</v>
      </c>
      <c r="D2985" s="21">
        <f t="shared" si="5"/>
        <v>26405400000</v>
      </c>
    </row>
    <row r="2986" spans="1:4" ht="14">
      <c r="A2986" s="16">
        <v>43361</v>
      </c>
      <c r="B2986" s="17">
        <v>6340.35</v>
      </c>
      <c r="C2986" s="18">
        <v>4180090000</v>
      </c>
      <c r="D2986" s="21">
        <f t="shared" si="5"/>
        <v>26602080000</v>
      </c>
    </row>
    <row r="2987" spans="1:4" ht="14">
      <c r="A2987" s="16">
        <v>43362</v>
      </c>
      <c r="B2987" s="17">
        <v>6383.95</v>
      </c>
      <c r="C2987" s="18">
        <v>4431340000</v>
      </c>
      <c r="D2987" s="21">
        <f t="shared" si="5"/>
        <v>26932260000</v>
      </c>
    </row>
    <row r="2988" spans="1:4" ht="14">
      <c r="A2988" s="16">
        <v>43363</v>
      </c>
      <c r="B2988" s="17">
        <v>6498.61</v>
      </c>
      <c r="C2988" s="18">
        <v>4348110000</v>
      </c>
      <c r="D2988" s="21">
        <f t="shared" si="5"/>
        <v>27299370000</v>
      </c>
    </row>
    <row r="2989" spans="1:4" ht="14">
      <c r="A2989" s="16">
        <v>43364</v>
      </c>
      <c r="B2989" s="17">
        <v>6741.14</v>
      </c>
      <c r="C2989" s="18">
        <v>6531940000</v>
      </c>
      <c r="D2989" s="21">
        <f t="shared" si="5"/>
        <v>27436570000</v>
      </c>
    </row>
    <row r="2990" spans="1:4" ht="14">
      <c r="A2990" s="16">
        <v>43365</v>
      </c>
      <c r="B2990" s="17">
        <v>6705.48</v>
      </c>
      <c r="C2990" s="18">
        <v>4509660000</v>
      </c>
      <c r="D2990" s="21">
        <f t="shared" si="5"/>
        <v>29892290000</v>
      </c>
    </row>
    <row r="2991" spans="1:4" ht="14">
      <c r="A2991" s="16">
        <v>43366</v>
      </c>
      <c r="B2991" s="17">
        <v>6703.14</v>
      </c>
      <c r="C2991" s="18">
        <v>4197500000</v>
      </c>
      <c r="D2991" s="21">
        <f t="shared" si="5"/>
        <v>31185650000</v>
      </c>
    </row>
    <row r="2992" spans="1:4" ht="14">
      <c r="A2992" s="16">
        <v>43367</v>
      </c>
      <c r="B2992" s="17">
        <v>6576.55</v>
      </c>
      <c r="C2992" s="18">
        <v>4177310000</v>
      </c>
      <c r="D2992" s="21">
        <f t="shared" si="5"/>
        <v>32109420000</v>
      </c>
    </row>
    <row r="2993" spans="1:4" ht="14">
      <c r="A2993" s="16">
        <v>43368</v>
      </c>
      <c r="B2993" s="17">
        <v>6416.44</v>
      </c>
      <c r="C2993" s="18">
        <v>4726180000</v>
      </c>
      <c r="D2993" s="21">
        <f t="shared" si="5"/>
        <v>32375950000</v>
      </c>
    </row>
    <row r="2994" spans="1:4" ht="14">
      <c r="A2994" s="16">
        <v>43369</v>
      </c>
      <c r="B2994" s="17">
        <v>6463.25</v>
      </c>
      <c r="C2994" s="18">
        <v>4437300000</v>
      </c>
      <c r="D2994" s="21">
        <f t="shared" si="5"/>
        <v>32922040000</v>
      </c>
    </row>
    <row r="2995" spans="1:4" ht="14">
      <c r="A2995" s="16">
        <v>43370</v>
      </c>
      <c r="B2995" s="17">
        <v>6677.9</v>
      </c>
      <c r="C2995" s="18">
        <v>4606810000</v>
      </c>
      <c r="D2995" s="21">
        <f t="shared" si="5"/>
        <v>32928000000</v>
      </c>
    </row>
    <row r="2996" spans="1:4" ht="14">
      <c r="A2996" s="16">
        <v>43371</v>
      </c>
      <c r="B2996" s="17">
        <v>6623.13</v>
      </c>
      <c r="C2996" s="18">
        <v>5014430000</v>
      </c>
      <c r="D2996" s="21">
        <f t="shared" si="5"/>
        <v>33186700000</v>
      </c>
    </row>
    <row r="2997" spans="1:4" ht="14">
      <c r="A2997" s="16">
        <v>43372</v>
      </c>
      <c r="B2997" s="17">
        <v>6584.5</v>
      </c>
      <c r="C2997" s="18">
        <v>4363690000</v>
      </c>
      <c r="D2997" s="21">
        <f t="shared" si="5"/>
        <v>31669190000</v>
      </c>
    </row>
    <row r="2998" spans="1:4" ht="14">
      <c r="A2998" s="16">
        <v>43373</v>
      </c>
      <c r="B2998" s="17">
        <v>6604.49</v>
      </c>
      <c r="C2998" s="18">
        <v>4002280000</v>
      </c>
      <c r="D2998" s="21">
        <f t="shared" si="5"/>
        <v>31523220000</v>
      </c>
    </row>
    <row r="2999" spans="1:4" ht="14">
      <c r="A2999" s="16">
        <v>43374</v>
      </c>
      <c r="B2999" s="17">
        <v>6561.81</v>
      </c>
      <c r="C2999" s="18">
        <v>4000970000</v>
      </c>
      <c r="D2999" s="21">
        <f t="shared" si="5"/>
        <v>31328000000</v>
      </c>
    </row>
    <row r="3000" spans="1:4" ht="14">
      <c r="A3000" s="16">
        <v>43375</v>
      </c>
      <c r="B3000" s="17">
        <v>6508.72</v>
      </c>
      <c r="C3000" s="18">
        <v>3979260000</v>
      </c>
      <c r="D3000" s="21">
        <f t="shared" si="5"/>
        <v>31151660000</v>
      </c>
    </row>
    <row r="3001" spans="1:4" ht="14">
      <c r="A3001" s="16">
        <v>43376</v>
      </c>
      <c r="B3001" s="17">
        <v>6464.46</v>
      </c>
      <c r="C3001" s="18">
        <v>3887310000</v>
      </c>
      <c r="D3001" s="21">
        <f t="shared" si="5"/>
        <v>30404740000</v>
      </c>
    </row>
    <row r="3002" spans="1:4" ht="14">
      <c r="A3002" s="16">
        <v>43377</v>
      </c>
      <c r="B3002" s="17">
        <v>6545.29</v>
      </c>
      <c r="C3002" s="18">
        <v>3838410000</v>
      </c>
      <c r="D3002" s="21">
        <f t="shared" si="5"/>
        <v>29854750000</v>
      </c>
    </row>
    <row r="3003" spans="1:4" ht="14">
      <c r="A3003" s="16">
        <v>43378</v>
      </c>
      <c r="B3003" s="17">
        <v>6585.15</v>
      </c>
      <c r="C3003" s="18">
        <v>3671500000</v>
      </c>
      <c r="D3003" s="21">
        <f t="shared" si="5"/>
        <v>29086350000</v>
      </c>
    </row>
    <row r="3004" spans="1:4" ht="14">
      <c r="A3004" s="16">
        <v>43379</v>
      </c>
      <c r="B3004" s="17">
        <v>6550.48</v>
      </c>
      <c r="C3004" s="18">
        <v>3259740000</v>
      </c>
      <c r="D3004" s="21">
        <f t="shared" si="5"/>
        <v>27743420000</v>
      </c>
    </row>
    <row r="3005" spans="1:4" ht="14">
      <c r="A3005" s="16">
        <v>43380</v>
      </c>
      <c r="B3005" s="17">
        <v>6564.57</v>
      </c>
      <c r="C3005" s="18">
        <v>3306630000</v>
      </c>
      <c r="D3005" s="21">
        <f t="shared" si="5"/>
        <v>26639470000</v>
      </c>
    </row>
    <row r="3006" spans="1:4" ht="14">
      <c r="A3006" s="16">
        <v>43381</v>
      </c>
      <c r="B3006" s="17">
        <v>6604.69</v>
      </c>
      <c r="C3006" s="18">
        <v>3979460000</v>
      </c>
      <c r="D3006" s="21">
        <f t="shared" si="5"/>
        <v>25943820000</v>
      </c>
    </row>
    <row r="3007" spans="1:4" ht="14">
      <c r="A3007" s="16">
        <v>43382</v>
      </c>
      <c r="B3007" s="17">
        <v>6590.43</v>
      </c>
      <c r="C3007" s="18">
        <v>3580810000</v>
      </c>
      <c r="D3007" s="21">
        <f t="shared" si="5"/>
        <v>25922310000</v>
      </c>
    </row>
    <row r="3008" spans="1:4" ht="14">
      <c r="A3008" s="16">
        <v>43383</v>
      </c>
      <c r="B3008" s="17">
        <v>6529.1</v>
      </c>
      <c r="C3008" s="18">
        <v>3787650000</v>
      </c>
      <c r="D3008" s="21">
        <f t="shared" si="5"/>
        <v>25523860000</v>
      </c>
    </row>
    <row r="3009" spans="1:4" ht="14">
      <c r="A3009" s="16">
        <v>43384</v>
      </c>
      <c r="B3009" s="17">
        <v>6159.25</v>
      </c>
      <c r="C3009" s="18">
        <v>5181640000</v>
      </c>
      <c r="D3009" s="21">
        <f t="shared" si="5"/>
        <v>25424200000</v>
      </c>
    </row>
    <row r="3010" spans="1:4" ht="14">
      <c r="A3010" s="16">
        <v>43385</v>
      </c>
      <c r="B3010" s="17">
        <v>6191.68</v>
      </c>
      <c r="C3010" s="18">
        <v>3783500000</v>
      </c>
      <c r="D3010" s="21">
        <f t="shared" si="5"/>
        <v>26767430000</v>
      </c>
    </row>
    <row r="3011" spans="1:4" ht="14">
      <c r="A3011" s="16">
        <v>43386</v>
      </c>
      <c r="B3011" s="17">
        <v>6197.69</v>
      </c>
      <c r="C3011" s="18">
        <v>3064030000</v>
      </c>
      <c r="D3011" s="21">
        <f t="shared" si="5"/>
        <v>26879430000</v>
      </c>
    </row>
    <row r="3012" spans="1:4" ht="14">
      <c r="A3012" s="16">
        <v>43387</v>
      </c>
      <c r="B3012" s="17">
        <v>6182.88</v>
      </c>
      <c r="C3012" s="18">
        <v>3085320000</v>
      </c>
      <c r="D3012" s="21">
        <f t="shared" si="5"/>
        <v>26683720000</v>
      </c>
    </row>
    <row r="3013" spans="1:4" ht="14">
      <c r="A3013" s="16">
        <v>43388</v>
      </c>
      <c r="B3013" s="17">
        <v>6442.72</v>
      </c>
      <c r="C3013" s="18">
        <v>7370770000</v>
      </c>
      <c r="D3013" s="21">
        <f t="shared" si="5"/>
        <v>26462410000</v>
      </c>
    </row>
    <row r="3014" spans="1:4" ht="14">
      <c r="A3014" s="16">
        <v>43389</v>
      </c>
      <c r="B3014" s="17">
        <v>6461.94</v>
      </c>
      <c r="C3014" s="18">
        <v>4074800000</v>
      </c>
      <c r="D3014" s="21">
        <f t="shared" si="5"/>
        <v>29853720000</v>
      </c>
    </row>
    <row r="3015" spans="1:4" ht="14">
      <c r="A3015" s="16">
        <v>43390</v>
      </c>
      <c r="B3015" s="17">
        <v>6442.73</v>
      </c>
      <c r="C3015" s="18">
        <v>4088420000</v>
      </c>
      <c r="D3015" s="21">
        <f t="shared" si="5"/>
        <v>30347710000</v>
      </c>
    </row>
    <row r="3016" spans="1:4" ht="14">
      <c r="A3016" s="16">
        <v>43391</v>
      </c>
      <c r="B3016" s="17">
        <v>6396.48</v>
      </c>
      <c r="C3016" s="18">
        <v>3924080000</v>
      </c>
      <c r="D3016" s="21">
        <f t="shared" si="5"/>
        <v>30648480000</v>
      </c>
    </row>
    <row r="3017" spans="1:4" ht="14">
      <c r="A3017" s="16">
        <v>43392</v>
      </c>
      <c r="B3017" s="17">
        <v>6383.08</v>
      </c>
      <c r="C3017" s="18">
        <v>3578870000</v>
      </c>
      <c r="D3017" s="21">
        <f t="shared" si="5"/>
        <v>29390920000</v>
      </c>
    </row>
    <row r="3018" spans="1:4" ht="14">
      <c r="A3018" s="16">
        <v>43393</v>
      </c>
      <c r="B3018" s="17">
        <v>6408.25</v>
      </c>
      <c r="C3018" s="18">
        <v>3379130000</v>
      </c>
      <c r="D3018" s="21">
        <f t="shared" si="5"/>
        <v>29186290000</v>
      </c>
    </row>
    <row r="3019" spans="1:4" ht="14">
      <c r="A3019" s="16">
        <v>43394</v>
      </c>
      <c r="B3019" s="17">
        <v>6415.34</v>
      </c>
      <c r="C3019" s="18">
        <v>3253610000</v>
      </c>
      <c r="D3019" s="21">
        <f t="shared" si="5"/>
        <v>29501390000</v>
      </c>
    </row>
    <row r="3020" spans="1:4" ht="14">
      <c r="A3020" s="16">
        <v>43395</v>
      </c>
      <c r="B3020" s="17">
        <v>6408.03</v>
      </c>
      <c r="C3020" s="18">
        <v>3672860000</v>
      </c>
      <c r="D3020" s="21">
        <f t="shared" si="5"/>
        <v>29669680000</v>
      </c>
    </row>
    <row r="3021" spans="1:4" ht="14">
      <c r="A3021" s="16">
        <v>43396</v>
      </c>
      <c r="B3021" s="17">
        <v>6395.99</v>
      </c>
      <c r="C3021" s="18">
        <v>3716150000</v>
      </c>
      <c r="D3021" s="21">
        <f t="shared" si="5"/>
        <v>25971770000</v>
      </c>
    </row>
    <row r="3022" spans="1:4" ht="14">
      <c r="A3022" s="16">
        <v>43397</v>
      </c>
      <c r="B3022" s="17">
        <v>6413.8</v>
      </c>
      <c r="C3022" s="18">
        <v>3424670000</v>
      </c>
      <c r="D3022" s="21">
        <f t="shared" si="5"/>
        <v>25613120000</v>
      </c>
    </row>
    <row r="3023" spans="1:4" ht="14">
      <c r="A3023" s="16">
        <v>43398</v>
      </c>
      <c r="B3023" s="17">
        <v>6402.32</v>
      </c>
      <c r="C3023" s="18">
        <v>3230550000</v>
      </c>
      <c r="D3023" s="21">
        <f t="shared" si="5"/>
        <v>24949370000</v>
      </c>
    </row>
    <row r="3024" spans="1:4" ht="14">
      <c r="A3024" s="16">
        <v>43399</v>
      </c>
      <c r="B3024" s="17">
        <v>6404.11</v>
      </c>
      <c r="C3024" s="18">
        <v>3306050000</v>
      </c>
      <c r="D3024" s="21">
        <f t="shared" si="5"/>
        <v>24255840000</v>
      </c>
    </row>
    <row r="3025" spans="1:4" ht="14">
      <c r="A3025" s="16">
        <v>43400</v>
      </c>
      <c r="B3025" s="17">
        <v>6409.41</v>
      </c>
      <c r="C3025" s="18">
        <v>3393250000</v>
      </c>
      <c r="D3025" s="21">
        <f t="shared" si="5"/>
        <v>23983020000</v>
      </c>
    </row>
    <row r="3026" spans="1:4" ht="14">
      <c r="A3026" s="16">
        <v>43401</v>
      </c>
      <c r="B3026" s="17">
        <v>6406.63</v>
      </c>
      <c r="C3026" s="18">
        <v>3445190000</v>
      </c>
      <c r="D3026" s="21">
        <f t="shared" si="5"/>
        <v>23997140000</v>
      </c>
    </row>
    <row r="3027" spans="1:4" ht="14">
      <c r="A3027" s="16">
        <v>43402</v>
      </c>
      <c r="B3027" s="17">
        <v>6263.04</v>
      </c>
      <c r="C3027" s="18">
        <v>4199910000</v>
      </c>
      <c r="D3027" s="21">
        <f t="shared" si="5"/>
        <v>24188720000</v>
      </c>
    </row>
    <row r="3028" spans="1:4" ht="14">
      <c r="A3028" s="16">
        <v>43403</v>
      </c>
      <c r="B3028" s="17">
        <v>6272.17</v>
      </c>
      <c r="C3028" s="18">
        <v>3781100000</v>
      </c>
      <c r="D3028" s="21">
        <f t="shared" si="5"/>
        <v>24715770000</v>
      </c>
    </row>
    <row r="3029" spans="1:4" ht="14">
      <c r="A3029" s="16">
        <v>43404</v>
      </c>
      <c r="B3029" s="17">
        <v>6306.32</v>
      </c>
      <c r="C3029" s="18">
        <v>4191240000</v>
      </c>
      <c r="D3029" s="21">
        <f t="shared" si="5"/>
        <v>24780720000</v>
      </c>
    </row>
    <row r="3030" spans="1:4" ht="14">
      <c r="A3030" s="16">
        <v>43405</v>
      </c>
      <c r="B3030" s="17">
        <v>6342.98</v>
      </c>
      <c r="C3030" s="18">
        <v>3789400000</v>
      </c>
      <c r="D3030" s="21">
        <f t="shared" si="5"/>
        <v>25547290000</v>
      </c>
    </row>
    <row r="3031" spans="1:4" ht="14">
      <c r="A3031" s="16">
        <v>43406</v>
      </c>
      <c r="B3031" s="17">
        <v>6348.17</v>
      </c>
      <c r="C3031" s="18">
        <v>4234870000</v>
      </c>
      <c r="D3031" s="21">
        <f t="shared" si="5"/>
        <v>26106140000</v>
      </c>
    </row>
    <row r="3032" spans="1:4" ht="14">
      <c r="A3032" s="16">
        <v>43407</v>
      </c>
      <c r="B3032" s="17">
        <v>6332.43</v>
      </c>
      <c r="C3032" s="18">
        <v>3658640000</v>
      </c>
      <c r="D3032" s="21">
        <f t="shared" si="5"/>
        <v>27034960000</v>
      </c>
    </row>
    <row r="3033" spans="1:4" ht="14">
      <c r="A3033" s="16">
        <v>43408</v>
      </c>
      <c r="B3033" s="17">
        <v>6420.42</v>
      </c>
      <c r="C3033" s="18">
        <v>4390020000</v>
      </c>
      <c r="D3033" s="21">
        <f t="shared" si="5"/>
        <v>27300350000</v>
      </c>
    </row>
    <row r="3034" spans="1:4" ht="14">
      <c r="A3034" s="16">
        <v>43409</v>
      </c>
      <c r="B3034" s="17">
        <v>6402.95</v>
      </c>
      <c r="C3034" s="18">
        <v>4174800000</v>
      </c>
      <c r="D3034" s="21">
        <f t="shared" si="5"/>
        <v>28245180000</v>
      </c>
    </row>
    <row r="3035" spans="1:4" ht="14">
      <c r="A3035" s="16">
        <v>43410</v>
      </c>
      <c r="B3035" s="17">
        <v>6441.15</v>
      </c>
      <c r="C3035" s="18">
        <v>4700040000</v>
      </c>
      <c r="D3035" s="21">
        <f t="shared" si="5"/>
        <v>28220070000</v>
      </c>
    </row>
    <row r="3036" spans="1:4" ht="14">
      <c r="A3036" s="16">
        <v>43411</v>
      </c>
      <c r="B3036" s="17">
        <v>6500.87</v>
      </c>
      <c r="C3036" s="18">
        <v>4941260000</v>
      </c>
      <c r="D3036" s="21">
        <f t="shared" si="5"/>
        <v>29139010000</v>
      </c>
    </row>
    <row r="3037" spans="1:4" ht="14">
      <c r="A3037" s="16">
        <v>43412</v>
      </c>
      <c r="B3037" s="17">
        <v>6406.75</v>
      </c>
      <c r="C3037" s="18">
        <v>4665260000</v>
      </c>
      <c r="D3037" s="21">
        <f t="shared" si="5"/>
        <v>29889030000</v>
      </c>
    </row>
    <row r="3038" spans="1:4" ht="14">
      <c r="A3038" s="16">
        <v>43413</v>
      </c>
      <c r="B3038" s="17">
        <v>6331.38</v>
      </c>
      <c r="C3038" s="18">
        <v>4346820000</v>
      </c>
      <c r="D3038" s="21">
        <f t="shared" si="5"/>
        <v>30764890000</v>
      </c>
    </row>
    <row r="3039" spans="1:4" ht="14">
      <c r="A3039" s="16">
        <v>43414</v>
      </c>
      <c r="B3039" s="17">
        <v>6353.11</v>
      </c>
      <c r="C3039" s="18">
        <v>3705320000</v>
      </c>
      <c r="D3039" s="21">
        <f t="shared" si="5"/>
        <v>30876840000</v>
      </c>
    </row>
    <row r="3040" spans="1:4" ht="14">
      <c r="A3040" s="16">
        <v>43415</v>
      </c>
      <c r="B3040" s="17">
        <v>6335.41</v>
      </c>
      <c r="C3040" s="18">
        <v>3939060000</v>
      </c>
      <c r="D3040" s="21">
        <f t="shared" si="5"/>
        <v>30923520000</v>
      </c>
    </row>
    <row r="3041" spans="1:4" ht="14">
      <c r="A3041" s="16">
        <v>43416</v>
      </c>
      <c r="B3041" s="17">
        <v>6320.66</v>
      </c>
      <c r="C3041" s="18">
        <v>4295770000</v>
      </c>
      <c r="D3041" s="21">
        <f t="shared" si="5"/>
        <v>30472560000</v>
      </c>
    </row>
    <row r="3042" spans="1:4" ht="14">
      <c r="A3042" s="16">
        <v>43417</v>
      </c>
      <c r="B3042" s="17">
        <v>6267.94</v>
      </c>
      <c r="C3042" s="18">
        <v>4503800000</v>
      </c>
      <c r="D3042" s="21">
        <f t="shared" si="5"/>
        <v>30593530000</v>
      </c>
    </row>
    <row r="3043" spans="1:4" ht="14">
      <c r="A3043" s="16">
        <v>43418</v>
      </c>
      <c r="B3043" s="17">
        <v>5574.26</v>
      </c>
      <c r="C3043" s="18">
        <v>7398940000</v>
      </c>
      <c r="D3043" s="21">
        <f t="shared" si="5"/>
        <v>30397290000</v>
      </c>
    </row>
    <row r="3044" spans="1:4" ht="14">
      <c r="A3044" s="16">
        <v>43419</v>
      </c>
      <c r="B3044" s="17">
        <v>5538.56</v>
      </c>
      <c r="C3044" s="18">
        <v>7032140000</v>
      </c>
      <c r="D3044" s="21">
        <f t="shared" si="5"/>
        <v>32854970000</v>
      </c>
    </row>
    <row r="3045" spans="1:4" ht="14">
      <c r="A3045" s="16">
        <v>43420</v>
      </c>
      <c r="B3045" s="17">
        <v>5496.02</v>
      </c>
      <c r="C3045" s="18">
        <v>5279320000</v>
      </c>
      <c r="D3045" s="21">
        <f t="shared" si="5"/>
        <v>35221850000</v>
      </c>
    </row>
    <row r="3046" spans="1:4" ht="14">
      <c r="A3046" s="16">
        <v>43421</v>
      </c>
      <c r="B3046" s="17">
        <v>5501.09</v>
      </c>
      <c r="C3046" s="18">
        <v>4303150000</v>
      </c>
      <c r="D3046" s="21">
        <f t="shared" si="5"/>
        <v>36154350000</v>
      </c>
    </row>
    <row r="3047" spans="1:4" ht="14">
      <c r="A3047" s="16">
        <v>43422</v>
      </c>
      <c r="B3047" s="17">
        <v>5555.38</v>
      </c>
      <c r="C3047" s="18">
        <v>4159680000</v>
      </c>
      <c r="D3047" s="21">
        <f t="shared" si="5"/>
        <v>36752180000</v>
      </c>
    </row>
    <row r="3048" spans="1:4" ht="14">
      <c r="A3048" s="16">
        <v>43423</v>
      </c>
      <c r="B3048" s="17">
        <v>4792.2</v>
      </c>
      <c r="C3048" s="18">
        <v>7039560000</v>
      </c>
      <c r="D3048" s="21">
        <f t="shared" si="5"/>
        <v>36972800000</v>
      </c>
    </row>
    <row r="3049" spans="1:4" ht="14">
      <c r="A3049" s="16">
        <v>43424</v>
      </c>
      <c r="B3049" s="17">
        <v>4317.53</v>
      </c>
      <c r="C3049" s="18">
        <v>8428290000</v>
      </c>
      <c r="D3049" s="21">
        <f t="shared" si="5"/>
        <v>39716590000</v>
      </c>
    </row>
    <row r="3050" spans="1:4" ht="14">
      <c r="A3050" s="16">
        <v>43425</v>
      </c>
      <c r="B3050" s="17">
        <v>4549.32</v>
      </c>
      <c r="C3050" s="18">
        <v>6120120000</v>
      </c>
      <c r="D3050" s="21">
        <f t="shared" si="5"/>
        <v>43641080000</v>
      </c>
    </row>
    <row r="3051" spans="1:4" ht="14">
      <c r="A3051" s="16">
        <v>43426</v>
      </c>
      <c r="B3051" s="17">
        <v>4303.62</v>
      </c>
      <c r="C3051" s="18">
        <v>4569370000</v>
      </c>
      <c r="D3051" s="21">
        <f t="shared" si="5"/>
        <v>42362260000</v>
      </c>
    </row>
    <row r="3052" spans="1:4" ht="14">
      <c r="A3052" s="16">
        <v>43427</v>
      </c>
      <c r="B3052" s="17">
        <v>4289.8900000000003</v>
      </c>
      <c r="C3052" s="18">
        <v>4871490000</v>
      </c>
      <c r="D3052" s="21">
        <f t="shared" si="5"/>
        <v>39899490000</v>
      </c>
    </row>
    <row r="3053" spans="1:4" ht="14">
      <c r="A3053" s="16">
        <v>43428</v>
      </c>
      <c r="B3053" s="17">
        <v>3806.32</v>
      </c>
      <c r="C3053" s="18">
        <v>4679500000</v>
      </c>
      <c r="D3053" s="21">
        <f t="shared" si="5"/>
        <v>39491660000</v>
      </c>
    </row>
    <row r="3054" spans="1:4" ht="14">
      <c r="A3054" s="16">
        <v>43429</v>
      </c>
      <c r="B3054" s="17">
        <v>3946.85</v>
      </c>
      <c r="C3054" s="18">
        <v>6825640000</v>
      </c>
      <c r="D3054" s="21">
        <f t="shared" ref="D3054:D3308" si="6">IF(C3047&lt;&gt;"",SUM(C3047:C3053),"")</f>
        <v>39868010000</v>
      </c>
    </row>
    <row r="3055" spans="1:4" ht="14">
      <c r="A3055" s="16">
        <v>43430</v>
      </c>
      <c r="B3055" s="17">
        <v>3700.29</v>
      </c>
      <c r="C3055" s="18">
        <v>6476900000</v>
      </c>
      <c r="D3055" s="21">
        <f t="shared" si="6"/>
        <v>42533970000</v>
      </c>
    </row>
    <row r="3056" spans="1:4" ht="14">
      <c r="A3056" s="16">
        <v>43431</v>
      </c>
      <c r="B3056" s="17">
        <v>3776.56</v>
      </c>
      <c r="C3056" s="18">
        <v>5998720000</v>
      </c>
      <c r="D3056" s="21">
        <f t="shared" si="6"/>
        <v>41971310000</v>
      </c>
    </row>
    <row r="3057" spans="1:4" ht="14">
      <c r="A3057" s="16">
        <v>43432</v>
      </c>
      <c r="B3057" s="17">
        <v>4208.4799999999996</v>
      </c>
      <c r="C3057" s="18">
        <v>7280280000</v>
      </c>
      <c r="D3057" s="21">
        <f t="shared" si="6"/>
        <v>39541740000</v>
      </c>
    </row>
    <row r="3058" spans="1:4" ht="14">
      <c r="A3058" s="16">
        <v>43433</v>
      </c>
      <c r="B3058" s="17">
        <v>4239.04</v>
      </c>
      <c r="C3058" s="18">
        <v>6503347767</v>
      </c>
      <c r="D3058" s="21">
        <f t="shared" si="6"/>
        <v>40701900000</v>
      </c>
    </row>
    <row r="3059" spans="1:4" ht="14">
      <c r="A3059" s="16">
        <v>43434</v>
      </c>
      <c r="B3059" s="17">
        <v>3973.33</v>
      </c>
      <c r="C3059" s="18">
        <v>6048016717</v>
      </c>
      <c r="D3059" s="21">
        <f t="shared" si="6"/>
        <v>42635877767</v>
      </c>
    </row>
    <row r="3060" spans="1:4" ht="14">
      <c r="A3060" s="16">
        <v>43435</v>
      </c>
      <c r="B3060" s="17">
        <v>4148.07</v>
      </c>
      <c r="C3060" s="18">
        <v>5375314093</v>
      </c>
      <c r="D3060" s="21">
        <f t="shared" si="6"/>
        <v>43812404484</v>
      </c>
    </row>
    <row r="3061" spans="1:4" ht="14">
      <c r="A3061" s="16">
        <v>43436</v>
      </c>
      <c r="B3061" s="17">
        <v>4098.75</v>
      </c>
      <c r="C3061" s="18">
        <v>5262697895</v>
      </c>
      <c r="D3061" s="21">
        <f t="shared" si="6"/>
        <v>44508218577</v>
      </c>
    </row>
    <row r="3062" spans="1:4" ht="14">
      <c r="A3062" s="16">
        <v>43437</v>
      </c>
      <c r="B3062" s="17">
        <v>3843.98</v>
      </c>
      <c r="C3062" s="18">
        <v>5089570994</v>
      </c>
      <c r="D3062" s="21">
        <f t="shared" si="6"/>
        <v>42945276472</v>
      </c>
    </row>
    <row r="3063" spans="1:4" ht="14">
      <c r="A3063" s="16">
        <v>43438</v>
      </c>
      <c r="B3063" s="17">
        <v>3892.95</v>
      </c>
      <c r="C3063" s="18">
        <v>5028069239</v>
      </c>
      <c r="D3063" s="21">
        <f t="shared" si="6"/>
        <v>41557947466</v>
      </c>
    </row>
    <row r="3064" spans="1:4" ht="14">
      <c r="A3064" s="16">
        <v>43439</v>
      </c>
      <c r="B3064" s="17">
        <v>3709.52</v>
      </c>
      <c r="C3064" s="18">
        <v>5302481574</v>
      </c>
      <c r="D3064" s="21">
        <f t="shared" si="6"/>
        <v>40587296705</v>
      </c>
    </row>
    <row r="3065" spans="1:4" ht="14">
      <c r="A3065" s="16">
        <v>43440</v>
      </c>
      <c r="B3065" s="17">
        <v>3511.97</v>
      </c>
      <c r="C3065" s="18">
        <v>5878333109</v>
      </c>
      <c r="D3065" s="21">
        <f t="shared" si="6"/>
        <v>38609498279</v>
      </c>
    </row>
    <row r="3066" spans="1:4" ht="14">
      <c r="A3066" s="16">
        <v>43441</v>
      </c>
      <c r="B3066" s="17">
        <v>3373</v>
      </c>
      <c r="C3066" s="18">
        <v>6835615448</v>
      </c>
      <c r="D3066" s="21">
        <f t="shared" si="6"/>
        <v>37984483621</v>
      </c>
    </row>
    <row r="3067" spans="1:4" ht="14">
      <c r="A3067" s="16">
        <v>43442</v>
      </c>
      <c r="B3067" s="17">
        <v>3407.95</v>
      </c>
      <c r="C3067" s="18">
        <v>5305024497</v>
      </c>
      <c r="D3067" s="21">
        <f t="shared" si="6"/>
        <v>38772082352</v>
      </c>
    </row>
    <row r="3068" spans="1:4" ht="14">
      <c r="A3068" s="16">
        <v>43443</v>
      </c>
      <c r="B3068" s="17">
        <v>3540.44</v>
      </c>
      <c r="C3068" s="18">
        <v>4947372847</v>
      </c>
      <c r="D3068" s="21">
        <f t="shared" si="6"/>
        <v>38701792756</v>
      </c>
    </row>
    <row r="3069" spans="1:4" ht="14">
      <c r="A3069" s="16">
        <v>43444</v>
      </c>
      <c r="B3069" s="17">
        <v>3413.59</v>
      </c>
      <c r="C3069" s="18">
        <v>5020968740</v>
      </c>
      <c r="D3069" s="21">
        <f t="shared" si="6"/>
        <v>38386467708</v>
      </c>
    </row>
    <row r="3070" spans="1:4" ht="14">
      <c r="A3070" s="16">
        <v>43445</v>
      </c>
      <c r="B3070" s="17">
        <v>3352.56</v>
      </c>
      <c r="C3070" s="18">
        <v>4696765188</v>
      </c>
      <c r="D3070" s="21">
        <f t="shared" si="6"/>
        <v>38317865454</v>
      </c>
    </row>
    <row r="3071" spans="1:4" ht="14">
      <c r="A3071" s="16">
        <v>43446</v>
      </c>
      <c r="B3071" s="17">
        <v>3423.01</v>
      </c>
      <c r="C3071" s="18">
        <v>4139364829</v>
      </c>
      <c r="D3071" s="21">
        <f t="shared" si="6"/>
        <v>37986561403</v>
      </c>
    </row>
    <row r="3072" spans="1:4" ht="14">
      <c r="A3072" s="16">
        <v>43447</v>
      </c>
      <c r="B3072" s="17">
        <v>3260.34</v>
      </c>
      <c r="C3072" s="18">
        <v>4343372456</v>
      </c>
      <c r="D3072" s="21">
        <f t="shared" si="6"/>
        <v>36823444658</v>
      </c>
    </row>
    <row r="3073" spans="1:4" ht="14">
      <c r="A3073" s="16">
        <v>43448</v>
      </c>
      <c r="B3073" s="17">
        <v>3198.95</v>
      </c>
      <c r="C3073" s="18">
        <v>4372763663</v>
      </c>
      <c r="D3073" s="21">
        <f t="shared" si="6"/>
        <v>35288484005</v>
      </c>
    </row>
    <row r="3074" spans="1:4" ht="14">
      <c r="A3074" s="16">
        <v>43449</v>
      </c>
      <c r="B3074" s="17">
        <v>3185.07</v>
      </c>
      <c r="C3074" s="18">
        <v>3551763561</v>
      </c>
      <c r="D3074" s="21">
        <f t="shared" si="6"/>
        <v>32825632220</v>
      </c>
    </row>
    <row r="3075" spans="1:4" ht="14">
      <c r="A3075" s="16">
        <v>43450</v>
      </c>
      <c r="B3075" s="17">
        <v>3195.41</v>
      </c>
      <c r="C3075" s="18">
        <v>3744248994</v>
      </c>
      <c r="D3075" s="21">
        <f t="shared" si="6"/>
        <v>31072371284</v>
      </c>
    </row>
    <row r="3076" spans="1:4" ht="14">
      <c r="A3076" s="16">
        <v>43451</v>
      </c>
      <c r="B3076" s="17">
        <v>3499.16</v>
      </c>
      <c r="C3076" s="18">
        <v>5409247918</v>
      </c>
      <c r="D3076" s="21">
        <f t="shared" si="6"/>
        <v>29869247431</v>
      </c>
    </row>
    <row r="3077" spans="1:4" ht="14">
      <c r="A3077" s="16">
        <v>43452</v>
      </c>
      <c r="B3077" s="17">
        <v>3659.53</v>
      </c>
      <c r="C3077" s="18">
        <v>5911325473</v>
      </c>
      <c r="D3077" s="21">
        <f t="shared" si="6"/>
        <v>30257526609</v>
      </c>
    </row>
    <row r="3078" spans="1:4" ht="14">
      <c r="A3078" s="16">
        <v>43453</v>
      </c>
      <c r="B3078" s="17">
        <v>3697.73</v>
      </c>
      <c r="C3078" s="18">
        <v>6810689119</v>
      </c>
      <c r="D3078" s="21">
        <f t="shared" si="6"/>
        <v>31472086894</v>
      </c>
    </row>
    <row r="3079" spans="1:4" ht="14">
      <c r="A3079" s="16">
        <v>43454</v>
      </c>
      <c r="B3079" s="17">
        <v>4067.74</v>
      </c>
      <c r="C3079" s="18">
        <v>8927129279</v>
      </c>
      <c r="D3079" s="21">
        <f t="shared" si="6"/>
        <v>34143411184</v>
      </c>
    </row>
    <row r="3080" spans="1:4" ht="14">
      <c r="A3080" s="16">
        <v>43455</v>
      </c>
      <c r="B3080" s="17">
        <v>3839.09</v>
      </c>
      <c r="C3080" s="18">
        <v>7206015706</v>
      </c>
      <c r="D3080" s="21">
        <f t="shared" si="6"/>
        <v>38727168007</v>
      </c>
    </row>
    <row r="3081" spans="1:4" ht="14">
      <c r="A3081" s="16">
        <v>43456</v>
      </c>
      <c r="B3081" s="17">
        <v>3964.95</v>
      </c>
      <c r="C3081" s="18">
        <v>5605823233</v>
      </c>
      <c r="D3081" s="21">
        <f t="shared" si="6"/>
        <v>41560420050</v>
      </c>
    </row>
    <row r="3082" spans="1:4" ht="14">
      <c r="A3082" s="16">
        <v>43457</v>
      </c>
      <c r="B3082" s="17">
        <v>3942.67</v>
      </c>
      <c r="C3082" s="18">
        <v>6151275490</v>
      </c>
      <c r="D3082" s="21">
        <f t="shared" si="6"/>
        <v>43614479722</v>
      </c>
    </row>
    <row r="3083" spans="1:4" ht="14">
      <c r="A3083" s="16">
        <v>43458</v>
      </c>
      <c r="B3083" s="17">
        <v>4040.05</v>
      </c>
      <c r="C3083" s="18">
        <v>7240968501</v>
      </c>
      <c r="D3083" s="21">
        <f t="shared" si="6"/>
        <v>46021506218</v>
      </c>
    </row>
    <row r="3084" spans="1:4" ht="14">
      <c r="A3084" s="16">
        <v>43459</v>
      </c>
      <c r="B3084" s="17">
        <v>3761.58</v>
      </c>
      <c r="C3084" s="18">
        <v>6158207293</v>
      </c>
      <c r="D3084" s="21">
        <f t="shared" si="6"/>
        <v>47853226801</v>
      </c>
    </row>
    <row r="3085" spans="1:4" ht="14">
      <c r="A3085" s="16">
        <v>43460</v>
      </c>
      <c r="B3085" s="17">
        <v>3807.66</v>
      </c>
      <c r="C3085" s="18">
        <v>5326547918</v>
      </c>
      <c r="D3085" s="21">
        <f t="shared" si="6"/>
        <v>48100108621</v>
      </c>
    </row>
    <row r="3086" spans="1:4" ht="14">
      <c r="A3086" s="16">
        <v>43461</v>
      </c>
      <c r="B3086" s="17">
        <v>3585.46</v>
      </c>
      <c r="C3086" s="18">
        <v>5130222366</v>
      </c>
      <c r="D3086" s="21">
        <f t="shared" si="6"/>
        <v>46615967420</v>
      </c>
    </row>
    <row r="3087" spans="1:4" ht="14">
      <c r="A3087" s="16">
        <v>43462</v>
      </c>
      <c r="B3087" s="17">
        <v>3881.05</v>
      </c>
      <c r="C3087" s="18">
        <v>5631554348</v>
      </c>
      <c r="D3087" s="21">
        <f t="shared" si="6"/>
        <v>42819060507</v>
      </c>
    </row>
    <row r="3088" spans="1:4" ht="14">
      <c r="A3088" s="16">
        <v>43463</v>
      </c>
      <c r="B3088" s="17">
        <v>3823.14</v>
      </c>
      <c r="C3088" s="18">
        <v>4991655917</v>
      </c>
      <c r="D3088" s="21">
        <f t="shared" si="6"/>
        <v>41244599149</v>
      </c>
    </row>
    <row r="3089" spans="1:4" ht="14">
      <c r="A3089" s="16">
        <v>43464</v>
      </c>
      <c r="B3089" s="17">
        <v>3825.41</v>
      </c>
      <c r="C3089" s="18">
        <v>4770578575</v>
      </c>
      <c r="D3089" s="21">
        <f t="shared" si="6"/>
        <v>40630431833</v>
      </c>
    </row>
    <row r="3090" spans="1:4" ht="14">
      <c r="A3090" s="16">
        <v>43465</v>
      </c>
      <c r="B3090" s="17">
        <v>3687.2</v>
      </c>
      <c r="C3090" s="18">
        <v>4661840806</v>
      </c>
      <c r="D3090" s="21">
        <f t="shared" si="6"/>
        <v>39249734918</v>
      </c>
    </row>
    <row r="3091" spans="1:4" ht="14">
      <c r="A3091" s="16">
        <v>43466</v>
      </c>
      <c r="B3091" s="17">
        <v>3808.12</v>
      </c>
      <c r="C3091" s="18">
        <v>4324200990</v>
      </c>
      <c r="D3091" s="21">
        <f t="shared" si="6"/>
        <v>36670607223</v>
      </c>
    </row>
    <row r="3092" spans="1:4" ht="14">
      <c r="A3092" s="16">
        <v>43467</v>
      </c>
      <c r="B3092" s="17">
        <v>3898.2</v>
      </c>
      <c r="C3092" s="18">
        <v>5244856836</v>
      </c>
      <c r="D3092" s="21">
        <f t="shared" si="6"/>
        <v>34836600920</v>
      </c>
    </row>
    <row r="3093" spans="1:4" ht="14">
      <c r="A3093" s="16">
        <v>43468</v>
      </c>
      <c r="B3093" s="17">
        <v>3784.39</v>
      </c>
      <c r="C3093" s="18">
        <v>4530215219</v>
      </c>
      <c r="D3093" s="21">
        <f t="shared" si="6"/>
        <v>34754909838</v>
      </c>
    </row>
    <row r="3094" spans="1:4" ht="14">
      <c r="A3094" s="16">
        <v>43469</v>
      </c>
      <c r="B3094" s="17">
        <v>3827.52</v>
      </c>
      <c r="C3094" s="18">
        <v>4847965467</v>
      </c>
      <c r="D3094" s="21">
        <f t="shared" si="6"/>
        <v>34154902691</v>
      </c>
    </row>
    <row r="3095" spans="1:4" ht="14">
      <c r="A3095" s="16">
        <v>43470</v>
      </c>
      <c r="B3095" s="17">
        <v>3798.61</v>
      </c>
      <c r="C3095" s="18">
        <v>5137609824</v>
      </c>
      <c r="D3095" s="21">
        <f t="shared" si="6"/>
        <v>33371313810</v>
      </c>
    </row>
    <row r="3096" spans="1:4" ht="14">
      <c r="A3096" s="16">
        <v>43471</v>
      </c>
      <c r="B3096" s="17">
        <v>4045.99</v>
      </c>
      <c r="C3096" s="18">
        <v>5597027440</v>
      </c>
      <c r="D3096" s="21">
        <f t="shared" si="6"/>
        <v>33517267717</v>
      </c>
    </row>
    <row r="3097" spans="1:4" ht="14">
      <c r="A3097" s="16">
        <v>43472</v>
      </c>
      <c r="B3097" s="17">
        <v>4001.02</v>
      </c>
      <c r="C3097" s="18">
        <v>5228625637</v>
      </c>
      <c r="D3097" s="21">
        <f t="shared" si="6"/>
        <v>34343716582</v>
      </c>
    </row>
    <row r="3098" spans="1:4" ht="14">
      <c r="A3098" s="16">
        <v>43473</v>
      </c>
      <c r="B3098" s="17">
        <v>3992.62</v>
      </c>
      <c r="C3098" s="18">
        <v>5306593305</v>
      </c>
      <c r="D3098" s="21">
        <f t="shared" si="6"/>
        <v>34910501413</v>
      </c>
    </row>
    <row r="3099" spans="1:4" ht="14">
      <c r="A3099" s="16">
        <v>43474</v>
      </c>
      <c r="B3099" s="17">
        <v>4004.26</v>
      </c>
      <c r="C3099" s="18">
        <v>5115905225</v>
      </c>
      <c r="D3099" s="21">
        <f t="shared" si="6"/>
        <v>35892893728</v>
      </c>
    </row>
    <row r="3100" spans="1:4" ht="14">
      <c r="A3100" s="16">
        <v>43475</v>
      </c>
      <c r="B3100" s="17">
        <v>3627.9</v>
      </c>
      <c r="C3100" s="18">
        <v>6874143796</v>
      </c>
      <c r="D3100" s="21">
        <f t="shared" si="6"/>
        <v>35763942117</v>
      </c>
    </row>
    <row r="3101" spans="1:4" ht="14">
      <c r="A3101" s="16">
        <v>43476</v>
      </c>
      <c r="B3101" s="17">
        <v>3624.16</v>
      </c>
      <c r="C3101" s="18">
        <v>5538712865</v>
      </c>
      <c r="D3101" s="21">
        <f t="shared" si="6"/>
        <v>38107870694</v>
      </c>
    </row>
    <row r="3102" spans="1:4" ht="14">
      <c r="A3102" s="16">
        <v>43477</v>
      </c>
      <c r="B3102" s="17">
        <v>3617.02</v>
      </c>
      <c r="C3102" s="18">
        <v>4778170883</v>
      </c>
      <c r="D3102" s="21">
        <f t="shared" si="6"/>
        <v>38798618092</v>
      </c>
    </row>
    <row r="3103" spans="1:4" ht="14">
      <c r="A3103" s="16">
        <v>43478</v>
      </c>
      <c r="B3103" s="17">
        <v>3508.67</v>
      </c>
      <c r="C3103" s="18">
        <v>4681302466</v>
      </c>
      <c r="D3103" s="21">
        <f t="shared" si="6"/>
        <v>38439179151</v>
      </c>
    </row>
    <row r="3104" spans="1:4" ht="14">
      <c r="A3104" s="16">
        <v>43479</v>
      </c>
      <c r="B3104" s="17">
        <v>3666.95</v>
      </c>
      <c r="C3104" s="18">
        <v>5651384490</v>
      </c>
      <c r="D3104" s="21">
        <f t="shared" si="6"/>
        <v>37523454177</v>
      </c>
    </row>
    <row r="3105" spans="1:4" ht="14">
      <c r="A3105" s="16">
        <v>43480</v>
      </c>
      <c r="B3105" s="17">
        <v>3581.29</v>
      </c>
      <c r="C3105" s="18">
        <v>5537192302</v>
      </c>
      <c r="D3105" s="21">
        <f t="shared" si="6"/>
        <v>37946213030</v>
      </c>
    </row>
    <row r="3106" spans="1:4" ht="14">
      <c r="A3106" s="16">
        <v>43481</v>
      </c>
      <c r="B3106" s="17">
        <v>3606.99</v>
      </c>
      <c r="C3106" s="18">
        <v>5394457145</v>
      </c>
      <c r="D3106" s="21">
        <f t="shared" si="6"/>
        <v>38176812027</v>
      </c>
    </row>
    <row r="3107" spans="1:4" ht="14">
      <c r="A3107" s="16">
        <v>43482</v>
      </c>
      <c r="B3107" s="17">
        <v>3640.13</v>
      </c>
      <c r="C3107" s="18">
        <v>5464420383</v>
      </c>
      <c r="D3107" s="21">
        <f t="shared" si="6"/>
        <v>38455363947</v>
      </c>
    </row>
    <row r="3108" spans="1:4" ht="14">
      <c r="A3108" s="16">
        <v>43483</v>
      </c>
      <c r="B3108" s="17">
        <v>3609.43</v>
      </c>
      <c r="C3108" s="18">
        <v>5002961727</v>
      </c>
      <c r="D3108" s="21">
        <f t="shared" si="6"/>
        <v>37045640534</v>
      </c>
    </row>
    <row r="3109" spans="1:4" ht="14">
      <c r="A3109" s="16">
        <v>43484</v>
      </c>
      <c r="B3109" s="17">
        <v>3687.3</v>
      </c>
      <c r="C3109" s="18">
        <v>5955691380</v>
      </c>
      <c r="D3109" s="21">
        <f t="shared" si="6"/>
        <v>36509889396</v>
      </c>
    </row>
    <row r="3110" spans="1:4" ht="14">
      <c r="A3110" s="16">
        <v>43485</v>
      </c>
      <c r="B3110" s="17">
        <v>3538.31</v>
      </c>
      <c r="C3110" s="18">
        <v>5582489560</v>
      </c>
      <c r="D3110" s="21">
        <f t="shared" si="6"/>
        <v>37687409893</v>
      </c>
    </row>
    <row r="3111" spans="1:4" ht="14">
      <c r="A3111" s="16">
        <v>43486</v>
      </c>
      <c r="B3111" s="17">
        <v>3535.62</v>
      </c>
      <c r="C3111" s="18">
        <v>5004347059</v>
      </c>
      <c r="D3111" s="21">
        <f t="shared" si="6"/>
        <v>38588596987</v>
      </c>
    </row>
    <row r="3112" spans="1:4" ht="14">
      <c r="A3112" s="16">
        <v>43487</v>
      </c>
      <c r="B3112" s="17">
        <v>3577.31</v>
      </c>
      <c r="C3112" s="18">
        <v>5313623556</v>
      </c>
      <c r="D3112" s="21">
        <f t="shared" si="6"/>
        <v>37941559556</v>
      </c>
    </row>
    <row r="3113" spans="1:4" ht="14">
      <c r="A3113" s="16">
        <v>43488</v>
      </c>
      <c r="B3113" s="17">
        <v>3551.89</v>
      </c>
      <c r="C3113" s="18">
        <v>5433755649</v>
      </c>
      <c r="D3113" s="21">
        <f t="shared" si="6"/>
        <v>37717990810</v>
      </c>
    </row>
    <row r="3114" spans="1:4" ht="14">
      <c r="A3114" s="16">
        <v>43489</v>
      </c>
      <c r="B3114" s="17">
        <v>3567.59</v>
      </c>
      <c r="C3114" s="18">
        <v>5262869046</v>
      </c>
      <c r="D3114" s="21">
        <f t="shared" si="6"/>
        <v>37757289314</v>
      </c>
    </row>
    <row r="3115" spans="1:4" ht="14">
      <c r="A3115" s="16">
        <v>43490</v>
      </c>
      <c r="B3115" s="17">
        <v>3561.35</v>
      </c>
      <c r="C3115" s="18">
        <v>5265847539</v>
      </c>
      <c r="D3115" s="21">
        <f t="shared" si="6"/>
        <v>37555737977</v>
      </c>
    </row>
    <row r="3116" spans="1:4" ht="14">
      <c r="A3116" s="16">
        <v>43491</v>
      </c>
      <c r="B3116" s="17">
        <v>3557.04</v>
      </c>
      <c r="C3116" s="18">
        <v>5098183235</v>
      </c>
      <c r="D3116" s="21">
        <f t="shared" si="6"/>
        <v>37818623789</v>
      </c>
    </row>
    <row r="3117" spans="1:4" ht="14">
      <c r="A3117" s="16">
        <v>43492</v>
      </c>
      <c r="B3117" s="17">
        <v>3537.61</v>
      </c>
      <c r="C3117" s="18">
        <v>5570752966</v>
      </c>
      <c r="D3117" s="21">
        <f t="shared" si="6"/>
        <v>36961115644</v>
      </c>
    </row>
    <row r="3118" spans="1:4" ht="14">
      <c r="A3118" s="16">
        <v>43493</v>
      </c>
      <c r="B3118" s="17">
        <v>3435.05</v>
      </c>
      <c r="C3118" s="18">
        <v>6908930483</v>
      </c>
      <c r="D3118" s="21">
        <f t="shared" si="6"/>
        <v>36949379050</v>
      </c>
    </row>
    <row r="3119" spans="1:4" ht="14">
      <c r="A3119" s="16">
        <v>43494</v>
      </c>
      <c r="B3119" s="17">
        <v>3395.82</v>
      </c>
      <c r="C3119" s="18">
        <v>5897159493</v>
      </c>
      <c r="D3119" s="21">
        <f t="shared" si="6"/>
        <v>38853962474</v>
      </c>
    </row>
    <row r="3120" spans="1:4" ht="14">
      <c r="A3120" s="16">
        <v>43495</v>
      </c>
      <c r="B3120" s="17">
        <v>3437.9</v>
      </c>
      <c r="C3120" s="18">
        <v>5955112627</v>
      </c>
      <c r="D3120" s="21">
        <f t="shared" si="6"/>
        <v>39437498411</v>
      </c>
    </row>
    <row r="3121" spans="1:4" ht="14">
      <c r="A3121" s="16">
        <v>43496</v>
      </c>
      <c r="B3121" s="17">
        <v>3410.13</v>
      </c>
      <c r="C3121" s="18">
        <v>5831198271</v>
      </c>
      <c r="D3121" s="21">
        <f t="shared" si="6"/>
        <v>39958855389</v>
      </c>
    </row>
    <row r="3122" spans="1:4" ht="14">
      <c r="A3122" s="16">
        <v>43497</v>
      </c>
      <c r="B3122" s="17">
        <v>3445.05</v>
      </c>
      <c r="C3122" s="18">
        <v>5422926707</v>
      </c>
      <c r="D3122" s="21">
        <f t="shared" si="6"/>
        <v>40527184614</v>
      </c>
    </row>
    <row r="3123" spans="1:4" ht="14">
      <c r="A3123" s="16">
        <v>43498</v>
      </c>
      <c r="B3123" s="17">
        <v>3461.94</v>
      </c>
      <c r="C3123" s="18">
        <v>5071623601</v>
      </c>
      <c r="D3123" s="21">
        <f t="shared" si="6"/>
        <v>40684263782</v>
      </c>
    </row>
    <row r="3124" spans="1:4" ht="14">
      <c r="A3124" s="16">
        <v>43499</v>
      </c>
      <c r="B3124" s="17">
        <v>3413.02</v>
      </c>
      <c r="C3124" s="18">
        <v>5043937584</v>
      </c>
      <c r="D3124" s="21">
        <f t="shared" si="6"/>
        <v>40657704148</v>
      </c>
    </row>
    <row r="3125" spans="1:4" ht="14">
      <c r="A3125" s="16">
        <v>43500</v>
      </c>
      <c r="B3125" s="17">
        <v>3411.39</v>
      </c>
      <c r="C3125" s="18">
        <v>5332718886</v>
      </c>
      <c r="D3125" s="21">
        <f t="shared" si="6"/>
        <v>40130888766</v>
      </c>
    </row>
    <row r="3126" spans="1:4" ht="14">
      <c r="A3126" s="16">
        <v>43501</v>
      </c>
      <c r="B3126" s="17">
        <v>3426.47</v>
      </c>
      <c r="C3126" s="18">
        <v>5227549545</v>
      </c>
      <c r="D3126" s="21">
        <f t="shared" si="6"/>
        <v>38554677169</v>
      </c>
    </row>
    <row r="3127" spans="1:4" ht="14">
      <c r="A3127" s="16">
        <v>43502</v>
      </c>
      <c r="B3127" s="17">
        <v>3367.51</v>
      </c>
      <c r="C3127" s="18">
        <v>5482196038</v>
      </c>
      <c r="D3127" s="21">
        <f t="shared" si="6"/>
        <v>37885067221</v>
      </c>
    </row>
    <row r="3128" spans="1:4" ht="14">
      <c r="A3128" s="16">
        <v>43503</v>
      </c>
      <c r="B3128" s="17">
        <v>3358.87</v>
      </c>
      <c r="C3128" s="18">
        <v>5004962683</v>
      </c>
      <c r="D3128" s="21">
        <f t="shared" si="6"/>
        <v>37412150632</v>
      </c>
    </row>
    <row r="3129" spans="1:4" ht="14">
      <c r="A3129" s="16">
        <v>43504</v>
      </c>
      <c r="B3129" s="17">
        <v>3612.48</v>
      </c>
      <c r="C3129" s="18">
        <v>7735623101</v>
      </c>
      <c r="D3129" s="21">
        <f t="shared" si="6"/>
        <v>36585915044</v>
      </c>
    </row>
    <row r="3130" spans="1:4" ht="14">
      <c r="A3130" s="16">
        <v>43505</v>
      </c>
      <c r="B3130" s="17">
        <v>3621.27</v>
      </c>
      <c r="C3130" s="18">
        <v>6158833645</v>
      </c>
      <c r="D3130" s="21">
        <f t="shared" si="6"/>
        <v>38898611438</v>
      </c>
    </row>
    <row r="3131" spans="1:4" ht="14">
      <c r="A3131" s="16">
        <v>43506</v>
      </c>
      <c r="B3131" s="17">
        <v>3642.02</v>
      </c>
      <c r="C3131" s="18">
        <v>6282256903</v>
      </c>
      <c r="D3131" s="21">
        <f t="shared" si="6"/>
        <v>39985821482</v>
      </c>
    </row>
    <row r="3132" spans="1:4" ht="14">
      <c r="A3132" s="16">
        <v>43507</v>
      </c>
      <c r="B3132" s="17">
        <v>3590.62</v>
      </c>
      <c r="C3132" s="18">
        <v>6277056434</v>
      </c>
      <c r="D3132" s="21">
        <f t="shared" si="6"/>
        <v>41224140801</v>
      </c>
    </row>
    <row r="3133" spans="1:4" ht="14">
      <c r="A3133" s="16">
        <v>43508</v>
      </c>
      <c r="B3133" s="17">
        <v>3587.9</v>
      </c>
      <c r="C3133" s="18">
        <v>6480384532</v>
      </c>
      <c r="D3133" s="21">
        <f t="shared" si="6"/>
        <v>42168478349</v>
      </c>
    </row>
    <row r="3134" spans="1:4" ht="14">
      <c r="A3134" s="16">
        <v>43509</v>
      </c>
      <c r="B3134" s="17">
        <v>3576.09</v>
      </c>
      <c r="C3134" s="18">
        <v>6438903823</v>
      </c>
      <c r="D3134" s="21">
        <f t="shared" si="6"/>
        <v>43421313336</v>
      </c>
    </row>
    <row r="3135" spans="1:4" ht="14">
      <c r="A3135" s="16">
        <v>43510</v>
      </c>
      <c r="B3135" s="17">
        <v>3561.92</v>
      </c>
      <c r="C3135" s="18">
        <v>6271044418</v>
      </c>
      <c r="D3135" s="21">
        <f t="shared" si="6"/>
        <v>44378021121</v>
      </c>
    </row>
    <row r="3136" spans="1:4" ht="14">
      <c r="A3136" s="16">
        <v>43511</v>
      </c>
      <c r="B3136" s="17">
        <v>3565.01</v>
      </c>
      <c r="C3136" s="18">
        <v>6091952231</v>
      </c>
      <c r="D3136" s="21">
        <f t="shared" si="6"/>
        <v>45644102856</v>
      </c>
    </row>
    <row r="3137" spans="1:4" ht="14">
      <c r="A3137" s="16">
        <v>43512</v>
      </c>
      <c r="B3137" s="17">
        <v>3584.74</v>
      </c>
      <c r="C3137" s="18">
        <v>5934744052</v>
      </c>
      <c r="D3137" s="21">
        <f t="shared" si="6"/>
        <v>44000431986</v>
      </c>
    </row>
    <row r="3138" spans="1:4" ht="14">
      <c r="A3138" s="16">
        <v>43513</v>
      </c>
      <c r="B3138" s="17">
        <v>3622.76</v>
      </c>
      <c r="C3138" s="18">
        <v>7039512503</v>
      </c>
      <c r="D3138" s="21">
        <f t="shared" si="6"/>
        <v>43776342393</v>
      </c>
    </row>
    <row r="3139" spans="1:4" ht="14">
      <c r="A3139" s="16">
        <v>43514</v>
      </c>
      <c r="B3139" s="17">
        <v>3866.13</v>
      </c>
      <c r="C3139" s="18">
        <v>9908216640</v>
      </c>
      <c r="D3139" s="21">
        <f t="shared" si="6"/>
        <v>44533597993</v>
      </c>
    </row>
    <row r="3140" spans="1:4" ht="14">
      <c r="A3140" s="16">
        <v>43515</v>
      </c>
      <c r="B3140" s="17">
        <v>3895.44</v>
      </c>
      <c r="C3140" s="18">
        <v>9933626655</v>
      </c>
      <c r="D3140" s="21">
        <f t="shared" si="6"/>
        <v>48164758199</v>
      </c>
    </row>
    <row r="3141" spans="1:4" ht="14">
      <c r="A3141" s="16">
        <v>43516</v>
      </c>
      <c r="B3141" s="17">
        <v>3931.61</v>
      </c>
      <c r="C3141" s="18">
        <v>8693373948</v>
      </c>
      <c r="D3141" s="21">
        <f t="shared" si="6"/>
        <v>51618000322</v>
      </c>
    </row>
    <row r="3142" spans="1:4" ht="14">
      <c r="A3142" s="16">
        <v>43517</v>
      </c>
      <c r="B3142" s="17">
        <v>3892.26</v>
      </c>
      <c r="C3142" s="18">
        <v>7775128102</v>
      </c>
      <c r="D3142" s="21">
        <f t="shared" si="6"/>
        <v>53872470447</v>
      </c>
    </row>
    <row r="3143" spans="1:4" ht="14">
      <c r="A3143" s="16">
        <v>43518</v>
      </c>
      <c r="B3143" s="17">
        <v>3948.3</v>
      </c>
      <c r="C3143" s="18">
        <v>7826525254</v>
      </c>
      <c r="D3143" s="21">
        <f t="shared" si="6"/>
        <v>55376554131</v>
      </c>
    </row>
    <row r="3144" spans="1:4" ht="14">
      <c r="A3144" s="16">
        <v>43519</v>
      </c>
      <c r="B3144" s="17">
        <v>4110.1499999999996</v>
      </c>
      <c r="C3144" s="18">
        <v>8922258316</v>
      </c>
      <c r="D3144" s="21">
        <f t="shared" si="6"/>
        <v>57111127154</v>
      </c>
    </row>
    <row r="3145" spans="1:4" ht="14">
      <c r="A3145" s="16">
        <v>43520</v>
      </c>
      <c r="B3145" s="17">
        <v>3754.18</v>
      </c>
      <c r="C3145" s="18">
        <v>10794227451</v>
      </c>
      <c r="D3145" s="21">
        <f t="shared" si="6"/>
        <v>60098641418</v>
      </c>
    </row>
    <row r="3146" spans="1:4" ht="14">
      <c r="A3146" s="16">
        <v>43521</v>
      </c>
      <c r="B3146" s="17">
        <v>3822.02</v>
      </c>
      <c r="C3146" s="18">
        <v>9318796067</v>
      </c>
      <c r="D3146" s="21">
        <f t="shared" si="6"/>
        <v>63853356366</v>
      </c>
    </row>
    <row r="3147" spans="1:4" ht="14">
      <c r="A3147" s="16">
        <v>43522</v>
      </c>
      <c r="B3147" s="17">
        <v>3796.18</v>
      </c>
      <c r="C3147" s="18">
        <v>7931218996</v>
      </c>
      <c r="D3147" s="21">
        <f t="shared" si="6"/>
        <v>63263935793</v>
      </c>
    </row>
    <row r="3148" spans="1:4" ht="14">
      <c r="A3148" s="16">
        <v>43523</v>
      </c>
      <c r="B3148" s="17">
        <v>3799.38</v>
      </c>
      <c r="C3148" s="18">
        <v>8301309684</v>
      </c>
      <c r="D3148" s="21">
        <f t="shared" si="6"/>
        <v>61261528134</v>
      </c>
    </row>
    <row r="3149" spans="1:4" ht="14">
      <c r="A3149" s="16">
        <v>43524</v>
      </c>
      <c r="B3149" s="17">
        <v>3792.95</v>
      </c>
      <c r="C3149" s="18">
        <v>8399767798</v>
      </c>
      <c r="D3149" s="21">
        <f t="shared" si="6"/>
        <v>60869463870</v>
      </c>
    </row>
    <row r="3150" spans="1:4" ht="14">
      <c r="A3150" s="16">
        <v>43525</v>
      </c>
      <c r="B3150" s="17">
        <v>3810.63</v>
      </c>
      <c r="C3150" s="18">
        <v>7661247975</v>
      </c>
      <c r="D3150" s="21">
        <f t="shared" si="6"/>
        <v>61494103566</v>
      </c>
    </row>
    <row r="3151" spans="1:4" ht="14">
      <c r="A3151" s="16">
        <v>43526</v>
      </c>
      <c r="B3151" s="17">
        <v>3809.64</v>
      </c>
      <c r="C3151" s="18">
        <v>7578786076</v>
      </c>
      <c r="D3151" s="21">
        <f t="shared" si="6"/>
        <v>61328826287</v>
      </c>
    </row>
    <row r="3152" spans="1:4" ht="14">
      <c r="A3152" s="16">
        <v>43527</v>
      </c>
      <c r="B3152" s="17">
        <v>3782.38</v>
      </c>
      <c r="C3152" s="18">
        <v>7253558152</v>
      </c>
      <c r="D3152" s="21">
        <f t="shared" si="6"/>
        <v>59985354047</v>
      </c>
    </row>
    <row r="3153" spans="1:4" ht="14">
      <c r="A3153" s="16">
        <v>43528</v>
      </c>
      <c r="B3153" s="17">
        <v>3698.16</v>
      </c>
      <c r="C3153" s="18">
        <v>9029175788</v>
      </c>
      <c r="D3153" s="21">
        <f t="shared" si="6"/>
        <v>56444684748</v>
      </c>
    </row>
    <row r="3154" spans="1:4" ht="14">
      <c r="A3154" s="16">
        <v>43529</v>
      </c>
      <c r="B3154" s="17">
        <v>3840.13</v>
      </c>
      <c r="C3154" s="18">
        <v>10174126415</v>
      </c>
      <c r="D3154" s="21">
        <f t="shared" si="6"/>
        <v>56155064469</v>
      </c>
    </row>
    <row r="3155" spans="1:4" ht="14">
      <c r="A3155" s="16">
        <v>43530</v>
      </c>
      <c r="B3155" s="17">
        <v>3852</v>
      </c>
      <c r="C3155" s="18">
        <v>9175291529</v>
      </c>
      <c r="D3155" s="21">
        <f t="shared" si="6"/>
        <v>58397971888</v>
      </c>
    </row>
    <row r="3156" spans="1:4" ht="14">
      <c r="A3156" s="16">
        <v>43531</v>
      </c>
      <c r="B3156" s="17">
        <v>3855.92</v>
      </c>
      <c r="C3156" s="18">
        <v>9584165519</v>
      </c>
      <c r="D3156" s="21">
        <f t="shared" si="6"/>
        <v>59271953733</v>
      </c>
    </row>
    <row r="3157" spans="1:4" ht="14">
      <c r="A3157" s="16">
        <v>43532</v>
      </c>
      <c r="B3157" s="17">
        <v>3839.23</v>
      </c>
      <c r="C3157" s="18">
        <v>10638638944</v>
      </c>
      <c r="D3157" s="21">
        <f t="shared" si="6"/>
        <v>60456351454</v>
      </c>
    </row>
    <row r="3158" spans="1:4" ht="14">
      <c r="A3158" s="16">
        <v>43533</v>
      </c>
      <c r="B3158" s="17">
        <v>3910.36</v>
      </c>
      <c r="C3158" s="18">
        <v>10796103518</v>
      </c>
      <c r="D3158" s="21">
        <f t="shared" si="6"/>
        <v>63433742423</v>
      </c>
    </row>
    <row r="3159" spans="1:4" ht="14">
      <c r="A3159" s="16">
        <v>43534</v>
      </c>
      <c r="B3159" s="17">
        <v>3903.91</v>
      </c>
      <c r="C3159" s="18">
        <v>9713267607</v>
      </c>
      <c r="D3159" s="21">
        <f t="shared" si="6"/>
        <v>66651059865</v>
      </c>
    </row>
    <row r="3160" spans="1:4" ht="14">
      <c r="A3160" s="16">
        <v>43535</v>
      </c>
      <c r="B3160" s="17">
        <v>3851.57</v>
      </c>
      <c r="C3160" s="18">
        <v>10125901903</v>
      </c>
      <c r="D3160" s="21">
        <f t="shared" si="6"/>
        <v>69110769320</v>
      </c>
    </row>
    <row r="3161" spans="1:4" ht="14">
      <c r="A3161" s="16">
        <v>43536</v>
      </c>
      <c r="B3161" s="17">
        <v>3858.91</v>
      </c>
      <c r="C3161" s="18">
        <v>9809887079</v>
      </c>
      <c r="D3161" s="21">
        <f t="shared" si="6"/>
        <v>70207495435</v>
      </c>
    </row>
    <row r="3162" spans="1:4" ht="14">
      <c r="A3162" s="16">
        <v>43537</v>
      </c>
      <c r="B3162" s="17">
        <v>3851.96</v>
      </c>
      <c r="C3162" s="18">
        <v>9469184841</v>
      </c>
      <c r="D3162" s="21">
        <f t="shared" si="6"/>
        <v>69843256099</v>
      </c>
    </row>
    <row r="3163" spans="1:4" ht="14">
      <c r="A3163" s="16">
        <v>43538</v>
      </c>
      <c r="B3163" s="17">
        <v>3853.78</v>
      </c>
      <c r="C3163" s="18">
        <v>10480789570</v>
      </c>
      <c r="D3163" s="21">
        <f t="shared" si="6"/>
        <v>70137149411</v>
      </c>
    </row>
    <row r="3164" spans="1:4" ht="14">
      <c r="A3164" s="16">
        <v>43539</v>
      </c>
      <c r="B3164" s="17">
        <v>3901.91</v>
      </c>
      <c r="C3164" s="18">
        <v>9394210605</v>
      </c>
      <c r="D3164" s="21">
        <f t="shared" si="6"/>
        <v>71033773462</v>
      </c>
    </row>
    <row r="3165" spans="1:4" ht="14">
      <c r="A3165" s="16">
        <v>43540</v>
      </c>
      <c r="B3165" s="17">
        <v>3989.8</v>
      </c>
      <c r="C3165" s="18">
        <v>9856166973</v>
      </c>
      <c r="D3165" s="21">
        <f t="shared" si="6"/>
        <v>69789345123</v>
      </c>
    </row>
    <row r="3166" spans="1:4" ht="14">
      <c r="A3166" s="16">
        <v>43541</v>
      </c>
      <c r="B3166" s="17">
        <v>3967.14</v>
      </c>
      <c r="C3166" s="18">
        <v>8221625400</v>
      </c>
      <c r="D3166" s="21">
        <f t="shared" si="6"/>
        <v>68849408578</v>
      </c>
    </row>
    <row r="3167" spans="1:4" ht="14">
      <c r="A3167" s="16">
        <v>43542</v>
      </c>
      <c r="B3167" s="17">
        <v>3969.44</v>
      </c>
      <c r="C3167" s="18">
        <v>9646954186</v>
      </c>
      <c r="D3167" s="21">
        <f t="shared" si="6"/>
        <v>67357766371</v>
      </c>
    </row>
    <row r="3168" spans="1:4" ht="14">
      <c r="A3168" s="16">
        <v>43543</v>
      </c>
      <c r="B3168" s="17">
        <v>3996.17</v>
      </c>
      <c r="C3168" s="18">
        <v>9344919956</v>
      </c>
      <c r="D3168" s="21">
        <f t="shared" si="6"/>
        <v>66878818654</v>
      </c>
    </row>
    <row r="3169" spans="1:4" ht="14">
      <c r="A3169" s="16">
        <v>43544</v>
      </c>
      <c r="B3169" s="17">
        <v>4030.66</v>
      </c>
      <c r="C3169" s="18">
        <v>10175916388</v>
      </c>
      <c r="D3169" s="21">
        <f t="shared" si="6"/>
        <v>66413851531</v>
      </c>
    </row>
    <row r="3170" spans="1:4" ht="14">
      <c r="A3170" s="16">
        <v>43545</v>
      </c>
      <c r="B3170" s="17">
        <v>3976.27</v>
      </c>
      <c r="C3170" s="18">
        <v>10831212662</v>
      </c>
      <c r="D3170" s="21">
        <f t="shared" si="6"/>
        <v>67120583078</v>
      </c>
    </row>
    <row r="3171" spans="1:4" ht="14">
      <c r="A3171" s="16">
        <v>43546</v>
      </c>
      <c r="B3171" s="17">
        <v>3983.89</v>
      </c>
      <c r="C3171" s="18">
        <v>9252935969</v>
      </c>
      <c r="D3171" s="21">
        <f t="shared" si="6"/>
        <v>67471006170</v>
      </c>
    </row>
    <row r="3172" spans="1:4" ht="14">
      <c r="A3172" s="16">
        <v>43547</v>
      </c>
      <c r="B3172" s="17">
        <v>3981.78</v>
      </c>
      <c r="C3172" s="18">
        <v>9578850549</v>
      </c>
      <c r="D3172" s="21">
        <f t="shared" si="6"/>
        <v>67329731534</v>
      </c>
    </row>
    <row r="3173" spans="1:4" ht="14">
      <c r="A3173" s="16">
        <v>43548</v>
      </c>
      <c r="B3173" s="17">
        <v>3970.67</v>
      </c>
      <c r="C3173" s="18">
        <v>9144851065</v>
      </c>
      <c r="D3173" s="21">
        <f t="shared" si="6"/>
        <v>67052415110</v>
      </c>
    </row>
    <row r="3174" spans="1:4" ht="14">
      <c r="A3174" s="16">
        <v>43549</v>
      </c>
      <c r="B3174" s="17">
        <v>3908.24</v>
      </c>
      <c r="C3174" s="18">
        <v>10359818883</v>
      </c>
      <c r="D3174" s="21">
        <f t="shared" si="6"/>
        <v>67975640775</v>
      </c>
    </row>
    <row r="3175" spans="1:4" ht="14">
      <c r="A3175" s="16">
        <v>43550</v>
      </c>
      <c r="B3175" s="17">
        <v>3917.76</v>
      </c>
      <c r="C3175" s="18">
        <v>10707678815</v>
      </c>
      <c r="D3175" s="21">
        <f t="shared" si="6"/>
        <v>68688505472</v>
      </c>
    </row>
    <row r="3176" spans="1:4" ht="14">
      <c r="A3176" s="16">
        <v>43551</v>
      </c>
      <c r="B3176" s="17">
        <v>4027.01</v>
      </c>
      <c r="C3176" s="18">
        <v>10897131934</v>
      </c>
      <c r="D3176" s="21">
        <f t="shared" si="6"/>
        <v>70051264331</v>
      </c>
    </row>
    <row r="3177" spans="1:4" ht="14">
      <c r="A3177" s="16">
        <v>43552</v>
      </c>
      <c r="B3177" s="17">
        <v>4010.94</v>
      </c>
      <c r="C3177" s="18">
        <v>9353915899</v>
      </c>
      <c r="D3177" s="21">
        <f t="shared" si="6"/>
        <v>70772479877</v>
      </c>
    </row>
    <row r="3178" spans="1:4" ht="14">
      <c r="A3178" s="16">
        <v>43553</v>
      </c>
      <c r="B3178" s="17">
        <v>4089.46</v>
      </c>
      <c r="C3178" s="18">
        <v>10918665557</v>
      </c>
      <c r="D3178" s="21">
        <f t="shared" si="6"/>
        <v>69295183114</v>
      </c>
    </row>
    <row r="3179" spans="1:4" ht="14">
      <c r="A3179" s="16">
        <v>43554</v>
      </c>
      <c r="B3179" s="17">
        <v>4091.89</v>
      </c>
      <c r="C3179" s="18">
        <v>9732688060</v>
      </c>
      <c r="D3179" s="21">
        <f t="shared" si="6"/>
        <v>70960912702</v>
      </c>
    </row>
    <row r="3180" spans="1:4" ht="14">
      <c r="A3180" s="16">
        <v>43555</v>
      </c>
      <c r="B3180" s="17">
        <v>4094.32</v>
      </c>
      <c r="C3180" s="18">
        <v>9045122443</v>
      </c>
      <c r="D3180" s="21">
        <f t="shared" si="6"/>
        <v>71114750213</v>
      </c>
    </row>
    <row r="3181" spans="1:4" ht="14">
      <c r="A3181" s="16">
        <v>43556</v>
      </c>
      <c r="B3181" s="17">
        <v>4138.42</v>
      </c>
      <c r="C3181" s="18">
        <v>10157794171</v>
      </c>
      <c r="D3181" s="21">
        <f t="shared" si="6"/>
        <v>71015021591</v>
      </c>
    </row>
    <row r="3182" spans="1:4" ht="14">
      <c r="A3182" s="16">
        <v>43557</v>
      </c>
      <c r="B3182" s="17">
        <v>4903.72</v>
      </c>
      <c r="C3182" s="18">
        <v>21315047816</v>
      </c>
      <c r="D3182" s="21">
        <f t="shared" si="6"/>
        <v>70812996879</v>
      </c>
    </row>
    <row r="3183" spans="1:4" ht="14">
      <c r="A3183" s="16">
        <v>43558</v>
      </c>
      <c r="B3183" s="17">
        <v>4960.2299999999996</v>
      </c>
      <c r="C3183" s="18">
        <v>22899891582</v>
      </c>
      <c r="D3183" s="21">
        <f t="shared" si="6"/>
        <v>81420365880</v>
      </c>
    </row>
    <row r="3184" spans="1:4" ht="14">
      <c r="A3184" s="16">
        <v>43559</v>
      </c>
      <c r="B3184" s="17">
        <v>4911.2700000000004</v>
      </c>
      <c r="C3184" s="18">
        <v>18251810240</v>
      </c>
      <c r="D3184" s="21">
        <f t="shared" si="6"/>
        <v>93423125528</v>
      </c>
    </row>
    <row r="3185" spans="1:4" ht="14">
      <c r="A3185" s="16">
        <v>43560</v>
      </c>
      <c r="B3185" s="17">
        <v>5033.2299999999996</v>
      </c>
      <c r="C3185" s="18">
        <v>16837325387</v>
      </c>
      <c r="D3185" s="21">
        <f t="shared" si="6"/>
        <v>102321019869</v>
      </c>
    </row>
    <row r="3186" spans="1:4" ht="14">
      <c r="A3186" s="16">
        <v>43561</v>
      </c>
      <c r="B3186" s="17">
        <v>5044.3599999999997</v>
      </c>
      <c r="C3186" s="18">
        <v>16929795194</v>
      </c>
      <c r="D3186" s="21">
        <f t="shared" si="6"/>
        <v>108239679699</v>
      </c>
    </row>
    <row r="3187" spans="1:4" ht="14">
      <c r="A3187" s="16">
        <v>43562</v>
      </c>
      <c r="B3187" s="17">
        <v>5189.1099999999997</v>
      </c>
      <c r="C3187" s="18">
        <v>16655416140</v>
      </c>
      <c r="D3187" s="21">
        <f t="shared" si="6"/>
        <v>115436786833</v>
      </c>
    </row>
    <row r="3188" spans="1:4" ht="14">
      <c r="A3188" s="16">
        <v>43563</v>
      </c>
      <c r="B3188" s="17">
        <v>5283.42</v>
      </c>
      <c r="C3188" s="18">
        <v>17154113634</v>
      </c>
      <c r="D3188" s="21">
        <f t="shared" si="6"/>
        <v>123047080530</v>
      </c>
    </row>
    <row r="3189" spans="1:4" ht="14">
      <c r="A3189" s="16">
        <v>43564</v>
      </c>
      <c r="B3189" s="17">
        <v>5195.58</v>
      </c>
      <c r="C3189" s="18">
        <v>14722104361</v>
      </c>
      <c r="D3189" s="21">
        <f t="shared" si="6"/>
        <v>130043399993</v>
      </c>
    </row>
    <row r="3190" spans="1:4" ht="14">
      <c r="A3190" s="16">
        <v>43565</v>
      </c>
      <c r="B3190" s="17">
        <v>5311.74</v>
      </c>
      <c r="C3190" s="18">
        <v>15504590933</v>
      </c>
      <c r="D3190" s="21">
        <f t="shared" si="6"/>
        <v>123450456538</v>
      </c>
    </row>
    <row r="3191" spans="1:4" ht="14">
      <c r="A3191" s="16">
        <v>43566</v>
      </c>
      <c r="B3191" s="17">
        <v>5050.67</v>
      </c>
      <c r="C3191" s="18">
        <v>16555616019</v>
      </c>
      <c r="D3191" s="21">
        <f t="shared" si="6"/>
        <v>116055155889</v>
      </c>
    </row>
    <row r="3192" spans="1:4" ht="14">
      <c r="A3192" s="16">
        <v>43567</v>
      </c>
      <c r="B3192" s="17">
        <v>5082.8599999999997</v>
      </c>
      <c r="C3192" s="18">
        <v>13675206312</v>
      </c>
      <c r="D3192" s="21">
        <f t="shared" si="6"/>
        <v>114358961668</v>
      </c>
    </row>
    <row r="3193" spans="1:4" ht="14">
      <c r="A3193" s="16">
        <v>43568</v>
      </c>
      <c r="B3193" s="17">
        <v>5074.79</v>
      </c>
      <c r="C3193" s="18">
        <v>10823289598</v>
      </c>
      <c r="D3193" s="21">
        <f t="shared" si="6"/>
        <v>111196842593</v>
      </c>
    </row>
    <row r="3194" spans="1:4" ht="14">
      <c r="A3194" s="16">
        <v>43569</v>
      </c>
      <c r="B3194" s="17">
        <v>5156.8</v>
      </c>
      <c r="C3194" s="18">
        <v>10391952498</v>
      </c>
      <c r="D3194" s="21">
        <f t="shared" si="6"/>
        <v>105090336997</v>
      </c>
    </row>
    <row r="3195" spans="1:4" ht="14">
      <c r="A3195" s="16">
        <v>43570</v>
      </c>
      <c r="B3195" s="17">
        <v>5042.8999999999996</v>
      </c>
      <c r="C3195" s="18">
        <v>12290155061</v>
      </c>
      <c r="D3195" s="21">
        <f t="shared" si="6"/>
        <v>98826873355</v>
      </c>
    </row>
    <row r="3196" spans="1:4" ht="14">
      <c r="A3196" s="16">
        <v>43571</v>
      </c>
      <c r="B3196" s="17">
        <v>5205.96</v>
      </c>
      <c r="C3196" s="18">
        <v>11618660197</v>
      </c>
      <c r="D3196" s="21">
        <f t="shared" si="6"/>
        <v>93962914782</v>
      </c>
    </row>
    <row r="3197" spans="1:4" ht="14">
      <c r="A3197" s="16">
        <v>43572</v>
      </c>
      <c r="B3197" s="17">
        <v>5226.3500000000004</v>
      </c>
      <c r="C3197" s="18">
        <v>12438480677</v>
      </c>
      <c r="D3197" s="21">
        <f t="shared" si="6"/>
        <v>90859470618</v>
      </c>
    </row>
    <row r="3198" spans="1:4" ht="14">
      <c r="A3198" s="16">
        <v>43573</v>
      </c>
      <c r="B3198" s="17">
        <v>5278.5</v>
      </c>
      <c r="C3198" s="18">
        <v>13256489918</v>
      </c>
      <c r="D3198" s="21">
        <f t="shared" si="6"/>
        <v>87793360362</v>
      </c>
    </row>
    <row r="3199" spans="1:4" ht="14">
      <c r="A3199" s="16">
        <v>43574</v>
      </c>
      <c r="B3199" s="17">
        <v>5289.95</v>
      </c>
      <c r="C3199" s="18">
        <v>13780238655</v>
      </c>
      <c r="D3199" s="21">
        <f t="shared" si="6"/>
        <v>84494234261</v>
      </c>
    </row>
    <row r="3200" spans="1:4" ht="14">
      <c r="A3200" s="16">
        <v>43575</v>
      </c>
      <c r="B3200" s="17">
        <v>5313.97</v>
      </c>
      <c r="C3200" s="18">
        <v>13169647522</v>
      </c>
      <c r="D3200" s="21">
        <f t="shared" si="6"/>
        <v>84599266604</v>
      </c>
    </row>
    <row r="3201" spans="1:4" ht="14">
      <c r="A3201" s="16">
        <v>43576</v>
      </c>
      <c r="B3201" s="17">
        <v>5295.73</v>
      </c>
      <c r="C3201" s="18">
        <v>13731844223</v>
      </c>
      <c r="D3201" s="21">
        <f t="shared" si="6"/>
        <v>86945624528</v>
      </c>
    </row>
    <row r="3202" spans="1:4" ht="14">
      <c r="A3202" s="16">
        <v>43577</v>
      </c>
      <c r="B3202" s="17">
        <v>5383.8</v>
      </c>
      <c r="C3202" s="18">
        <v>14601631648</v>
      </c>
      <c r="D3202" s="21">
        <f t="shared" si="6"/>
        <v>90285516253</v>
      </c>
    </row>
    <row r="3203" spans="1:4" ht="14">
      <c r="A3203" s="16">
        <v>43578</v>
      </c>
      <c r="B3203" s="17">
        <v>5544.86</v>
      </c>
      <c r="C3203" s="18">
        <v>15867308108</v>
      </c>
      <c r="D3203" s="21">
        <f t="shared" si="6"/>
        <v>92596992840</v>
      </c>
    </row>
    <row r="3204" spans="1:4" ht="14">
      <c r="A3204" s="16">
        <v>43579</v>
      </c>
      <c r="B3204" s="17">
        <v>5431.95</v>
      </c>
      <c r="C3204" s="18">
        <v>17048033399</v>
      </c>
      <c r="D3204" s="21">
        <f t="shared" si="6"/>
        <v>96845640751</v>
      </c>
    </row>
    <row r="3205" spans="1:4" ht="14">
      <c r="A3205" s="16">
        <v>43580</v>
      </c>
      <c r="B3205" s="17">
        <v>5127.67</v>
      </c>
      <c r="C3205" s="18">
        <v>15330283408</v>
      </c>
      <c r="D3205" s="21">
        <f t="shared" si="6"/>
        <v>101455193473</v>
      </c>
    </row>
    <row r="3206" spans="1:4" ht="14">
      <c r="A3206" s="16">
        <v>43581</v>
      </c>
      <c r="B3206" s="17">
        <v>5150.16</v>
      </c>
      <c r="C3206" s="18">
        <v>16812108040</v>
      </c>
      <c r="D3206" s="21">
        <f t="shared" si="6"/>
        <v>103528986963</v>
      </c>
    </row>
    <row r="3207" spans="1:4" ht="14">
      <c r="A3207" s="16">
        <v>43582</v>
      </c>
      <c r="B3207" s="17">
        <v>5181.8100000000004</v>
      </c>
      <c r="C3207" s="18">
        <v>13111274675</v>
      </c>
      <c r="D3207" s="21">
        <f t="shared" si="6"/>
        <v>106560856348</v>
      </c>
    </row>
    <row r="3208" spans="1:4" ht="14">
      <c r="A3208" s="16">
        <v>43583</v>
      </c>
      <c r="B3208" s="17">
        <v>5148.67</v>
      </c>
      <c r="C3208" s="18">
        <v>12819992056</v>
      </c>
      <c r="D3208" s="21">
        <f t="shared" si="6"/>
        <v>106502483501</v>
      </c>
    </row>
    <row r="3209" spans="1:4" ht="14">
      <c r="A3209" s="16">
        <v>43584</v>
      </c>
      <c r="B3209" s="17">
        <v>5148.8</v>
      </c>
      <c r="C3209" s="18">
        <v>13735490672</v>
      </c>
      <c r="D3209" s="21">
        <f t="shared" si="6"/>
        <v>105590631334</v>
      </c>
    </row>
    <row r="3210" spans="1:4" ht="14">
      <c r="A3210" s="16">
        <v>43585</v>
      </c>
      <c r="B3210" s="17">
        <v>5266.62</v>
      </c>
      <c r="C3210" s="18">
        <v>13878964574</v>
      </c>
      <c r="D3210" s="21">
        <f t="shared" si="6"/>
        <v>104724490358</v>
      </c>
    </row>
    <row r="3211" spans="1:4" ht="14">
      <c r="A3211" s="16">
        <v>43586</v>
      </c>
      <c r="B3211" s="17">
        <v>5315.18</v>
      </c>
      <c r="C3211" s="18">
        <v>13679528236</v>
      </c>
      <c r="D3211" s="21">
        <f t="shared" si="6"/>
        <v>102736146824</v>
      </c>
    </row>
    <row r="3212" spans="1:4" ht="14">
      <c r="A3212" s="16">
        <v>43587</v>
      </c>
      <c r="B3212" s="17">
        <v>5393.13</v>
      </c>
      <c r="C3212" s="18">
        <v>14644460907</v>
      </c>
      <c r="D3212" s="21">
        <f t="shared" si="6"/>
        <v>99367641661</v>
      </c>
    </row>
    <row r="3213" spans="1:4" ht="14">
      <c r="A3213" s="16">
        <v>43588</v>
      </c>
      <c r="B3213" s="17">
        <v>5658.43</v>
      </c>
      <c r="C3213" s="18">
        <v>18720780006</v>
      </c>
      <c r="D3213" s="21">
        <f t="shared" si="6"/>
        <v>98681819160</v>
      </c>
    </row>
    <row r="3214" spans="1:4" ht="14">
      <c r="A3214" s="16">
        <v>43589</v>
      </c>
      <c r="B3214" s="17">
        <v>5774.71</v>
      </c>
      <c r="C3214" s="18">
        <v>17567780766</v>
      </c>
      <c r="D3214" s="21">
        <f t="shared" si="6"/>
        <v>100590491126</v>
      </c>
    </row>
    <row r="3215" spans="1:4" ht="14">
      <c r="A3215" s="16">
        <v>43590</v>
      </c>
      <c r="B3215" s="17">
        <v>5728.35</v>
      </c>
      <c r="C3215" s="18">
        <v>14808830723</v>
      </c>
      <c r="D3215" s="21">
        <f t="shared" si="6"/>
        <v>105046997217</v>
      </c>
    </row>
    <row r="3216" spans="1:4" ht="14">
      <c r="A3216" s="16">
        <v>43591</v>
      </c>
      <c r="B3216" s="17">
        <v>5691.69</v>
      </c>
      <c r="C3216" s="18">
        <v>15737171804</v>
      </c>
      <c r="D3216" s="21">
        <f t="shared" si="6"/>
        <v>107035835884</v>
      </c>
    </row>
    <row r="3217" spans="1:4" ht="14">
      <c r="A3217" s="16">
        <v>43592</v>
      </c>
      <c r="B3217" s="17">
        <v>5825.74</v>
      </c>
      <c r="C3217" s="18">
        <v>18026409033</v>
      </c>
      <c r="D3217" s="21">
        <f t="shared" si="6"/>
        <v>109037517016</v>
      </c>
    </row>
    <row r="3218" spans="1:4" ht="14">
      <c r="A3218" s="16">
        <v>43593</v>
      </c>
      <c r="B3218" s="17">
        <v>5931.8</v>
      </c>
      <c r="C3218" s="18">
        <v>15320605300</v>
      </c>
      <c r="D3218" s="21">
        <f t="shared" si="6"/>
        <v>113184961475</v>
      </c>
    </row>
    <row r="3219" spans="1:4" ht="14">
      <c r="A3219" s="16">
        <v>43594</v>
      </c>
      <c r="B3219" s="17">
        <v>6150.14</v>
      </c>
      <c r="C3219" s="18">
        <v>16784645411</v>
      </c>
      <c r="D3219" s="21">
        <f t="shared" si="6"/>
        <v>114826038539</v>
      </c>
    </row>
    <row r="3220" spans="1:4" ht="14">
      <c r="A3220" s="16">
        <v>43595</v>
      </c>
      <c r="B3220" s="17">
        <v>6357.46</v>
      </c>
      <c r="C3220" s="18">
        <v>19419875368</v>
      </c>
      <c r="D3220" s="21">
        <f t="shared" si="6"/>
        <v>116966223043</v>
      </c>
    </row>
    <row r="3221" spans="1:4" ht="14">
      <c r="A3221" s="16">
        <v>43596</v>
      </c>
      <c r="B3221" s="17">
        <v>7325.08</v>
      </c>
      <c r="C3221" s="18">
        <v>28867562329</v>
      </c>
      <c r="D3221" s="21">
        <f t="shared" si="6"/>
        <v>117665318405</v>
      </c>
    </row>
    <row r="3222" spans="1:4" ht="14">
      <c r="A3222" s="16">
        <v>43597</v>
      </c>
      <c r="B3222" s="17">
        <v>6942.62</v>
      </c>
      <c r="C3222" s="18">
        <v>27773333680</v>
      </c>
      <c r="D3222" s="21">
        <f t="shared" si="6"/>
        <v>128965099968</v>
      </c>
    </row>
    <row r="3223" spans="1:4" ht="14">
      <c r="A3223" s="16">
        <v>43598</v>
      </c>
      <c r="B3223" s="17">
        <v>7798.91</v>
      </c>
      <c r="C3223" s="18">
        <v>28677672181</v>
      </c>
      <c r="D3223" s="21">
        <f t="shared" si="6"/>
        <v>141929602925</v>
      </c>
    </row>
    <row r="3224" spans="1:4" ht="14">
      <c r="A3224" s="16">
        <v>43599</v>
      </c>
      <c r="B3224" s="17">
        <v>7955.56</v>
      </c>
      <c r="C3224" s="18">
        <v>32031452227</v>
      </c>
      <c r="D3224" s="21">
        <f t="shared" si="6"/>
        <v>154870103302</v>
      </c>
    </row>
    <row r="3225" spans="1:4" ht="14">
      <c r="A3225" s="16">
        <v>43600</v>
      </c>
      <c r="B3225" s="17">
        <v>8215.2099999999991</v>
      </c>
      <c r="C3225" s="18">
        <v>28344112920</v>
      </c>
      <c r="D3225" s="21">
        <f t="shared" si="6"/>
        <v>168875146496</v>
      </c>
    </row>
    <row r="3226" spans="1:4" ht="14">
      <c r="A3226" s="16">
        <v>43601</v>
      </c>
      <c r="B3226" s="17">
        <v>7862.07</v>
      </c>
      <c r="C3226" s="18">
        <v>33167197581</v>
      </c>
      <c r="D3226" s="21">
        <f t="shared" si="6"/>
        <v>181898654116</v>
      </c>
    </row>
    <row r="3227" spans="1:4" ht="14">
      <c r="A3227" s="16">
        <v>43602</v>
      </c>
      <c r="B3227" s="17">
        <v>7326.92</v>
      </c>
      <c r="C3227" s="18">
        <v>30066644905</v>
      </c>
      <c r="D3227" s="21">
        <f t="shared" si="6"/>
        <v>198281206286</v>
      </c>
    </row>
    <row r="3228" spans="1:4" ht="14">
      <c r="A3228" s="16">
        <v>43603</v>
      </c>
      <c r="B3228" s="17">
        <v>7277.99</v>
      </c>
      <c r="C3228" s="18">
        <v>21354286562</v>
      </c>
      <c r="D3228" s="21">
        <f t="shared" si="6"/>
        <v>208927975823</v>
      </c>
    </row>
    <row r="3229" spans="1:4" ht="14">
      <c r="A3229" s="16">
        <v>43604</v>
      </c>
      <c r="B3229" s="17">
        <v>8219.74</v>
      </c>
      <c r="C3229" s="18">
        <v>25902422040</v>
      </c>
      <c r="D3229" s="21">
        <f t="shared" si="6"/>
        <v>201414700056</v>
      </c>
    </row>
    <row r="3230" spans="1:4" ht="14">
      <c r="A3230" s="16">
        <v>43605</v>
      </c>
      <c r="B3230" s="17">
        <v>7981.14</v>
      </c>
      <c r="C3230" s="18">
        <v>23843404340</v>
      </c>
      <c r="D3230" s="21">
        <f t="shared" si="6"/>
        <v>199543788416</v>
      </c>
    </row>
    <row r="3231" spans="1:4" ht="14">
      <c r="A3231" s="16">
        <v>43606</v>
      </c>
      <c r="B3231" s="17">
        <v>7983.81</v>
      </c>
      <c r="C3231" s="18">
        <v>25127245056</v>
      </c>
      <c r="D3231" s="21">
        <f t="shared" si="6"/>
        <v>194709520575</v>
      </c>
    </row>
    <row r="3232" spans="1:4" ht="14">
      <c r="A3232" s="16">
        <v>43607</v>
      </c>
      <c r="B3232" s="17">
        <v>7667.9</v>
      </c>
      <c r="C3232" s="18">
        <v>24719473175</v>
      </c>
      <c r="D3232" s="21">
        <f t="shared" si="6"/>
        <v>187805313404</v>
      </c>
    </row>
    <row r="3233" spans="1:4" ht="14">
      <c r="A3233" s="16">
        <v>43608</v>
      </c>
      <c r="B3233" s="17">
        <v>7897.47</v>
      </c>
      <c r="C3233" s="18">
        <v>24457107820</v>
      </c>
      <c r="D3233" s="21">
        <f t="shared" si="6"/>
        <v>184180673659</v>
      </c>
    </row>
    <row r="3234" spans="1:4" ht="14">
      <c r="A3234" s="16">
        <v>43609</v>
      </c>
      <c r="B3234" s="17">
        <v>7987.1</v>
      </c>
      <c r="C3234" s="18">
        <v>25919126991</v>
      </c>
      <c r="D3234" s="21">
        <f t="shared" si="6"/>
        <v>175470583898</v>
      </c>
    </row>
    <row r="3235" spans="1:4" ht="14">
      <c r="A3235" s="16">
        <v>43610</v>
      </c>
      <c r="B3235" s="17">
        <v>8061.59</v>
      </c>
      <c r="C3235" s="18">
        <v>22256813107</v>
      </c>
      <c r="D3235" s="21">
        <f t="shared" si="6"/>
        <v>171323065984</v>
      </c>
    </row>
    <row r="3236" spans="1:4" ht="14">
      <c r="A3236" s="16">
        <v>43611</v>
      </c>
      <c r="B3236" s="17">
        <v>8731.52</v>
      </c>
      <c r="C3236" s="18">
        <v>26677970091</v>
      </c>
      <c r="D3236" s="21">
        <f t="shared" si="6"/>
        <v>172225592529</v>
      </c>
    </row>
    <row r="3237" spans="1:4" ht="14">
      <c r="A3237" s="16">
        <v>43612</v>
      </c>
      <c r="B3237" s="17">
        <v>8816.7900000000009</v>
      </c>
      <c r="C3237" s="18">
        <v>27949839564</v>
      </c>
      <c r="D3237" s="21">
        <f t="shared" si="6"/>
        <v>173001140580</v>
      </c>
    </row>
    <row r="3238" spans="1:4" ht="14">
      <c r="A3238" s="16">
        <v>43613</v>
      </c>
      <c r="B3238" s="17">
        <v>8719.1299999999992</v>
      </c>
      <c r="C3238" s="18">
        <v>24226919267</v>
      </c>
      <c r="D3238" s="21">
        <f t="shared" si="6"/>
        <v>177107575804</v>
      </c>
    </row>
    <row r="3239" spans="1:4" ht="14">
      <c r="A3239" s="16">
        <v>43614</v>
      </c>
      <c r="B3239" s="17">
        <v>8655.49</v>
      </c>
      <c r="C3239" s="18">
        <v>23473479966</v>
      </c>
      <c r="D3239" s="21">
        <f t="shared" si="6"/>
        <v>176207250015</v>
      </c>
    </row>
    <row r="3240" spans="1:4" ht="14">
      <c r="A3240" s="16">
        <v>43615</v>
      </c>
      <c r="B3240" s="17">
        <v>8271.6200000000008</v>
      </c>
      <c r="C3240" s="18">
        <v>29246528551</v>
      </c>
      <c r="D3240" s="21">
        <f t="shared" si="6"/>
        <v>174961256806</v>
      </c>
    </row>
    <row r="3241" spans="1:4" ht="14">
      <c r="A3241" s="16">
        <v>43616</v>
      </c>
      <c r="B3241" s="17">
        <v>8556.2199999999993</v>
      </c>
      <c r="C3241" s="18">
        <v>25365190957</v>
      </c>
      <c r="D3241" s="21">
        <f t="shared" si="6"/>
        <v>179750677537</v>
      </c>
    </row>
    <row r="3242" spans="1:4" ht="14">
      <c r="A3242" s="16">
        <v>43617</v>
      </c>
      <c r="B3242" s="17">
        <v>8554.81</v>
      </c>
      <c r="C3242" s="18">
        <v>22488303544</v>
      </c>
      <c r="D3242" s="21">
        <f t="shared" si="6"/>
        <v>179196741503</v>
      </c>
    </row>
    <row r="3243" spans="1:4" ht="14">
      <c r="A3243" s="16">
        <v>43618</v>
      </c>
      <c r="B3243" s="17">
        <v>8744.35</v>
      </c>
      <c r="C3243" s="18">
        <v>20266216022</v>
      </c>
      <c r="D3243" s="21">
        <f t="shared" si="6"/>
        <v>179428231940</v>
      </c>
    </row>
    <row r="3244" spans="1:4" ht="14">
      <c r="A3244" s="16">
        <v>43619</v>
      </c>
      <c r="B3244" s="17">
        <v>8173.4</v>
      </c>
      <c r="C3244" s="18">
        <v>22004511436</v>
      </c>
      <c r="D3244" s="21">
        <f t="shared" si="6"/>
        <v>173016477871</v>
      </c>
    </row>
    <row r="3245" spans="1:4" ht="14">
      <c r="A3245" s="16">
        <v>43620</v>
      </c>
      <c r="B3245" s="17">
        <v>7649.94</v>
      </c>
      <c r="C3245" s="18">
        <v>24609731549</v>
      </c>
      <c r="D3245" s="21">
        <f t="shared" si="6"/>
        <v>167071149743</v>
      </c>
    </row>
    <row r="3246" spans="1:4" ht="14">
      <c r="A3246" s="16">
        <v>43621</v>
      </c>
      <c r="B3246" s="17">
        <v>7798.54</v>
      </c>
      <c r="C3246" s="18">
        <v>21760923463</v>
      </c>
      <c r="D3246" s="21">
        <f t="shared" si="6"/>
        <v>167453962025</v>
      </c>
    </row>
    <row r="3247" spans="1:4" ht="14">
      <c r="A3247" s="16">
        <v>43622</v>
      </c>
      <c r="B3247" s="17">
        <v>7776.71</v>
      </c>
      <c r="C3247" s="18">
        <v>19474611077</v>
      </c>
      <c r="D3247" s="21">
        <f t="shared" si="6"/>
        <v>165741405522</v>
      </c>
    </row>
    <row r="3248" spans="1:4" ht="14">
      <c r="A3248" s="16">
        <v>43623</v>
      </c>
      <c r="B3248" s="17">
        <v>8023.95</v>
      </c>
      <c r="C3248" s="18">
        <v>19141423231</v>
      </c>
      <c r="D3248" s="21">
        <f t="shared" si="6"/>
        <v>155969488048</v>
      </c>
    </row>
    <row r="3249" spans="1:4" ht="14">
      <c r="A3249" s="16">
        <v>43624</v>
      </c>
      <c r="B3249" s="17">
        <v>7939.81</v>
      </c>
      <c r="C3249" s="18">
        <v>16522722810</v>
      </c>
      <c r="D3249" s="21">
        <f t="shared" si="6"/>
        <v>149745720322</v>
      </c>
    </row>
    <row r="3250" spans="1:4" ht="14">
      <c r="A3250" s="16">
        <v>43625</v>
      </c>
      <c r="B3250" s="17">
        <v>7634.07</v>
      </c>
      <c r="C3250" s="18">
        <v>16610726547</v>
      </c>
      <c r="D3250" s="21">
        <f t="shared" si="6"/>
        <v>143780139588</v>
      </c>
    </row>
    <row r="3251" spans="1:4" ht="14">
      <c r="A3251" s="16">
        <v>43626</v>
      </c>
      <c r="B3251" s="17">
        <v>7993.3</v>
      </c>
      <c r="C3251" s="18">
        <v>18689275117</v>
      </c>
      <c r="D3251" s="21">
        <f t="shared" si="6"/>
        <v>140124650113</v>
      </c>
    </row>
    <row r="3252" spans="1:4" ht="14">
      <c r="A3252" s="16">
        <v>43627</v>
      </c>
      <c r="B3252" s="17">
        <v>7922.48</v>
      </c>
      <c r="C3252" s="18">
        <v>17107279932</v>
      </c>
      <c r="D3252" s="21">
        <f t="shared" si="6"/>
        <v>136809413794</v>
      </c>
    </row>
    <row r="3253" spans="1:4" ht="14">
      <c r="A3253" s="16">
        <v>43628</v>
      </c>
      <c r="B3253" s="17">
        <v>8146.76</v>
      </c>
      <c r="C3253" s="18">
        <v>19034432883</v>
      </c>
      <c r="D3253" s="21">
        <f t="shared" si="6"/>
        <v>129306962177</v>
      </c>
    </row>
    <row r="3254" spans="1:4" ht="14">
      <c r="A3254" s="16">
        <v>43629</v>
      </c>
      <c r="B3254" s="17">
        <v>8232.7800000000007</v>
      </c>
      <c r="C3254" s="18">
        <v>18669407147</v>
      </c>
      <c r="D3254" s="21">
        <f t="shared" si="6"/>
        <v>126580471597</v>
      </c>
    </row>
    <row r="3255" spans="1:4" ht="14">
      <c r="A3255" s="16">
        <v>43630</v>
      </c>
      <c r="B3255" s="17">
        <v>8698</v>
      </c>
      <c r="C3255" s="18">
        <v>19831162906</v>
      </c>
      <c r="D3255" s="21">
        <f t="shared" si="6"/>
        <v>125775267667</v>
      </c>
    </row>
    <row r="3256" spans="1:4" ht="14">
      <c r="A3256" s="16">
        <v>43631</v>
      </c>
      <c r="B3256" s="17">
        <v>8850.58</v>
      </c>
      <c r="C3256" s="18">
        <v>18371033226</v>
      </c>
      <c r="D3256" s="21">
        <f t="shared" si="6"/>
        <v>126465007342</v>
      </c>
    </row>
    <row r="3257" spans="1:4" ht="14">
      <c r="A3257" s="16">
        <v>43632</v>
      </c>
      <c r="B3257" s="17">
        <v>9019.52</v>
      </c>
      <c r="C3257" s="18">
        <v>23348550311</v>
      </c>
      <c r="D3257" s="21">
        <f t="shared" si="6"/>
        <v>128313317758</v>
      </c>
    </row>
    <row r="3258" spans="1:4" ht="14">
      <c r="A3258" s="16">
        <v>43633</v>
      </c>
      <c r="B3258" s="17">
        <v>9340.57</v>
      </c>
      <c r="C3258" s="18">
        <v>15562951919</v>
      </c>
      <c r="D3258" s="21">
        <f t="shared" si="6"/>
        <v>135051141522</v>
      </c>
    </row>
    <row r="3259" spans="1:4" ht="14">
      <c r="A3259" s="16">
        <v>43634</v>
      </c>
      <c r="B3259" s="17">
        <v>9047.1299999999992</v>
      </c>
      <c r="C3259" s="18">
        <v>15848210536</v>
      </c>
      <c r="D3259" s="21">
        <f t="shared" si="6"/>
        <v>131924818324</v>
      </c>
    </row>
    <row r="3260" spans="1:4" ht="14">
      <c r="A3260" s="16">
        <v>43635</v>
      </c>
      <c r="B3260" s="17">
        <v>9285.06</v>
      </c>
      <c r="C3260" s="18">
        <v>15546809946</v>
      </c>
      <c r="D3260" s="21">
        <f t="shared" si="6"/>
        <v>130665748928</v>
      </c>
    </row>
    <row r="3261" spans="1:4" ht="14">
      <c r="A3261" s="16">
        <v>43636</v>
      </c>
      <c r="B3261" s="17">
        <v>9546.7199999999993</v>
      </c>
      <c r="C3261" s="18">
        <v>17846823784</v>
      </c>
      <c r="D3261" s="21">
        <f t="shared" si="6"/>
        <v>127178125991</v>
      </c>
    </row>
    <row r="3262" spans="1:4" ht="14">
      <c r="A3262" s="16">
        <v>43637</v>
      </c>
      <c r="B3262" s="17">
        <v>10083.49</v>
      </c>
      <c r="C3262" s="18">
        <v>20624008643</v>
      </c>
      <c r="D3262" s="21">
        <f t="shared" si="6"/>
        <v>126355542628</v>
      </c>
    </row>
    <row r="3263" spans="1:4" ht="14">
      <c r="A3263" s="16">
        <v>43638</v>
      </c>
      <c r="B3263" s="17">
        <v>10685.3</v>
      </c>
      <c r="C3263" s="18">
        <v>29995204861</v>
      </c>
      <c r="D3263" s="21">
        <f t="shared" si="6"/>
        <v>127148388365</v>
      </c>
    </row>
    <row r="3264" spans="1:4" ht="14">
      <c r="A3264" s="16">
        <v>43639</v>
      </c>
      <c r="B3264" s="17">
        <v>10794.43</v>
      </c>
      <c r="C3264" s="18">
        <v>20998326502</v>
      </c>
      <c r="D3264" s="21">
        <f t="shared" si="6"/>
        <v>138772560000</v>
      </c>
    </row>
    <row r="3265" spans="1:4" ht="14">
      <c r="A3265" s="16">
        <v>43640</v>
      </c>
      <c r="B3265" s="17">
        <v>11004.21</v>
      </c>
      <c r="C3265" s="18">
        <v>19271652365</v>
      </c>
      <c r="D3265" s="21">
        <f t="shared" si="6"/>
        <v>136422336191</v>
      </c>
    </row>
    <row r="3266" spans="1:4" ht="14">
      <c r="A3266" s="16">
        <v>43641</v>
      </c>
      <c r="B3266" s="17">
        <v>11726.26</v>
      </c>
      <c r="C3266" s="18">
        <v>24879684533</v>
      </c>
      <c r="D3266" s="21">
        <f t="shared" si="6"/>
        <v>140131036637</v>
      </c>
    </row>
    <row r="3267" spans="1:4" ht="14">
      <c r="A3267" s="16">
        <v>43642</v>
      </c>
      <c r="B3267" s="17">
        <v>12863.46</v>
      </c>
      <c r="C3267" s="18">
        <v>45105733173</v>
      </c>
      <c r="D3267" s="21">
        <f t="shared" si="6"/>
        <v>149162510634</v>
      </c>
    </row>
    <row r="3268" spans="1:4" ht="14">
      <c r="A3268" s="16">
        <v>43643</v>
      </c>
      <c r="B3268" s="17">
        <v>11109.8</v>
      </c>
      <c r="C3268" s="18">
        <v>39977475223</v>
      </c>
      <c r="D3268" s="21">
        <f t="shared" si="6"/>
        <v>178721433861</v>
      </c>
    </row>
    <row r="3269" spans="1:4" ht="14">
      <c r="A3269" s="16">
        <v>43644</v>
      </c>
      <c r="B3269" s="17">
        <v>12358.21</v>
      </c>
      <c r="C3269" s="18">
        <v>35087757766</v>
      </c>
      <c r="D3269" s="21">
        <f t="shared" si="6"/>
        <v>200852085300</v>
      </c>
    </row>
    <row r="3270" spans="1:4" ht="14">
      <c r="A3270" s="16">
        <v>43645</v>
      </c>
      <c r="B3270" s="17">
        <v>11944.35</v>
      </c>
      <c r="C3270" s="18">
        <v>29923961128</v>
      </c>
      <c r="D3270" s="21">
        <f t="shared" si="6"/>
        <v>215315834423</v>
      </c>
    </row>
    <row r="3271" spans="1:4" ht="14">
      <c r="A3271" s="16">
        <v>43646</v>
      </c>
      <c r="B3271" s="17">
        <v>10842.62</v>
      </c>
      <c r="C3271" s="18">
        <v>27256473494</v>
      </c>
      <c r="D3271" s="21">
        <f t="shared" si="6"/>
        <v>215244590690</v>
      </c>
    </row>
    <row r="3272" spans="1:4" ht="14">
      <c r="A3272" s="16">
        <v>43647</v>
      </c>
      <c r="B3272" s="17">
        <v>10569.55</v>
      </c>
      <c r="C3272" s="18">
        <v>29378589324</v>
      </c>
      <c r="D3272" s="21">
        <f t="shared" si="6"/>
        <v>221502737682</v>
      </c>
    </row>
    <row r="3273" spans="1:4" ht="14">
      <c r="A3273" s="16">
        <v>43648</v>
      </c>
      <c r="B3273" s="17">
        <v>10766.08</v>
      </c>
      <c r="C3273" s="18">
        <v>31015895223</v>
      </c>
      <c r="D3273" s="21">
        <f t="shared" si="6"/>
        <v>231609674641</v>
      </c>
    </row>
    <row r="3274" spans="1:4" ht="14">
      <c r="A3274" s="16">
        <v>43649</v>
      </c>
      <c r="B3274" s="17">
        <v>11952.02</v>
      </c>
      <c r="C3274" s="18">
        <v>30796494294</v>
      </c>
      <c r="D3274" s="21">
        <f t="shared" si="6"/>
        <v>237745885331</v>
      </c>
    </row>
    <row r="3275" spans="1:4" ht="14">
      <c r="A3275" s="16">
        <v>43650</v>
      </c>
      <c r="B3275" s="17">
        <v>11177.01</v>
      </c>
      <c r="C3275" s="18">
        <v>25920294033</v>
      </c>
      <c r="D3275" s="21">
        <f t="shared" si="6"/>
        <v>223436646452</v>
      </c>
    </row>
    <row r="3276" spans="1:4" ht="14">
      <c r="A3276" s="16">
        <v>43651</v>
      </c>
      <c r="B3276" s="17">
        <v>10998.4</v>
      </c>
      <c r="C3276" s="18">
        <v>23838480210</v>
      </c>
      <c r="D3276" s="21">
        <f t="shared" si="6"/>
        <v>209379465262</v>
      </c>
    </row>
    <row r="3277" spans="1:4" ht="14">
      <c r="A3277" s="16">
        <v>43652</v>
      </c>
      <c r="B3277" s="17">
        <v>11208.23</v>
      </c>
      <c r="C3277" s="18">
        <v>21092024306</v>
      </c>
      <c r="D3277" s="21">
        <f t="shared" si="6"/>
        <v>198130187706</v>
      </c>
    </row>
    <row r="3278" spans="1:4" ht="14">
      <c r="A3278" s="16">
        <v>43653</v>
      </c>
      <c r="B3278" s="17">
        <v>11456.18</v>
      </c>
      <c r="C3278" s="18">
        <v>19369044277</v>
      </c>
      <c r="D3278" s="21">
        <f t="shared" si="6"/>
        <v>189298250884</v>
      </c>
    </row>
    <row r="3279" spans="1:4" ht="14">
      <c r="A3279" s="16">
        <v>43654</v>
      </c>
      <c r="B3279" s="17">
        <v>12319.62</v>
      </c>
      <c r="C3279" s="18">
        <v>23482551458</v>
      </c>
      <c r="D3279" s="21">
        <f t="shared" si="6"/>
        <v>181410821667</v>
      </c>
    </row>
    <row r="3280" spans="1:4" ht="14">
      <c r="A3280" s="16">
        <v>43655</v>
      </c>
      <c r="B3280" s="17">
        <v>12579.11</v>
      </c>
      <c r="C3280" s="18">
        <v>28167921523</v>
      </c>
      <c r="D3280" s="21">
        <f t="shared" si="6"/>
        <v>175514783801</v>
      </c>
    </row>
    <row r="3281" spans="1:4" ht="14">
      <c r="A3281" s="16">
        <v>43656</v>
      </c>
      <c r="B3281" s="17">
        <v>12106.78</v>
      </c>
      <c r="C3281" s="18">
        <v>33627574244</v>
      </c>
      <c r="D3281" s="21">
        <f t="shared" si="6"/>
        <v>172666810101</v>
      </c>
    </row>
    <row r="3282" spans="1:4" ht="14">
      <c r="A3282" s="16">
        <v>43657</v>
      </c>
      <c r="B3282" s="17">
        <v>11294.68</v>
      </c>
      <c r="C3282" s="18">
        <v>28595327690</v>
      </c>
      <c r="D3282" s="21">
        <f t="shared" si="6"/>
        <v>175497890051</v>
      </c>
    </row>
    <row r="3283" spans="1:4" ht="14">
      <c r="A3283" s="16">
        <v>43658</v>
      </c>
      <c r="B3283" s="17">
        <v>11813.32</v>
      </c>
      <c r="C3283" s="18">
        <v>23534692797</v>
      </c>
      <c r="D3283" s="21">
        <f t="shared" si="6"/>
        <v>178172923708</v>
      </c>
    </row>
    <row r="3284" spans="1:4" ht="14">
      <c r="A3284" s="16">
        <v>43659</v>
      </c>
      <c r="B3284" s="17">
        <v>11346.84</v>
      </c>
      <c r="C3284" s="18">
        <v>21042616384</v>
      </c>
      <c r="D3284" s="21">
        <f t="shared" si="6"/>
        <v>177869136295</v>
      </c>
    </row>
    <row r="3285" spans="1:4" ht="14">
      <c r="A3285" s="16">
        <v>43660</v>
      </c>
      <c r="B3285" s="17">
        <v>10283.08</v>
      </c>
      <c r="C3285" s="18">
        <v>22486000001</v>
      </c>
      <c r="D3285" s="21">
        <f t="shared" si="6"/>
        <v>177819728373</v>
      </c>
    </row>
    <row r="3286" spans="1:4" ht="14">
      <c r="A3286" s="16">
        <v>43661</v>
      </c>
      <c r="B3286" s="17">
        <v>10926.38</v>
      </c>
      <c r="C3286" s="18">
        <v>25384047207</v>
      </c>
      <c r="D3286" s="21">
        <f t="shared" si="6"/>
        <v>180936684097</v>
      </c>
    </row>
    <row r="3287" spans="1:4" ht="14">
      <c r="A3287" s="16">
        <v>43662</v>
      </c>
      <c r="B3287" s="17">
        <v>9471.14</v>
      </c>
      <c r="C3287" s="18">
        <v>24151199070</v>
      </c>
      <c r="D3287" s="21">
        <f t="shared" si="6"/>
        <v>182838179846</v>
      </c>
    </row>
    <row r="3288" spans="1:4" ht="14">
      <c r="A3288" s="16">
        <v>43663</v>
      </c>
      <c r="B3288" s="17">
        <v>9674.8799999999992</v>
      </c>
      <c r="C3288" s="18">
        <v>24569921549</v>
      </c>
      <c r="D3288" s="21">
        <f t="shared" si="6"/>
        <v>178821457393</v>
      </c>
    </row>
    <row r="3289" spans="1:4" ht="14">
      <c r="A3289" s="16">
        <v>43664</v>
      </c>
      <c r="B3289" s="17">
        <v>10679.89</v>
      </c>
      <c r="C3289" s="18">
        <v>25187024648</v>
      </c>
      <c r="D3289" s="21">
        <f t="shared" si="6"/>
        <v>169763804698</v>
      </c>
    </row>
    <row r="3290" spans="1:4" ht="14">
      <c r="A3290" s="16">
        <v>43665</v>
      </c>
      <c r="B3290" s="17">
        <v>10532.2</v>
      </c>
      <c r="C3290" s="18">
        <v>20727426310</v>
      </c>
      <c r="D3290" s="21">
        <f t="shared" si="6"/>
        <v>166355501656</v>
      </c>
    </row>
    <row r="3291" spans="1:4" ht="14">
      <c r="A3291" s="16">
        <v>43666</v>
      </c>
      <c r="B3291" s="17">
        <v>10862.65</v>
      </c>
      <c r="C3291" s="18">
        <v>20206615155</v>
      </c>
      <c r="D3291" s="21">
        <f t="shared" si="6"/>
        <v>163548235169</v>
      </c>
    </row>
    <row r="3292" spans="1:4" ht="14">
      <c r="A3292" s="16">
        <v>43667</v>
      </c>
      <c r="B3292" s="17">
        <v>10589.71</v>
      </c>
      <c r="C3292" s="18">
        <v>17130580467</v>
      </c>
      <c r="D3292" s="21">
        <f t="shared" si="6"/>
        <v>162712233940</v>
      </c>
    </row>
    <row r="3293" spans="1:4" ht="14">
      <c r="A3293" s="16">
        <v>43668</v>
      </c>
      <c r="B3293" s="17">
        <v>10318.56</v>
      </c>
      <c r="C3293" s="18">
        <v>16334414913</v>
      </c>
      <c r="D3293" s="21">
        <f t="shared" si="6"/>
        <v>157356814406</v>
      </c>
    </row>
    <row r="3294" spans="1:4" ht="14">
      <c r="A3294" s="16">
        <v>43669</v>
      </c>
      <c r="B3294" s="17">
        <v>9866.65</v>
      </c>
      <c r="C3294" s="18">
        <v>17851916995</v>
      </c>
      <c r="D3294" s="21">
        <f t="shared" si="6"/>
        <v>148307182112</v>
      </c>
    </row>
    <row r="3295" spans="1:4" ht="14">
      <c r="A3295" s="16">
        <v>43670</v>
      </c>
      <c r="B3295" s="17">
        <v>9792.7900000000009</v>
      </c>
      <c r="C3295" s="18">
        <v>17398734322</v>
      </c>
      <c r="D3295" s="21">
        <f t="shared" si="6"/>
        <v>142007900037</v>
      </c>
    </row>
    <row r="3296" spans="1:4" ht="14">
      <c r="A3296" s="16">
        <v>43671</v>
      </c>
      <c r="B3296" s="17">
        <v>9897.19</v>
      </c>
      <c r="C3296" s="18">
        <v>15821952090</v>
      </c>
      <c r="D3296" s="21">
        <f t="shared" si="6"/>
        <v>134836712810</v>
      </c>
    </row>
    <row r="3297" spans="1:4" ht="14">
      <c r="A3297" s="16">
        <v>43672</v>
      </c>
      <c r="B3297" s="17">
        <v>9836.7000000000007</v>
      </c>
      <c r="C3297" s="18">
        <v>14495714483</v>
      </c>
      <c r="D3297" s="21">
        <f t="shared" si="6"/>
        <v>125471640252</v>
      </c>
    </row>
    <row r="3298" spans="1:4" ht="14">
      <c r="A3298" s="16">
        <v>43673</v>
      </c>
      <c r="B3298" s="17">
        <v>9446.67</v>
      </c>
      <c r="C3298" s="18">
        <v>16817809536</v>
      </c>
      <c r="D3298" s="21">
        <f t="shared" si="6"/>
        <v>119239928425</v>
      </c>
    </row>
    <row r="3299" spans="1:4" ht="14">
      <c r="A3299" s="16">
        <v>43674</v>
      </c>
      <c r="B3299" s="17">
        <v>9529.7900000000009</v>
      </c>
      <c r="C3299" s="18">
        <v>13738687093</v>
      </c>
      <c r="D3299" s="21">
        <f t="shared" si="6"/>
        <v>115851122806</v>
      </c>
    </row>
    <row r="3300" spans="1:4" ht="14">
      <c r="A3300" s="16">
        <v>43675</v>
      </c>
      <c r="B3300" s="17">
        <v>9504.16</v>
      </c>
      <c r="C3300" s="18">
        <v>13791445323</v>
      </c>
      <c r="D3300" s="21">
        <f t="shared" si="6"/>
        <v>112459229432</v>
      </c>
    </row>
    <row r="3301" spans="1:4" ht="14">
      <c r="A3301" s="16">
        <v>43676</v>
      </c>
      <c r="B3301" s="17">
        <v>9589.11</v>
      </c>
      <c r="C3301" s="18">
        <v>13829811132</v>
      </c>
      <c r="D3301" s="21">
        <f t="shared" si="6"/>
        <v>109916259842</v>
      </c>
    </row>
    <row r="3302" spans="1:4" ht="14">
      <c r="A3302" s="16">
        <v>43677</v>
      </c>
      <c r="B3302" s="17">
        <v>10059</v>
      </c>
      <c r="C3302" s="18">
        <v>16631520648</v>
      </c>
      <c r="D3302" s="21">
        <f t="shared" si="6"/>
        <v>105894153979</v>
      </c>
    </row>
    <row r="3303" spans="1:4" ht="14">
      <c r="A3303" s="16">
        <v>43678</v>
      </c>
      <c r="B3303" s="17">
        <v>10400.31</v>
      </c>
      <c r="C3303" s="18">
        <v>17165337858</v>
      </c>
      <c r="D3303" s="21">
        <f t="shared" si="6"/>
        <v>105126940305</v>
      </c>
    </row>
    <row r="3304" spans="1:4" ht="14">
      <c r="A3304" s="16">
        <v>43679</v>
      </c>
      <c r="B3304" s="17">
        <v>10529.69</v>
      </c>
      <c r="C3304" s="18">
        <v>17489094082</v>
      </c>
      <c r="D3304" s="21">
        <f t="shared" si="6"/>
        <v>106470326073</v>
      </c>
    </row>
    <row r="3305" spans="1:4" ht="14">
      <c r="A3305" s="16">
        <v>43680</v>
      </c>
      <c r="B3305" s="17">
        <v>10810.42</v>
      </c>
      <c r="C3305" s="18">
        <v>15352685061</v>
      </c>
      <c r="D3305" s="21">
        <f t="shared" si="6"/>
        <v>109463705672</v>
      </c>
    </row>
    <row r="3306" spans="1:4" ht="14">
      <c r="A3306" s="16">
        <v>43681</v>
      </c>
      <c r="B3306" s="17">
        <v>10986.51</v>
      </c>
      <c r="C3306" s="18">
        <v>16530894787</v>
      </c>
      <c r="D3306" s="21">
        <f t="shared" si="6"/>
        <v>107998581197</v>
      </c>
    </row>
    <row r="3307" spans="1:4" ht="14">
      <c r="A3307" s="16">
        <v>43682</v>
      </c>
      <c r="B3307" s="17">
        <v>11790.02</v>
      </c>
      <c r="C3307" s="18">
        <v>23875988832</v>
      </c>
      <c r="D3307" s="21">
        <f t="shared" si="6"/>
        <v>110790788891</v>
      </c>
    </row>
    <row r="3308" spans="1:4" ht="14">
      <c r="A3308" s="16">
        <v>43683</v>
      </c>
      <c r="B3308" s="17">
        <v>11423.5</v>
      </c>
      <c r="C3308" s="18">
        <v>23635107660</v>
      </c>
      <c r="D3308" s="21">
        <f t="shared" si="6"/>
        <v>120875332400</v>
      </c>
    </row>
    <row r="3309" spans="1:4" ht="14">
      <c r="A3309" s="16">
        <v>43684</v>
      </c>
      <c r="B3309" s="17">
        <v>11967.27</v>
      </c>
      <c r="C3309" s="18">
        <v>22194988641</v>
      </c>
      <c r="D3309" s="21">
        <f t="shared" ref="D3309:D3563" si="7">IF(C3302&lt;&gt;"",SUM(C3302:C3308),"")</f>
        <v>130680628928</v>
      </c>
    </row>
    <row r="3310" spans="1:4" ht="14">
      <c r="A3310" s="16">
        <v>43685</v>
      </c>
      <c r="B3310" s="17">
        <v>11938.23</v>
      </c>
      <c r="C3310" s="18">
        <v>19481591730</v>
      </c>
      <c r="D3310" s="21">
        <f t="shared" si="7"/>
        <v>136244096921</v>
      </c>
    </row>
    <row r="3311" spans="1:4" ht="14">
      <c r="A3311" s="16">
        <v>43686</v>
      </c>
      <c r="B3311" s="17">
        <v>11858.34</v>
      </c>
      <c r="C3311" s="18">
        <v>18339989960</v>
      </c>
      <c r="D3311" s="21">
        <f t="shared" si="7"/>
        <v>138560350793</v>
      </c>
    </row>
    <row r="3312" spans="1:4" ht="14">
      <c r="A3312" s="16">
        <v>43687</v>
      </c>
      <c r="B3312" s="17">
        <v>11303.73</v>
      </c>
      <c r="C3312" s="18">
        <v>18125355447</v>
      </c>
      <c r="D3312" s="21">
        <f t="shared" si="7"/>
        <v>139411246671</v>
      </c>
    </row>
    <row r="3313" spans="1:4" ht="14">
      <c r="A3313" s="16">
        <v>43688</v>
      </c>
      <c r="B3313" s="17">
        <v>11530.2</v>
      </c>
      <c r="C3313" s="18">
        <v>15774371518</v>
      </c>
      <c r="D3313" s="21">
        <f t="shared" si="7"/>
        <v>142183917057</v>
      </c>
    </row>
    <row r="3314" spans="1:4" ht="14">
      <c r="A3314" s="16">
        <v>43689</v>
      </c>
      <c r="B3314" s="17">
        <v>11384.7</v>
      </c>
      <c r="C3314" s="18">
        <v>13647198229</v>
      </c>
      <c r="D3314" s="21">
        <f t="shared" si="7"/>
        <v>141427393788</v>
      </c>
    </row>
    <row r="3315" spans="1:4" ht="14">
      <c r="A3315" s="16">
        <v>43690</v>
      </c>
      <c r="B3315" s="17">
        <v>10867.05</v>
      </c>
      <c r="C3315" s="18">
        <v>16681503537</v>
      </c>
      <c r="D3315" s="21">
        <f t="shared" si="7"/>
        <v>131198603185</v>
      </c>
    </row>
    <row r="3316" spans="1:4" ht="14">
      <c r="A3316" s="16">
        <v>43691</v>
      </c>
      <c r="B3316" s="17">
        <v>10024.379999999999</v>
      </c>
      <c r="C3316" s="18">
        <v>19990838300</v>
      </c>
      <c r="D3316" s="21">
        <f t="shared" si="7"/>
        <v>124244999062</v>
      </c>
    </row>
    <row r="3317" spans="1:4" ht="14">
      <c r="A3317" s="16">
        <v>43692</v>
      </c>
      <c r="B3317" s="17">
        <v>10310.09</v>
      </c>
      <c r="C3317" s="18">
        <v>22899115082</v>
      </c>
      <c r="D3317" s="21">
        <f t="shared" si="7"/>
        <v>122040848721</v>
      </c>
    </row>
    <row r="3318" spans="1:4" ht="14">
      <c r="A3318" s="16">
        <v>43693</v>
      </c>
      <c r="B3318" s="17">
        <v>10373.32</v>
      </c>
      <c r="C3318" s="18">
        <v>20228207096</v>
      </c>
      <c r="D3318" s="21">
        <f t="shared" si="7"/>
        <v>125458372073</v>
      </c>
    </row>
    <row r="3319" spans="1:4" ht="14">
      <c r="A3319" s="16">
        <v>43694</v>
      </c>
      <c r="B3319" s="17">
        <v>10207.16</v>
      </c>
      <c r="C3319" s="18">
        <v>13778035685</v>
      </c>
      <c r="D3319" s="21">
        <f t="shared" si="7"/>
        <v>127346589209</v>
      </c>
    </row>
    <row r="3320" spans="1:4" ht="14">
      <c r="A3320" s="16">
        <v>43695</v>
      </c>
      <c r="B3320" s="17">
        <v>10331.31</v>
      </c>
      <c r="C3320" s="18">
        <v>12999813869</v>
      </c>
      <c r="D3320" s="21">
        <f t="shared" si="7"/>
        <v>122999269447</v>
      </c>
    </row>
    <row r="3321" spans="1:4" ht="14">
      <c r="A3321" s="16">
        <v>43696</v>
      </c>
      <c r="B3321" s="17">
        <v>10884.63</v>
      </c>
      <c r="C3321" s="18">
        <v>16038264603</v>
      </c>
      <c r="D3321" s="21">
        <f t="shared" si="7"/>
        <v>120224711798</v>
      </c>
    </row>
    <row r="3322" spans="1:4" ht="14">
      <c r="A3322" s="16">
        <v>43697</v>
      </c>
      <c r="B3322" s="17">
        <v>10771.39</v>
      </c>
      <c r="C3322" s="18">
        <v>15053082175</v>
      </c>
      <c r="D3322" s="21">
        <f t="shared" si="7"/>
        <v>122615778172</v>
      </c>
    </row>
    <row r="3323" spans="1:4" ht="14">
      <c r="A3323" s="16">
        <v>43698</v>
      </c>
      <c r="B3323" s="17">
        <v>10096.83</v>
      </c>
      <c r="C3323" s="18">
        <v>19473084768</v>
      </c>
      <c r="D3323" s="21">
        <f t="shared" si="7"/>
        <v>120987356810</v>
      </c>
    </row>
    <row r="3324" spans="1:4" ht="14">
      <c r="A3324" s="16">
        <v>43699</v>
      </c>
      <c r="B3324" s="17">
        <v>10119.709999999999</v>
      </c>
      <c r="C3324" s="18">
        <v>17097508856</v>
      </c>
      <c r="D3324" s="21">
        <f t="shared" si="7"/>
        <v>120469603278</v>
      </c>
    </row>
    <row r="3325" spans="1:4" ht="14">
      <c r="A3325" s="16">
        <v>43700</v>
      </c>
      <c r="B3325" s="17">
        <v>10414.14</v>
      </c>
      <c r="C3325" s="18">
        <v>15627023886</v>
      </c>
      <c r="D3325" s="21">
        <f t="shared" si="7"/>
        <v>114667997052</v>
      </c>
    </row>
    <row r="3326" spans="1:4" ht="14">
      <c r="A3326" s="16">
        <v>43701</v>
      </c>
      <c r="B3326" s="17">
        <v>10147.09</v>
      </c>
      <c r="C3326" s="18">
        <v>15451030650</v>
      </c>
      <c r="D3326" s="21">
        <f t="shared" si="7"/>
        <v>110066813842</v>
      </c>
    </row>
    <row r="3327" spans="1:4" ht="14">
      <c r="A3327" s="16">
        <v>43702</v>
      </c>
      <c r="B3327" s="17">
        <v>10100.36</v>
      </c>
      <c r="C3327" s="18">
        <v>14153856610</v>
      </c>
      <c r="D3327" s="21">
        <f t="shared" si="7"/>
        <v>111739808807</v>
      </c>
    </row>
    <row r="3328" spans="1:4" ht="14">
      <c r="A3328" s="16">
        <v>43703</v>
      </c>
      <c r="B3328" s="17">
        <v>10362.64</v>
      </c>
      <c r="C3328" s="18">
        <v>18438654080</v>
      </c>
      <c r="D3328" s="21">
        <f t="shared" si="7"/>
        <v>112893851548</v>
      </c>
    </row>
    <row r="3329" spans="1:4" ht="14">
      <c r="A3329" s="16">
        <v>43704</v>
      </c>
      <c r="B3329" s="17">
        <v>10168.219999999999</v>
      </c>
      <c r="C3329" s="18">
        <v>14762609503</v>
      </c>
      <c r="D3329" s="21">
        <f t="shared" si="7"/>
        <v>115294241025</v>
      </c>
    </row>
    <row r="3330" spans="1:4" ht="14">
      <c r="A3330" s="16">
        <v>43705</v>
      </c>
      <c r="B3330" s="17">
        <v>9724.7999999999993</v>
      </c>
      <c r="C3330" s="18">
        <v>17603790323</v>
      </c>
      <c r="D3330" s="21">
        <f t="shared" si="7"/>
        <v>115003768353</v>
      </c>
    </row>
    <row r="3331" spans="1:4" ht="14">
      <c r="A3331" s="16">
        <v>43706</v>
      </c>
      <c r="B3331" s="17">
        <v>9482.31</v>
      </c>
      <c r="C3331" s="18">
        <v>17045878501</v>
      </c>
      <c r="D3331" s="21">
        <f t="shared" si="7"/>
        <v>113134473908</v>
      </c>
    </row>
    <row r="3332" spans="1:4" ht="14">
      <c r="A3332" s="16">
        <v>43707</v>
      </c>
      <c r="B3332" s="17">
        <v>9577.68</v>
      </c>
      <c r="C3332" s="18">
        <v>13595263986</v>
      </c>
      <c r="D3332" s="21">
        <f t="shared" si="7"/>
        <v>113082843553</v>
      </c>
    </row>
    <row r="3333" spans="1:4" ht="14">
      <c r="A3333" s="16">
        <v>43708</v>
      </c>
      <c r="B3333" s="17">
        <v>9605.02</v>
      </c>
      <c r="C3333" s="18">
        <v>11454806419</v>
      </c>
      <c r="D3333" s="21">
        <f t="shared" si="7"/>
        <v>111051083653</v>
      </c>
    </row>
    <row r="3334" spans="1:4" ht="14">
      <c r="A3334" s="16">
        <v>43709</v>
      </c>
      <c r="B3334" s="17">
        <v>9762.94</v>
      </c>
      <c r="C3334" s="18">
        <v>11445355859</v>
      </c>
      <c r="D3334" s="21">
        <f t="shared" si="7"/>
        <v>107054859422</v>
      </c>
    </row>
    <row r="3335" spans="1:4" ht="14">
      <c r="A3335" s="16">
        <v>43710</v>
      </c>
      <c r="B3335" s="17">
        <v>10377.34</v>
      </c>
      <c r="C3335" s="18">
        <v>17248102294</v>
      </c>
      <c r="D3335" s="21">
        <f t="shared" si="7"/>
        <v>104346358671</v>
      </c>
    </row>
    <row r="3336" spans="1:4" ht="14">
      <c r="A3336" s="16">
        <v>43711</v>
      </c>
      <c r="B3336" s="17">
        <v>10618.78</v>
      </c>
      <c r="C3336" s="18">
        <v>19384917989</v>
      </c>
      <c r="D3336" s="21">
        <f t="shared" si="7"/>
        <v>103155806885</v>
      </c>
    </row>
    <row r="3337" spans="1:4" ht="14">
      <c r="A3337" s="16">
        <v>43712</v>
      </c>
      <c r="B3337" s="17">
        <v>10577.24</v>
      </c>
      <c r="C3337" s="18">
        <v>16742664769</v>
      </c>
      <c r="D3337" s="21">
        <f t="shared" si="7"/>
        <v>107778115371</v>
      </c>
    </row>
    <row r="3338" spans="1:4" ht="14">
      <c r="A3338" s="16">
        <v>43713</v>
      </c>
      <c r="B3338" s="17">
        <v>10580.18</v>
      </c>
      <c r="C3338" s="18">
        <v>14551239508</v>
      </c>
      <c r="D3338" s="21">
        <f t="shared" si="7"/>
        <v>106916989817</v>
      </c>
    </row>
    <row r="3339" spans="1:4" ht="14">
      <c r="A3339" s="16">
        <v>43714</v>
      </c>
      <c r="B3339" s="17">
        <v>10330.85</v>
      </c>
      <c r="C3339" s="18">
        <v>19536574783</v>
      </c>
      <c r="D3339" s="21">
        <f t="shared" si="7"/>
        <v>104422350824</v>
      </c>
    </row>
    <row r="3340" spans="1:4" ht="14">
      <c r="A3340" s="16">
        <v>43715</v>
      </c>
      <c r="B3340" s="17">
        <v>10494.51</v>
      </c>
      <c r="C3340" s="18">
        <v>15307366476</v>
      </c>
      <c r="D3340" s="21">
        <f t="shared" si="7"/>
        <v>110363661621</v>
      </c>
    </row>
    <row r="3341" spans="1:4" ht="14">
      <c r="A3341" s="16">
        <v>43716</v>
      </c>
      <c r="B3341" s="17">
        <v>10407.27</v>
      </c>
      <c r="C3341" s="18">
        <v>13670567493</v>
      </c>
      <c r="D3341" s="21">
        <f t="shared" si="7"/>
        <v>114216221678</v>
      </c>
    </row>
    <row r="3342" spans="1:4" ht="14">
      <c r="A3342" s="16">
        <v>43717</v>
      </c>
      <c r="B3342" s="17">
        <v>10332.459999999999</v>
      </c>
      <c r="C3342" s="18">
        <v>17595943368</v>
      </c>
      <c r="D3342" s="21">
        <f t="shared" si="7"/>
        <v>116441433312</v>
      </c>
    </row>
    <row r="3343" spans="1:4" ht="14">
      <c r="A3343" s="16">
        <v>43718</v>
      </c>
      <c r="B3343" s="17">
        <v>10085.950000000001</v>
      </c>
      <c r="C3343" s="18">
        <v>14906809639</v>
      </c>
      <c r="D3343" s="21">
        <f t="shared" si="7"/>
        <v>116789274386</v>
      </c>
    </row>
    <row r="3344" spans="1:4" ht="14">
      <c r="A3344" s="16">
        <v>43719</v>
      </c>
      <c r="B3344" s="17">
        <v>10142.15</v>
      </c>
      <c r="C3344" s="18">
        <v>15428063426</v>
      </c>
      <c r="D3344" s="21">
        <f t="shared" si="7"/>
        <v>112311166036</v>
      </c>
    </row>
    <row r="3345" spans="1:4" ht="14">
      <c r="A3345" s="16">
        <v>43720</v>
      </c>
      <c r="B3345" s="17">
        <v>10403.36</v>
      </c>
      <c r="C3345" s="18">
        <v>15323563925</v>
      </c>
      <c r="D3345" s="21">
        <f t="shared" si="7"/>
        <v>110996564693</v>
      </c>
    </row>
    <row r="3346" spans="1:4" ht="14">
      <c r="A3346" s="16">
        <v>43721</v>
      </c>
      <c r="B3346" s="17">
        <v>10345.34</v>
      </c>
      <c r="C3346" s="18">
        <v>14109864675</v>
      </c>
      <c r="D3346" s="21">
        <f t="shared" si="7"/>
        <v>111768889110</v>
      </c>
    </row>
    <row r="3347" spans="1:4" ht="14">
      <c r="A3347" s="16">
        <v>43722</v>
      </c>
      <c r="B3347" s="17">
        <v>10363.450000000001</v>
      </c>
      <c r="C3347" s="18">
        <v>13468713124</v>
      </c>
      <c r="D3347" s="21">
        <f t="shared" si="7"/>
        <v>106342179002</v>
      </c>
    </row>
    <row r="3348" spans="1:4" ht="14">
      <c r="A3348" s="16">
        <v>43723</v>
      </c>
      <c r="B3348" s="17">
        <v>10306.17</v>
      </c>
      <c r="C3348" s="18">
        <v>12043433567</v>
      </c>
      <c r="D3348" s="21">
        <f t="shared" si="7"/>
        <v>104503525650</v>
      </c>
    </row>
    <row r="3349" spans="1:4" ht="14">
      <c r="A3349" s="16">
        <v>43724</v>
      </c>
      <c r="B3349" s="17">
        <v>10257.82</v>
      </c>
      <c r="C3349" s="18">
        <v>15160167779</v>
      </c>
      <c r="D3349" s="21">
        <f t="shared" si="7"/>
        <v>102876391724</v>
      </c>
    </row>
    <row r="3350" spans="1:4" ht="14">
      <c r="A3350" s="16">
        <v>43725</v>
      </c>
      <c r="B3350" s="17">
        <v>10195.61</v>
      </c>
      <c r="C3350" s="18">
        <v>15304603363</v>
      </c>
      <c r="D3350" s="21">
        <f t="shared" si="7"/>
        <v>100440616135</v>
      </c>
    </row>
    <row r="3351" spans="1:4" ht="14">
      <c r="A3351" s="16">
        <v>43726</v>
      </c>
      <c r="B3351" s="17">
        <v>10161.32</v>
      </c>
      <c r="C3351" s="18">
        <v>16169268880</v>
      </c>
      <c r="D3351" s="21">
        <f t="shared" si="7"/>
        <v>100838409859</v>
      </c>
    </row>
    <row r="3352" spans="1:4" ht="14">
      <c r="A3352" s="16">
        <v>43727</v>
      </c>
      <c r="B3352" s="17">
        <v>10268.39</v>
      </c>
      <c r="C3352" s="18">
        <v>19937691247</v>
      </c>
      <c r="D3352" s="21">
        <f t="shared" si="7"/>
        <v>101579615313</v>
      </c>
    </row>
    <row r="3353" spans="1:4" ht="14">
      <c r="A3353" s="16">
        <v>43728</v>
      </c>
      <c r="B3353" s="17">
        <v>10170.129999999999</v>
      </c>
      <c r="C3353" s="18">
        <v>14734189639</v>
      </c>
      <c r="D3353" s="21">
        <f t="shared" si="7"/>
        <v>106193742635</v>
      </c>
    </row>
    <row r="3354" spans="1:4" ht="14">
      <c r="A3354" s="16">
        <v>43729</v>
      </c>
      <c r="B3354" s="17">
        <v>9986.41</v>
      </c>
      <c r="C3354" s="18">
        <v>13425266806</v>
      </c>
      <c r="D3354" s="21">
        <f t="shared" si="7"/>
        <v>106818067599</v>
      </c>
    </row>
    <row r="3355" spans="1:4" ht="14">
      <c r="A3355" s="16">
        <v>43730</v>
      </c>
      <c r="B3355" s="17">
        <v>10047.01</v>
      </c>
      <c r="C3355" s="18">
        <v>13199651698</v>
      </c>
      <c r="D3355" s="21">
        <f t="shared" si="7"/>
        <v>106774621281</v>
      </c>
    </row>
    <row r="3356" spans="1:4" ht="14">
      <c r="A3356" s="16">
        <v>43731</v>
      </c>
      <c r="B3356" s="17">
        <v>9692.74</v>
      </c>
      <c r="C3356" s="18">
        <v>15144925408</v>
      </c>
      <c r="D3356" s="21">
        <f t="shared" si="7"/>
        <v>107930839412</v>
      </c>
    </row>
    <row r="3357" spans="1:4" ht="14">
      <c r="A3357" s="16">
        <v>43732</v>
      </c>
      <c r="B3357" s="17">
        <v>8613.67</v>
      </c>
      <c r="C3357" s="18">
        <v>25002886689</v>
      </c>
      <c r="D3357" s="21">
        <f t="shared" si="7"/>
        <v>107915597041</v>
      </c>
    </row>
    <row r="3358" spans="1:4" ht="14">
      <c r="A3358" s="16">
        <v>43733</v>
      </c>
      <c r="B3358" s="17">
        <v>8424.16</v>
      </c>
      <c r="C3358" s="18">
        <v>21744728353</v>
      </c>
      <c r="D3358" s="21">
        <f t="shared" si="7"/>
        <v>117613880367</v>
      </c>
    </row>
    <row r="3359" spans="1:4" ht="14">
      <c r="A3359" s="16">
        <v>43734</v>
      </c>
      <c r="B3359" s="17">
        <v>8091.7</v>
      </c>
      <c r="C3359" s="18">
        <v>19258205289</v>
      </c>
      <c r="D3359" s="21">
        <f t="shared" si="7"/>
        <v>123189339840</v>
      </c>
    </row>
    <row r="3360" spans="1:4" ht="14">
      <c r="A3360" s="16">
        <v>43735</v>
      </c>
      <c r="B3360" s="17">
        <v>8186.78</v>
      </c>
      <c r="C3360" s="18">
        <v>16408941156</v>
      </c>
      <c r="D3360" s="21">
        <f t="shared" si="7"/>
        <v>122509853882</v>
      </c>
    </row>
    <row r="3361" spans="1:4" ht="14">
      <c r="A3361" s="16">
        <v>43736</v>
      </c>
      <c r="B3361" s="17">
        <v>8201.98</v>
      </c>
      <c r="C3361" s="18">
        <v>14141152736</v>
      </c>
      <c r="D3361" s="21">
        <f t="shared" si="7"/>
        <v>124184605399</v>
      </c>
    </row>
    <row r="3362" spans="1:4" ht="14">
      <c r="A3362" s="16">
        <v>43737</v>
      </c>
      <c r="B3362" s="17">
        <v>8064.51</v>
      </c>
      <c r="C3362" s="18">
        <v>13034629109</v>
      </c>
      <c r="D3362" s="21">
        <f t="shared" si="7"/>
        <v>124900491329</v>
      </c>
    </row>
    <row r="3363" spans="1:4" ht="14">
      <c r="A3363" s="16">
        <v>43738</v>
      </c>
      <c r="B3363" s="17">
        <v>8282.3700000000008</v>
      </c>
      <c r="C3363" s="18">
        <v>17115474183</v>
      </c>
      <c r="D3363" s="21">
        <f t="shared" si="7"/>
        <v>124735468740</v>
      </c>
    </row>
    <row r="3364" spans="1:4" ht="14">
      <c r="A3364" s="16">
        <v>43739</v>
      </c>
      <c r="B3364" s="17">
        <v>8314.5499999999993</v>
      </c>
      <c r="C3364" s="18">
        <v>15305343413</v>
      </c>
      <c r="D3364" s="21">
        <f t="shared" si="7"/>
        <v>126706017515</v>
      </c>
    </row>
    <row r="3365" spans="1:4" ht="14">
      <c r="A3365" s="16">
        <v>43740</v>
      </c>
      <c r="B3365" s="17">
        <v>8362.5300000000007</v>
      </c>
      <c r="C3365" s="18">
        <v>13125712443</v>
      </c>
      <c r="D3365" s="21">
        <f t="shared" si="7"/>
        <v>117008474239</v>
      </c>
    </row>
    <row r="3366" spans="1:4" ht="14">
      <c r="A3366" s="16">
        <v>43741</v>
      </c>
      <c r="B3366" s="17">
        <v>8254.34</v>
      </c>
      <c r="C3366" s="18">
        <v>13668823409</v>
      </c>
      <c r="D3366" s="21">
        <f t="shared" si="7"/>
        <v>108389458329</v>
      </c>
    </row>
    <row r="3367" spans="1:4" ht="14">
      <c r="A3367" s="16">
        <v>43742</v>
      </c>
      <c r="B3367" s="17">
        <v>8165.69</v>
      </c>
      <c r="C3367" s="18">
        <v>13139456229</v>
      </c>
      <c r="D3367" s="21">
        <f t="shared" si="7"/>
        <v>102800076449</v>
      </c>
    </row>
    <row r="3368" spans="1:4" ht="14">
      <c r="A3368" s="16">
        <v>43743</v>
      </c>
      <c r="B3368" s="17">
        <v>8141.63</v>
      </c>
      <c r="C3368" s="18">
        <v>12200497197</v>
      </c>
      <c r="D3368" s="21">
        <f t="shared" si="7"/>
        <v>99530591522</v>
      </c>
    </row>
    <row r="3369" spans="1:4" ht="14">
      <c r="A3369" s="16">
        <v>43744</v>
      </c>
      <c r="B3369" s="17">
        <v>7854.61</v>
      </c>
      <c r="C3369" s="18">
        <v>13160830305</v>
      </c>
      <c r="D3369" s="21">
        <f t="shared" si="7"/>
        <v>97589935983</v>
      </c>
    </row>
    <row r="3370" spans="1:4" ht="14">
      <c r="A3370" s="16">
        <v>43745</v>
      </c>
      <c r="B3370" s="17">
        <v>8226.02</v>
      </c>
      <c r="C3370" s="18">
        <v>18009742607</v>
      </c>
      <c r="D3370" s="21">
        <f t="shared" si="7"/>
        <v>97716137179</v>
      </c>
    </row>
    <row r="3371" spans="1:4" ht="14">
      <c r="A3371" s="16">
        <v>43746</v>
      </c>
      <c r="B3371" s="17">
        <v>8190.12</v>
      </c>
      <c r="C3371" s="18">
        <v>15592264032</v>
      </c>
      <c r="D3371" s="21">
        <f t="shared" si="7"/>
        <v>98610405603</v>
      </c>
    </row>
    <row r="3372" spans="1:4" ht="14">
      <c r="A3372" s="16">
        <v>43747</v>
      </c>
      <c r="B3372" s="17">
        <v>8598.33</v>
      </c>
      <c r="C3372" s="18">
        <v>19384942333</v>
      </c>
      <c r="D3372" s="21">
        <f t="shared" si="7"/>
        <v>98897326222</v>
      </c>
    </row>
    <row r="3373" spans="1:4" ht="14">
      <c r="A3373" s="16">
        <v>43748</v>
      </c>
      <c r="B3373" s="17">
        <v>8578.09</v>
      </c>
      <c r="C3373" s="18">
        <v>17618660671</v>
      </c>
      <c r="D3373" s="21">
        <f t="shared" si="7"/>
        <v>105156556112</v>
      </c>
    </row>
    <row r="3374" spans="1:4" ht="14">
      <c r="A3374" s="16">
        <v>43749</v>
      </c>
      <c r="B3374" s="17">
        <v>8289.85</v>
      </c>
      <c r="C3374" s="18">
        <v>19604381101</v>
      </c>
      <c r="D3374" s="21">
        <f t="shared" si="7"/>
        <v>109106393374</v>
      </c>
    </row>
    <row r="3375" spans="1:4" ht="14">
      <c r="A3375" s="16">
        <v>43750</v>
      </c>
      <c r="B3375" s="17">
        <v>8323.75</v>
      </c>
      <c r="C3375" s="18">
        <v>14532641605</v>
      </c>
      <c r="D3375" s="21">
        <f t="shared" si="7"/>
        <v>115571318246</v>
      </c>
    </row>
    <row r="3376" spans="1:4" ht="14">
      <c r="A3376" s="16">
        <v>43751</v>
      </c>
      <c r="B3376" s="17">
        <v>8291.25</v>
      </c>
      <c r="C3376" s="18">
        <v>13808286059</v>
      </c>
      <c r="D3376" s="21">
        <f t="shared" si="7"/>
        <v>117903462654</v>
      </c>
    </row>
    <row r="3377" spans="1:4" ht="14">
      <c r="A3377" s="16">
        <v>43752</v>
      </c>
      <c r="B3377" s="17">
        <v>8346.3700000000008</v>
      </c>
      <c r="C3377" s="18">
        <v>15151387859</v>
      </c>
      <c r="D3377" s="21">
        <f t="shared" si="7"/>
        <v>118550918408</v>
      </c>
    </row>
    <row r="3378" spans="1:4" ht="14">
      <c r="A3378" s="16">
        <v>43753</v>
      </c>
      <c r="B3378" s="17">
        <v>8160.71</v>
      </c>
      <c r="C3378" s="18">
        <v>15220412632</v>
      </c>
      <c r="D3378" s="21">
        <f t="shared" si="7"/>
        <v>115692563660</v>
      </c>
    </row>
    <row r="3379" spans="1:4" ht="14">
      <c r="A3379" s="16">
        <v>43754</v>
      </c>
      <c r="B3379" s="17">
        <v>8003.86</v>
      </c>
      <c r="C3379" s="18">
        <v>16071646996</v>
      </c>
      <c r="D3379" s="21">
        <f t="shared" si="7"/>
        <v>115320712260</v>
      </c>
    </row>
    <row r="3380" spans="1:4" ht="14">
      <c r="A3380" s="16">
        <v>43755</v>
      </c>
      <c r="B3380" s="17">
        <v>8072.49</v>
      </c>
      <c r="C3380" s="18">
        <v>14313052244</v>
      </c>
      <c r="D3380" s="21">
        <f t="shared" si="7"/>
        <v>112007416923</v>
      </c>
    </row>
    <row r="3381" spans="1:4" ht="14">
      <c r="A3381" s="16">
        <v>43756</v>
      </c>
      <c r="B3381" s="17">
        <v>7959.33</v>
      </c>
      <c r="C3381" s="18">
        <v>15651592610</v>
      </c>
      <c r="D3381" s="21">
        <f t="shared" si="7"/>
        <v>108701808496</v>
      </c>
    </row>
    <row r="3382" spans="1:4" ht="14">
      <c r="A3382" s="16">
        <v>43757</v>
      </c>
      <c r="B3382" s="17">
        <v>7948.48</v>
      </c>
      <c r="C3382" s="18">
        <v>13797825640</v>
      </c>
      <c r="D3382" s="21">
        <f t="shared" si="7"/>
        <v>104749020005</v>
      </c>
    </row>
    <row r="3383" spans="1:4" ht="14">
      <c r="A3383" s="16">
        <v>43758</v>
      </c>
      <c r="B3383" s="17">
        <v>8213.7099999999991</v>
      </c>
      <c r="C3383" s="18">
        <v>15504249442</v>
      </c>
      <c r="D3383" s="21">
        <f t="shared" si="7"/>
        <v>104014204040</v>
      </c>
    </row>
    <row r="3384" spans="1:4" ht="14">
      <c r="A3384" s="16">
        <v>43759</v>
      </c>
      <c r="B3384" s="17">
        <v>8211.65</v>
      </c>
      <c r="C3384" s="18">
        <v>15868748866</v>
      </c>
      <c r="D3384" s="21">
        <f t="shared" si="7"/>
        <v>105710167423</v>
      </c>
    </row>
    <row r="3385" spans="1:4" ht="14">
      <c r="A3385" s="16">
        <v>43760</v>
      </c>
      <c r="B3385" s="17">
        <v>8029.21</v>
      </c>
      <c r="C3385" s="18">
        <v>16803377857</v>
      </c>
      <c r="D3385" s="21">
        <f t="shared" si="7"/>
        <v>106427528430</v>
      </c>
    </row>
    <row r="3386" spans="1:4" ht="14">
      <c r="A3386" s="16">
        <v>43761</v>
      </c>
      <c r="B3386" s="17">
        <v>7458.04</v>
      </c>
      <c r="C3386" s="18">
        <v>21942878958</v>
      </c>
      <c r="D3386" s="21">
        <f t="shared" si="7"/>
        <v>108010493655</v>
      </c>
    </row>
    <row r="3387" spans="1:4" ht="14">
      <c r="A3387" s="16">
        <v>43762</v>
      </c>
      <c r="B3387" s="17">
        <v>7454.37</v>
      </c>
      <c r="C3387" s="18">
        <v>16268708849</v>
      </c>
      <c r="D3387" s="21">
        <f t="shared" si="7"/>
        <v>113881725617</v>
      </c>
    </row>
    <row r="3388" spans="1:4" ht="14">
      <c r="A3388" s="16">
        <v>43763</v>
      </c>
      <c r="B3388" s="17">
        <v>8656.66</v>
      </c>
      <c r="C3388" s="18">
        <v>28705065488</v>
      </c>
      <c r="D3388" s="21">
        <f t="shared" si="7"/>
        <v>115837382222</v>
      </c>
    </row>
    <row r="3389" spans="1:4" ht="14">
      <c r="A3389" s="16">
        <v>43764</v>
      </c>
      <c r="B3389" s="17">
        <v>9249.65</v>
      </c>
      <c r="C3389" s="18">
        <v>44496255609</v>
      </c>
      <c r="D3389" s="21">
        <f t="shared" si="7"/>
        <v>128890855100</v>
      </c>
    </row>
    <row r="3390" spans="1:4" ht="14">
      <c r="A3390" s="16">
        <v>43765</v>
      </c>
      <c r="B3390" s="17">
        <v>9558.16</v>
      </c>
      <c r="C3390" s="18">
        <v>32593129501</v>
      </c>
      <c r="D3390" s="21">
        <f t="shared" si="7"/>
        <v>159589285069</v>
      </c>
    </row>
    <row r="3391" spans="1:4" ht="14">
      <c r="A3391" s="16">
        <v>43766</v>
      </c>
      <c r="B3391" s="17">
        <v>9319.18</v>
      </c>
      <c r="C3391" s="18">
        <v>30948255332</v>
      </c>
      <c r="D3391" s="21">
        <f t="shared" si="7"/>
        <v>176678165128</v>
      </c>
    </row>
    <row r="3392" spans="1:4" ht="14">
      <c r="A3392" s="16">
        <v>43767</v>
      </c>
      <c r="B3392" s="17">
        <v>9431.2099999999991</v>
      </c>
      <c r="C3392" s="18">
        <v>28426779937</v>
      </c>
      <c r="D3392" s="21">
        <f t="shared" si="7"/>
        <v>191757671594</v>
      </c>
    </row>
    <row r="3393" spans="1:4" ht="14">
      <c r="A3393" s="16">
        <v>43768</v>
      </c>
      <c r="B3393" s="17">
        <v>9182.86</v>
      </c>
      <c r="C3393" s="18">
        <v>27706531577</v>
      </c>
      <c r="D3393" s="21">
        <f t="shared" si="7"/>
        <v>203381073674</v>
      </c>
    </row>
    <row r="3394" spans="1:4" ht="14">
      <c r="A3394" s="16">
        <v>43769</v>
      </c>
      <c r="B3394" s="17">
        <v>9155.2800000000007</v>
      </c>
      <c r="C3394" s="18">
        <v>26583653947</v>
      </c>
      <c r="D3394" s="21">
        <f t="shared" si="7"/>
        <v>209144726293</v>
      </c>
    </row>
    <row r="3395" spans="1:4" ht="14">
      <c r="A3395" s="16">
        <v>43770</v>
      </c>
      <c r="B3395" s="17">
        <v>9251.3799999999992</v>
      </c>
      <c r="C3395" s="18">
        <v>24324691031</v>
      </c>
      <c r="D3395" s="21">
        <f t="shared" si="7"/>
        <v>219459671391</v>
      </c>
    </row>
    <row r="3396" spans="1:4" ht="14">
      <c r="A3396" s="16">
        <v>43771</v>
      </c>
      <c r="B3396" s="17">
        <v>9300.19</v>
      </c>
      <c r="C3396" s="18">
        <v>21242676385</v>
      </c>
      <c r="D3396" s="21">
        <f t="shared" si="7"/>
        <v>215079296934</v>
      </c>
    </row>
    <row r="3397" spans="1:4" ht="14">
      <c r="A3397" s="16">
        <v>43772</v>
      </c>
      <c r="B3397" s="17">
        <v>9209.64</v>
      </c>
      <c r="C3397" s="18">
        <v>21132220847</v>
      </c>
      <c r="D3397" s="21">
        <f t="shared" si="7"/>
        <v>191825717710</v>
      </c>
    </row>
    <row r="3398" spans="1:4" ht="14">
      <c r="A3398" s="16">
        <v>43773</v>
      </c>
      <c r="B3398" s="17">
        <v>9418.36</v>
      </c>
      <c r="C3398" s="18">
        <v>26170255634</v>
      </c>
      <c r="D3398" s="21">
        <f t="shared" si="7"/>
        <v>180364809056</v>
      </c>
    </row>
    <row r="3399" spans="1:4" ht="14">
      <c r="A3399" s="16">
        <v>43774</v>
      </c>
      <c r="B3399" s="17">
        <v>9330.7900000000009</v>
      </c>
      <c r="C3399" s="18">
        <v>26198609048</v>
      </c>
      <c r="D3399" s="21">
        <f t="shared" si="7"/>
        <v>175586809358</v>
      </c>
    </row>
    <row r="3400" spans="1:4" ht="14">
      <c r="A3400" s="16">
        <v>43775</v>
      </c>
      <c r="B3400" s="17">
        <v>9354.93</v>
      </c>
      <c r="C3400" s="18">
        <v>23133895765</v>
      </c>
      <c r="D3400" s="21">
        <f t="shared" si="7"/>
        <v>173358638469</v>
      </c>
    </row>
    <row r="3401" spans="1:4" ht="14">
      <c r="A3401" s="16">
        <v>43776</v>
      </c>
      <c r="B3401" s="17">
        <v>9210.75</v>
      </c>
      <c r="C3401" s="18">
        <v>22700383839</v>
      </c>
      <c r="D3401" s="21">
        <f t="shared" si="7"/>
        <v>168786002657</v>
      </c>
    </row>
    <row r="3402" spans="1:4" ht="14">
      <c r="A3402" s="16">
        <v>43777</v>
      </c>
      <c r="B3402" s="17">
        <v>8791.33</v>
      </c>
      <c r="C3402" s="18">
        <v>24333037836</v>
      </c>
      <c r="D3402" s="21">
        <f t="shared" si="7"/>
        <v>164902732549</v>
      </c>
    </row>
    <row r="3403" spans="1:4" ht="14">
      <c r="A3403" s="16">
        <v>43778</v>
      </c>
      <c r="B3403" s="17">
        <v>8810.7800000000007</v>
      </c>
      <c r="C3403" s="18">
        <v>17578630606</v>
      </c>
      <c r="D3403" s="21">
        <f t="shared" si="7"/>
        <v>164911079354</v>
      </c>
    </row>
    <row r="3404" spans="1:4" ht="14">
      <c r="A3404" s="16">
        <v>43779</v>
      </c>
      <c r="B3404" s="17">
        <v>9042.89</v>
      </c>
      <c r="C3404" s="18">
        <v>20587919881</v>
      </c>
      <c r="D3404" s="21">
        <f t="shared" si="7"/>
        <v>161247033575</v>
      </c>
    </row>
    <row r="3405" spans="1:4" ht="14">
      <c r="A3405" s="16">
        <v>43780</v>
      </c>
      <c r="B3405" s="17">
        <v>8713.2099999999991</v>
      </c>
      <c r="C3405" s="18">
        <v>20265510765</v>
      </c>
      <c r="D3405" s="21">
        <f t="shared" si="7"/>
        <v>160702732609</v>
      </c>
    </row>
    <row r="3406" spans="1:4" ht="14">
      <c r="A3406" s="16">
        <v>43781</v>
      </c>
      <c r="B3406" s="17">
        <v>8788.9599999999991</v>
      </c>
      <c r="C3406" s="18">
        <v>20309769107</v>
      </c>
      <c r="D3406" s="21">
        <f t="shared" si="7"/>
        <v>154797987740</v>
      </c>
    </row>
    <row r="3407" spans="1:4" ht="14">
      <c r="A3407" s="16">
        <v>43782</v>
      </c>
      <c r="B3407" s="17">
        <v>8766.73</v>
      </c>
      <c r="C3407" s="18">
        <v>17545755405</v>
      </c>
      <c r="D3407" s="21">
        <f t="shared" si="7"/>
        <v>148909147799</v>
      </c>
    </row>
    <row r="3408" spans="1:4" ht="14">
      <c r="A3408" s="16">
        <v>43783</v>
      </c>
      <c r="B3408" s="17">
        <v>8645.44</v>
      </c>
      <c r="C3408" s="18">
        <v>19084739975</v>
      </c>
      <c r="D3408" s="21">
        <f t="shared" si="7"/>
        <v>143321007439</v>
      </c>
    </row>
    <row r="3409" spans="1:4" ht="14">
      <c r="A3409" s="16">
        <v>43784</v>
      </c>
      <c r="B3409" s="17">
        <v>8465.8799999999992</v>
      </c>
      <c r="C3409" s="18">
        <v>21796856471</v>
      </c>
      <c r="D3409" s="21">
        <f t="shared" si="7"/>
        <v>139705363575</v>
      </c>
    </row>
    <row r="3410" spans="1:4" ht="14">
      <c r="A3410" s="16">
        <v>43785</v>
      </c>
      <c r="B3410" s="17">
        <v>8477.69</v>
      </c>
      <c r="C3410" s="18">
        <v>16495389808</v>
      </c>
      <c r="D3410" s="21">
        <f t="shared" si="7"/>
        <v>137169182210</v>
      </c>
    </row>
    <row r="3411" spans="1:4" ht="14">
      <c r="A3411" s="16">
        <v>43786</v>
      </c>
      <c r="B3411" s="17">
        <v>8505.16</v>
      </c>
      <c r="C3411" s="18">
        <v>18668638897</v>
      </c>
      <c r="D3411" s="21">
        <f t="shared" si="7"/>
        <v>136085941412</v>
      </c>
    </row>
    <row r="3412" spans="1:4" ht="14">
      <c r="A3412" s="16">
        <v>43787</v>
      </c>
      <c r="B3412" s="17">
        <v>8183.53</v>
      </c>
      <c r="C3412" s="18">
        <v>21579470673</v>
      </c>
      <c r="D3412" s="21">
        <f t="shared" si="7"/>
        <v>134166660428</v>
      </c>
    </row>
    <row r="3413" spans="1:4" ht="14">
      <c r="A3413" s="16">
        <v>43788</v>
      </c>
      <c r="B3413" s="17">
        <v>8116.82</v>
      </c>
      <c r="C3413" s="18">
        <v>21083613816</v>
      </c>
      <c r="D3413" s="21">
        <f t="shared" si="7"/>
        <v>135480620336</v>
      </c>
    </row>
    <row r="3414" spans="1:4" ht="14">
      <c r="A3414" s="16">
        <v>43789</v>
      </c>
      <c r="B3414" s="17">
        <v>8076.55</v>
      </c>
      <c r="C3414" s="18">
        <v>20764300437</v>
      </c>
      <c r="D3414" s="21">
        <f t="shared" si="7"/>
        <v>136254465045</v>
      </c>
    </row>
    <row r="3415" spans="1:4" ht="14">
      <c r="A3415" s="16">
        <v>43790</v>
      </c>
      <c r="B3415" s="17">
        <v>7612.28</v>
      </c>
      <c r="C3415" s="18">
        <v>22514243371</v>
      </c>
      <c r="D3415" s="21">
        <f t="shared" si="7"/>
        <v>139473010077</v>
      </c>
    </row>
    <row r="3416" spans="1:4" ht="14">
      <c r="A3416" s="16">
        <v>43791</v>
      </c>
      <c r="B3416" s="17">
        <v>7277.52</v>
      </c>
      <c r="C3416" s="18">
        <v>34242315785</v>
      </c>
      <c r="D3416" s="21">
        <f t="shared" si="7"/>
        <v>142902513473</v>
      </c>
    </row>
    <row r="3417" spans="1:4" ht="14">
      <c r="A3417" s="16">
        <v>43792</v>
      </c>
      <c r="B3417" s="17">
        <v>7324.84</v>
      </c>
      <c r="C3417" s="18">
        <v>21008924418</v>
      </c>
      <c r="D3417" s="21">
        <f t="shared" si="7"/>
        <v>155347972787</v>
      </c>
    </row>
    <row r="3418" spans="1:4" ht="14">
      <c r="A3418" s="16">
        <v>43793</v>
      </c>
      <c r="B3418" s="17">
        <v>6943.38</v>
      </c>
      <c r="C3418" s="18">
        <v>30433517289</v>
      </c>
      <c r="D3418" s="21">
        <f t="shared" si="7"/>
        <v>159861507397</v>
      </c>
    </row>
    <row r="3419" spans="1:4" ht="14">
      <c r="A3419" s="16">
        <v>43794</v>
      </c>
      <c r="B3419" s="17">
        <v>7139.04</v>
      </c>
      <c r="C3419" s="18">
        <v>42685231262</v>
      </c>
      <c r="D3419" s="21">
        <f t="shared" si="7"/>
        <v>171626385789</v>
      </c>
    </row>
    <row r="3420" spans="1:4" ht="14">
      <c r="A3420" s="16">
        <v>43795</v>
      </c>
      <c r="B3420" s="17">
        <v>7165.44</v>
      </c>
      <c r="C3420" s="18">
        <v>21129505542</v>
      </c>
      <c r="D3420" s="21">
        <f t="shared" si="7"/>
        <v>192732146378</v>
      </c>
    </row>
    <row r="3421" spans="1:4" ht="14">
      <c r="A3421" s="16">
        <v>43796</v>
      </c>
      <c r="B3421" s="17">
        <v>7526.86</v>
      </c>
      <c r="C3421" s="18">
        <v>23991412764</v>
      </c>
      <c r="D3421" s="21">
        <f t="shared" si="7"/>
        <v>192778038104</v>
      </c>
    </row>
    <row r="3422" spans="1:4" ht="14">
      <c r="A3422" s="16">
        <v>43797</v>
      </c>
      <c r="B3422" s="17">
        <v>7436.34</v>
      </c>
      <c r="C3422" s="18">
        <v>19050116751</v>
      </c>
      <c r="D3422" s="21">
        <f t="shared" si="7"/>
        <v>196005150431</v>
      </c>
    </row>
    <row r="3423" spans="1:4" ht="14">
      <c r="A3423" s="16">
        <v>43798</v>
      </c>
      <c r="B3423" s="17">
        <v>7747.74</v>
      </c>
      <c r="C3423" s="18">
        <v>19709695456</v>
      </c>
      <c r="D3423" s="21">
        <f t="shared" si="7"/>
        <v>192541023811</v>
      </c>
    </row>
    <row r="3424" spans="1:4" ht="14">
      <c r="A3424" s="16">
        <v>43799</v>
      </c>
      <c r="B3424" s="17">
        <v>7556.19</v>
      </c>
      <c r="C3424" s="18">
        <v>17158194786</v>
      </c>
      <c r="D3424" s="21">
        <f t="shared" si="7"/>
        <v>178008403482</v>
      </c>
    </row>
    <row r="3425" spans="1:4" ht="14">
      <c r="A3425" s="16">
        <v>43800</v>
      </c>
      <c r="B3425" s="17">
        <v>7417.73</v>
      </c>
      <c r="C3425" s="18">
        <v>18720708479</v>
      </c>
      <c r="D3425" s="21">
        <f t="shared" si="7"/>
        <v>174157673850</v>
      </c>
    </row>
    <row r="3426" spans="1:4" ht="14">
      <c r="A3426" s="16">
        <v>43801</v>
      </c>
      <c r="B3426" s="17">
        <v>7318.31</v>
      </c>
      <c r="C3426" s="18">
        <v>17082040706</v>
      </c>
      <c r="D3426" s="21">
        <f t="shared" si="7"/>
        <v>162444865040</v>
      </c>
    </row>
    <row r="3427" spans="1:4" ht="14">
      <c r="A3427" s="16">
        <v>43802</v>
      </c>
      <c r="B3427" s="17">
        <v>7306.45</v>
      </c>
      <c r="C3427" s="18">
        <v>14797485769</v>
      </c>
      <c r="D3427" s="21">
        <f t="shared" si="7"/>
        <v>136841674484</v>
      </c>
    </row>
    <row r="3428" spans="1:4" ht="14">
      <c r="A3428" s="16">
        <v>43803</v>
      </c>
      <c r="B3428" s="17">
        <v>7215.02</v>
      </c>
      <c r="C3428" s="18">
        <v>21664240918</v>
      </c>
      <c r="D3428" s="21">
        <f t="shared" si="7"/>
        <v>130509654711</v>
      </c>
    </row>
    <row r="3429" spans="1:4" ht="14">
      <c r="A3429" s="16">
        <v>43804</v>
      </c>
      <c r="B3429" s="17">
        <v>7404.09</v>
      </c>
      <c r="C3429" s="18">
        <v>18816085231</v>
      </c>
      <c r="D3429" s="21">
        <f t="shared" si="7"/>
        <v>128182482865</v>
      </c>
    </row>
    <row r="3430" spans="1:4" ht="14">
      <c r="A3430" s="16">
        <v>43805</v>
      </c>
      <c r="B3430" s="17">
        <v>7534.21</v>
      </c>
      <c r="C3430" s="18">
        <v>18104466307</v>
      </c>
      <c r="D3430" s="21">
        <f t="shared" si="7"/>
        <v>127948451345</v>
      </c>
    </row>
    <row r="3431" spans="1:4" ht="14">
      <c r="A3431" s="16">
        <v>43806</v>
      </c>
      <c r="B3431" s="17">
        <v>7512.06</v>
      </c>
      <c r="C3431" s="18">
        <v>15453520564</v>
      </c>
      <c r="D3431" s="21">
        <f t="shared" si="7"/>
        <v>126343222196</v>
      </c>
    </row>
    <row r="3432" spans="1:4" ht="14">
      <c r="A3432" s="16">
        <v>43807</v>
      </c>
      <c r="B3432" s="17">
        <v>7528.94</v>
      </c>
      <c r="C3432" s="18">
        <v>15409908086</v>
      </c>
      <c r="D3432" s="21">
        <f t="shared" si="7"/>
        <v>124638547974</v>
      </c>
    </row>
    <row r="3433" spans="1:4" ht="14">
      <c r="A3433" s="16">
        <v>43808</v>
      </c>
      <c r="B3433" s="17">
        <v>7340.23</v>
      </c>
      <c r="C3433" s="18">
        <v>17872021272</v>
      </c>
      <c r="D3433" s="21">
        <f t="shared" si="7"/>
        <v>121327747581</v>
      </c>
    </row>
    <row r="3434" spans="1:4" ht="14">
      <c r="A3434" s="16">
        <v>43809</v>
      </c>
      <c r="B3434" s="17">
        <v>7232.09</v>
      </c>
      <c r="C3434" s="18">
        <v>18249031195</v>
      </c>
      <c r="D3434" s="21">
        <f t="shared" si="7"/>
        <v>122117728147</v>
      </c>
    </row>
    <row r="3435" spans="1:4" ht="14">
      <c r="A3435" s="16">
        <v>43810</v>
      </c>
      <c r="B3435" s="17">
        <v>7200.46</v>
      </c>
      <c r="C3435" s="18">
        <v>16350490689</v>
      </c>
      <c r="D3435" s="21">
        <f t="shared" si="7"/>
        <v>125569273573</v>
      </c>
    </row>
    <row r="3436" spans="1:4" ht="14">
      <c r="A3436" s="16">
        <v>43811</v>
      </c>
      <c r="B3436" s="17">
        <v>7192.85</v>
      </c>
      <c r="C3436" s="18">
        <v>18927080224</v>
      </c>
      <c r="D3436" s="21">
        <f t="shared" si="7"/>
        <v>120255523344</v>
      </c>
    </row>
    <row r="3437" spans="1:4" ht="14">
      <c r="A3437" s="16">
        <v>43812</v>
      </c>
      <c r="B3437" s="17">
        <v>7244.9</v>
      </c>
      <c r="C3437" s="18">
        <v>17125736940</v>
      </c>
      <c r="D3437" s="21">
        <f t="shared" si="7"/>
        <v>120366518337</v>
      </c>
    </row>
    <row r="3438" spans="1:4" ht="14">
      <c r="A3438" s="16">
        <v>43813</v>
      </c>
      <c r="B3438" s="17">
        <v>7071.11</v>
      </c>
      <c r="C3438" s="18">
        <v>17137029730</v>
      </c>
      <c r="D3438" s="21">
        <f t="shared" si="7"/>
        <v>119387788970</v>
      </c>
    </row>
    <row r="3439" spans="1:4" ht="14">
      <c r="A3439" s="16">
        <v>43814</v>
      </c>
      <c r="B3439" s="17">
        <v>7111.29</v>
      </c>
      <c r="C3439" s="18">
        <v>16881129804</v>
      </c>
      <c r="D3439" s="21">
        <f t="shared" si="7"/>
        <v>121071298136</v>
      </c>
    </row>
    <row r="3440" spans="1:4" ht="14">
      <c r="A3440" s="16">
        <v>43815</v>
      </c>
      <c r="B3440" s="17">
        <v>6882.4</v>
      </c>
      <c r="C3440" s="18">
        <v>20213265950</v>
      </c>
      <c r="D3440" s="21">
        <f t="shared" si="7"/>
        <v>122542519854</v>
      </c>
    </row>
    <row r="3441" spans="1:4" ht="14">
      <c r="A3441" s="16">
        <v>43816</v>
      </c>
      <c r="B3441" s="17">
        <v>6608.96</v>
      </c>
      <c r="C3441" s="18">
        <v>22363804217</v>
      </c>
      <c r="D3441" s="21">
        <f t="shared" si="7"/>
        <v>124883764532</v>
      </c>
    </row>
    <row r="3442" spans="1:4" ht="14">
      <c r="A3442" s="16">
        <v>43817</v>
      </c>
      <c r="B3442" s="17">
        <v>7284.63</v>
      </c>
      <c r="C3442" s="18">
        <v>31836522778</v>
      </c>
      <c r="D3442" s="21">
        <f t="shared" si="7"/>
        <v>128998537554</v>
      </c>
    </row>
    <row r="3443" spans="1:4" ht="14">
      <c r="A3443" s="16">
        <v>43818</v>
      </c>
      <c r="B3443" s="17">
        <v>7146.17</v>
      </c>
      <c r="C3443" s="18">
        <v>25904604416</v>
      </c>
      <c r="D3443" s="21">
        <f t="shared" si="7"/>
        <v>144484569643</v>
      </c>
    </row>
    <row r="3444" spans="1:4" ht="14">
      <c r="A3444" s="16">
        <v>43819</v>
      </c>
      <c r="B3444" s="17">
        <v>7184.22</v>
      </c>
      <c r="C3444" s="18">
        <v>22633815180</v>
      </c>
      <c r="D3444" s="21">
        <f t="shared" si="7"/>
        <v>151462093835</v>
      </c>
    </row>
    <row r="3445" spans="1:4" ht="14">
      <c r="A3445" s="16">
        <v>43820</v>
      </c>
      <c r="B3445" s="17">
        <v>7140.3</v>
      </c>
      <c r="C3445" s="18">
        <v>19312552168</v>
      </c>
      <c r="D3445" s="21">
        <f t="shared" si="7"/>
        <v>156970172075</v>
      </c>
    </row>
    <row r="3446" spans="1:4" ht="14">
      <c r="A3446" s="16">
        <v>43821</v>
      </c>
      <c r="B3446" s="17">
        <v>7479.4</v>
      </c>
      <c r="C3446" s="18">
        <v>23134537956</v>
      </c>
      <c r="D3446" s="21">
        <f t="shared" si="7"/>
        <v>159145694513</v>
      </c>
    </row>
    <row r="3447" spans="1:4" ht="14">
      <c r="A3447" s="16">
        <v>43822</v>
      </c>
      <c r="B3447" s="17">
        <v>7321.75</v>
      </c>
      <c r="C3447" s="18">
        <v>27831788041</v>
      </c>
      <c r="D3447" s="21">
        <f t="shared" si="7"/>
        <v>165399102665</v>
      </c>
    </row>
    <row r="3448" spans="1:4" ht="14">
      <c r="A3448" s="16">
        <v>43823</v>
      </c>
      <c r="B3448" s="17">
        <v>7235.63</v>
      </c>
      <c r="C3448" s="18">
        <v>22991622105</v>
      </c>
      <c r="D3448" s="21">
        <f t="shared" si="7"/>
        <v>173017624756</v>
      </c>
    </row>
    <row r="3449" spans="1:4" ht="14">
      <c r="A3449" s="16">
        <v>43824</v>
      </c>
      <c r="B3449" s="17">
        <v>7191.17</v>
      </c>
      <c r="C3449" s="18">
        <v>21559505149</v>
      </c>
      <c r="D3449" s="21">
        <f t="shared" si="7"/>
        <v>173645442644</v>
      </c>
    </row>
    <row r="3450" spans="1:4" ht="14">
      <c r="A3450" s="16">
        <v>43825</v>
      </c>
      <c r="B3450" s="17">
        <v>7194.64</v>
      </c>
      <c r="C3450" s="18">
        <v>22787010034</v>
      </c>
      <c r="D3450" s="21">
        <f t="shared" si="7"/>
        <v>163368425015</v>
      </c>
    </row>
    <row r="3451" spans="1:4" ht="14">
      <c r="A3451" s="16">
        <v>43826</v>
      </c>
      <c r="B3451" s="17">
        <v>7237.15</v>
      </c>
      <c r="C3451" s="18">
        <v>22777360996</v>
      </c>
      <c r="D3451" s="21">
        <f t="shared" si="7"/>
        <v>160250830633</v>
      </c>
    </row>
    <row r="3452" spans="1:4" ht="14">
      <c r="A3452" s="16">
        <v>43827</v>
      </c>
      <c r="B3452" s="17">
        <v>7306.64</v>
      </c>
      <c r="C3452" s="18">
        <v>21365673026</v>
      </c>
      <c r="D3452" s="21">
        <f t="shared" si="7"/>
        <v>160394376449</v>
      </c>
    </row>
    <row r="3453" spans="1:4" ht="14">
      <c r="A3453" s="16">
        <v>43828</v>
      </c>
      <c r="B3453" s="17">
        <v>7391.58</v>
      </c>
      <c r="C3453" s="18">
        <v>22445257702</v>
      </c>
      <c r="D3453" s="21">
        <f t="shared" si="7"/>
        <v>162447497307</v>
      </c>
    </row>
    <row r="3454" spans="1:4" ht="14">
      <c r="A3454" s="16">
        <v>43829</v>
      </c>
      <c r="B3454" s="17">
        <v>7229.4</v>
      </c>
      <c r="C3454" s="18">
        <v>22874131672</v>
      </c>
      <c r="D3454" s="21">
        <f t="shared" si="7"/>
        <v>161758217053</v>
      </c>
    </row>
    <row r="3455" spans="1:4" ht="14">
      <c r="A3455" s="16">
        <v>43830</v>
      </c>
      <c r="B3455" s="17">
        <v>7167.4</v>
      </c>
      <c r="C3455" s="18">
        <v>21167946112</v>
      </c>
      <c r="D3455" s="21">
        <f t="shared" si="7"/>
        <v>156800560684</v>
      </c>
    </row>
    <row r="3456" spans="1:4" ht="14">
      <c r="A3456" s="16">
        <v>43831</v>
      </c>
      <c r="B3456" s="17">
        <v>7170.63</v>
      </c>
      <c r="C3456" s="18">
        <v>18565664997</v>
      </c>
      <c r="D3456" s="21">
        <f t="shared" si="7"/>
        <v>154976884691</v>
      </c>
    </row>
    <row r="3457" spans="1:4" ht="14">
      <c r="A3457" s="16">
        <v>43832</v>
      </c>
      <c r="B3457" s="17">
        <v>6946.83</v>
      </c>
      <c r="C3457" s="18">
        <v>20802083465</v>
      </c>
      <c r="D3457" s="21">
        <f t="shared" si="7"/>
        <v>151983044539</v>
      </c>
    </row>
    <row r="3458" spans="1:4" ht="14">
      <c r="A3458" s="16">
        <v>43833</v>
      </c>
      <c r="B3458" s="17">
        <v>7315.31</v>
      </c>
      <c r="C3458" s="18">
        <v>28111481032</v>
      </c>
      <c r="D3458" s="21">
        <f t="shared" si="7"/>
        <v>149998117970</v>
      </c>
    </row>
    <row r="3459" spans="1:4" ht="14">
      <c r="A3459" s="16">
        <v>43834</v>
      </c>
      <c r="B3459" s="17">
        <v>7343.16</v>
      </c>
      <c r="C3459" s="18">
        <v>18444271275</v>
      </c>
      <c r="D3459" s="21">
        <f t="shared" si="7"/>
        <v>155332238006</v>
      </c>
    </row>
    <row r="3460" spans="1:4" ht="14">
      <c r="A3460" s="16">
        <v>43835</v>
      </c>
      <c r="B3460" s="17">
        <v>7345.53</v>
      </c>
      <c r="C3460" s="18">
        <v>19725074095</v>
      </c>
      <c r="D3460" s="21">
        <f t="shared" si="7"/>
        <v>152410836255</v>
      </c>
    </row>
    <row r="3461" spans="1:4" ht="14">
      <c r="A3461" s="16">
        <v>43836</v>
      </c>
      <c r="B3461" s="17">
        <v>7765.8</v>
      </c>
      <c r="C3461" s="18">
        <v>23276261598</v>
      </c>
      <c r="D3461" s="21">
        <f t="shared" si="7"/>
        <v>149690652648</v>
      </c>
    </row>
    <row r="3462" spans="1:4" ht="14">
      <c r="A3462" s="16">
        <v>43837</v>
      </c>
      <c r="B3462" s="17">
        <v>8136.09</v>
      </c>
      <c r="C3462" s="18">
        <v>28767291327</v>
      </c>
      <c r="D3462" s="21">
        <f t="shared" si="7"/>
        <v>150092782574</v>
      </c>
    </row>
    <row r="3463" spans="1:4" ht="14">
      <c r="A3463" s="16">
        <v>43838</v>
      </c>
      <c r="B3463" s="17">
        <v>8059.7</v>
      </c>
      <c r="C3463" s="18">
        <v>31672559265</v>
      </c>
      <c r="D3463" s="21">
        <f t="shared" si="7"/>
        <v>157692127789</v>
      </c>
    </row>
    <row r="3464" spans="1:4" ht="14">
      <c r="A3464" s="16">
        <v>43839</v>
      </c>
      <c r="B3464" s="17">
        <v>7817.14</v>
      </c>
      <c r="C3464" s="18">
        <v>24045990466</v>
      </c>
      <c r="D3464" s="21">
        <f t="shared" si="7"/>
        <v>170799022057</v>
      </c>
    </row>
    <row r="3465" spans="1:4" ht="14">
      <c r="A3465" s="16">
        <v>43840</v>
      </c>
      <c r="B3465" s="17">
        <v>8129.82</v>
      </c>
      <c r="C3465" s="18">
        <v>28714583844</v>
      </c>
      <c r="D3465" s="21">
        <f t="shared" si="7"/>
        <v>174042929058</v>
      </c>
    </row>
    <row r="3466" spans="1:4" ht="14">
      <c r="A3466" s="16">
        <v>43841</v>
      </c>
      <c r="B3466" s="17">
        <v>8032.01</v>
      </c>
      <c r="C3466" s="18">
        <v>25521165085</v>
      </c>
      <c r="D3466" s="21">
        <f t="shared" si="7"/>
        <v>174646031870</v>
      </c>
    </row>
    <row r="3467" spans="1:4" ht="14">
      <c r="A3467" s="16">
        <v>43842</v>
      </c>
      <c r="B3467" s="17">
        <v>8164.55</v>
      </c>
      <c r="C3467" s="18">
        <v>22903438381</v>
      </c>
      <c r="D3467" s="21">
        <f t="shared" si="7"/>
        <v>181722925680</v>
      </c>
    </row>
    <row r="3468" spans="1:4" ht="14">
      <c r="A3468" s="16">
        <v>43843</v>
      </c>
      <c r="B3468" s="17">
        <v>8121.93</v>
      </c>
      <c r="C3468" s="18">
        <v>22482910688</v>
      </c>
      <c r="D3468" s="21">
        <f t="shared" si="7"/>
        <v>184901289966</v>
      </c>
    </row>
    <row r="3469" spans="1:4" ht="14">
      <c r="A3469" s="16">
        <v>43844</v>
      </c>
      <c r="B3469" s="17">
        <v>8830.17</v>
      </c>
      <c r="C3469" s="18">
        <v>44841784107</v>
      </c>
      <c r="D3469" s="21">
        <f t="shared" si="7"/>
        <v>184107939056</v>
      </c>
    </row>
    <row r="3470" spans="1:4" ht="14">
      <c r="A3470" s="16">
        <v>43845</v>
      </c>
      <c r="B3470" s="17">
        <v>8811.4500000000007</v>
      </c>
      <c r="C3470" s="18">
        <v>40102834650</v>
      </c>
      <c r="D3470" s="21">
        <f t="shared" si="7"/>
        <v>200182431836</v>
      </c>
    </row>
    <row r="3471" spans="1:4" ht="14">
      <c r="A3471" s="16">
        <v>43846</v>
      </c>
      <c r="B3471" s="17">
        <v>8718.69</v>
      </c>
      <c r="C3471" s="18">
        <v>31313981931</v>
      </c>
      <c r="D3471" s="21">
        <f t="shared" si="7"/>
        <v>208612707221</v>
      </c>
    </row>
    <row r="3472" spans="1:4" ht="14">
      <c r="A3472" s="16">
        <v>43847</v>
      </c>
      <c r="B3472" s="17">
        <v>8912.5400000000009</v>
      </c>
      <c r="C3472" s="18">
        <v>36372139320</v>
      </c>
      <c r="D3472" s="21">
        <f t="shared" si="7"/>
        <v>215880698686</v>
      </c>
    </row>
    <row r="3473" spans="1:4" ht="14">
      <c r="A3473" s="16">
        <v>43848</v>
      </c>
      <c r="B3473" s="17">
        <v>8928.18</v>
      </c>
      <c r="C3473" s="18">
        <v>32337772627</v>
      </c>
      <c r="D3473" s="21">
        <f t="shared" si="7"/>
        <v>223538254162</v>
      </c>
    </row>
    <row r="3474" spans="1:4" ht="14">
      <c r="A3474" s="16">
        <v>43849</v>
      </c>
      <c r="B3474" s="17">
        <v>8687.35</v>
      </c>
      <c r="C3474" s="18">
        <v>34217320471</v>
      </c>
      <c r="D3474" s="21">
        <f t="shared" si="7"/>
        <v>230354861704</v>
      </c>
    </row>
    <row r="3475" spans="1:4" ht="14">
      <c r="A3475" s="16">
        <v>43850</v>
      </c>
      <c r="B3475" s="17">
        <v>8636.26</v>
      </c>
      <c r="C3475" s="18">
        <v>26422375678</v>
      </c>
      <c r="D3475" s="21">
        <f t="shared" si="7"/>
        <v>241668743794</v>
      </c>
    </row>
    <row r="3476" spans="1:4" ht="14">
      <c r="A3476" s="16">
        <v>43851</v>
      </c>
      <c r="B3476" s="17">
        <v>8730.8700000000008</v>
      </c>
      <c r="C3476" s="18">
        <v>24097418512</v>
      </c>
      <c r="D3476" s="21">
        <f t="shared" si="7"/>
        <v>245608208784</v>
      </c>
    </row>
    <row r="3477" spans="1:4" ht="14">
      <c r="A3477" s="16">
        <v>43852</v>
      </c>
      <c r="B3477" s="17">
        <v>8647.9</v>
      </c>
      <c r="C3477" s="18">
        <v>22600204051</v>
      </c>
      <c r="D3477" s="21">
        <f t="shared" si="7"/>
        <v>224863843189</v>
      </c>
    </row>
    <row r="3478" spans="1:4" ht="14">
      <c r="A3478" s="16">
        <v>43853</v>
      </c>
      <c r="B3478" s="17">
        <v>8366.3799999999992</v>
      </c>
      <c r="C3478" s="18">
        <v>25770680779</v>
      </c>
      <c r="D3478" s="21">
        <f t="shared" si="7"/>
        <v>207361212590</v>
      </c>
    </row>
    <row r="3479" spans="1:4" ht="14">
      <c r="A3479" s="16">
        <v>43854</v>
      </c>
      <c r="B3479" s="17">
        <v>8423.39</v>
      </c>
      <c r="C3479" s="18">
        <v>24397913026</v>
      </c>
      <c r="D3479" s="21">
        <f t="shared" si="7"/>
        <v>201817911438</v>
      </c>
    </row>
    <row r="3480" spans="1:4" ht="14">
      <c r="A3480" s="16">
        <v>43855</v>
      </c>
      <c r="B3480" s="17">
        <v>8344.77</v>
      </c>
      <c r="C3480" s="18">
        <v>19647331549</v>
      </c>
      <c r="D3480" s="21">
        <f t="shared" si="7"/>
        <v>189843685144</v>
      </c>
    </row>
    <row r="3481" spans="1:4" ht="14">
      <c r="A3481" s="16">
        <v>43856</v>
      </c>
      <c r="B3481" s="17">
        <v>8573.8700000000008</v>
      </c>
      <c r="C3481" s="18">
        <v>22177678796</v>
      </c>
      <c r="D3481" s="21">
        <f t="shared" si="7"/>
        <v>177153244066</v>
      </c>
    </row>
    <row r="3482" spans="1:4" ht="14">
      <c r="A3482" s="16">
        <v>43857</v>
      </c>
      <c r="B3482" s="17">
        <v>8901.9599999999991</v>
      </c>
      <c r="C3482" s="18">
        <v>28647338393</v>
      </c>
      <c r="D3482" s="21">
        <f t="shared" si="7"/>
        <v>165113602391</v>
      </c>
    </row>
    <row r="3483" spans="1:4" ht="14">
      <c r="A3483" s="16">
        <v>43858</v>
      </c>
      <c r="B3483" s="17">
        <v>9297.39</v>
      </c>
      <c r="C3483" s="18">
        <v>34398744403</v>
      </c>
      <c r="D3483" s="21">
        <f t="shared" si="7"/>
        <v>167338565106</v>
      </c>
    </row>
    <row r="3484" spans="1:4" ht="14">
      <c r="A3484" s="16">
        <v>43859</v>
      </c>
      <c r="B3484" s="17">
        <v>9311.9500000000007</v>
      </c>
      <c r="C3484" s="18">
        <v>30682598115</v>
      </c>
      <c r="D3484" s="21">
        <f t="shared" si="7"/>
        <v>177639890997</v>
      </c>
    </row>
    <row r="3485" spans="1:4" ht="14">
      <c r="A3485" s="16">
        <v>43860</v>
      </c>
      <c r="B3485" s="17">
        <v>9508.92</v>
      </c>
      <c r="C3485" s="18">
        <v>32378792851</v>
      </c>
      <c r="D3485" s="21">
        <f t="shared" si="7"/>
        <v>185722285061</v>
      </c>
    </row>
    <row r="3486" spans="1:4" ht="14">
      <c r="A3486" s="16">
        <v>43861</v>
      </c>
      <c r="B3486" s="17">
        <v>9357.2800000000007</v>
      </c>
      <c r="C3486" s="18">
        <v>29432489719</v>
      </c>
      <c r="D3486" s="21">
        <f t="shared" si="7"/>
        <v>192330397133</v>
      </c>
    </row>
    <row r="3487" spans="1:4" ht="14">
      <c r="A3487" s="16">
        <v>43862</v>
      </c>
      <c r="B3487" s="17">
        <v>9381.89</v>
      </c>
      <c r="C3487" s="18">
        <v>25922656496</v>
      </c>
      <c r="D3487" s="21">
        <f t="shared" si="7"/>
        <v>197364973826</v>
      </c>
    </row>
    <row r="3488" spans="1:4" ht="14">
      <c r="A3488" s="16">
        <v>43863</v>
      </c>
      <c r="B3488" s="17">
        <v>9339.39</v>
      </c>
      <c r="C3488" s="18">
        <v>30835736946</v>
      </c>
      <c r="D3488" s="21">
        <f t="shared" si="7"/>
        <v>203640298773</v>
      </c>
    </row>
    <row r="3489" spans="1:4" ht="14">
      <c r="A3489" s="16">
        <v>43864</v>
      </c>
      <c r="B3489" s="17">
        <v>9279.81</v>
      </c>
      <c r="C3489" s="18">
        <v>30934096509</v>
      </c>
      <c r="D3489" s="21">
        <f t="shared" si="7"/>
        <v>212298356923</v>
      </c>
    </row>
    <row r="3490" spans="1:4" ht="14">
      <c r="A3490" s="16">
        <v>43865</v>
      </c>
      <c r="B3490" s="17">
        <v>9161.6299999999992</v>
      </c>
      <c r="C3490" s="18">
        <v>29893183716</v>
      </c>
      <c r="D3490" s="21">
        <f t="shared" si="7"/>
        <v>214585115039</v>
      </c>
    </row>
    <row r="3491" spans="1:4" ht="14">
      <c r="A3491" s="16">
        <v>43866</v>
      </c>
      <c r="B3491" s="17">
        <v>9628.14</v>
      </c>
      <c r="C3491" s="18">
        <v>35222060874</v>
      </c>
      <c r="D3491" s="21">
        <f t="shared" si="7"/>
        <v>210079554352</v>
      </c>
    </row>
    <row r="3492" spans="1:4" ht="14">
      <c r="A3492" s="16">
        <v>43867</v>
      </c>
      <c r="B3492" s="17">
        <v>9739.2800000000007</v>
      </c>
      <c r="C3492" s="18">
        <v>37628823716</v>
      </c>
      <c r="D3492" s="21">
        <f t="shared" si="7"/>
        <v>214619017111</v>
      </c>
    </row>
    <row r="3493" spans="1:4" ht="14">
      <c r="A3493" s="16">
        <v>43868</v>
      </c>
      <c r="B3493" s="17">
        <v>9800.2800000000007</v>
      </c>
      <c r="C3493" s="18">
        <v>34522718159</v>
      </c>
      <c r="D3493" s="21">
        <f t="shared" si="7"/>
        <v>219869047976</v>
      </c>
    </row>
    <row r="3494" spans="1:4" ht="14">
      <c r="A3494" s="16">
        <v>43869</v>
      </c>
      <c r="B3494" s="17">
        <v>9911.2900000000009</v>
      </c>
      <c r="C3494" s="18">
        <v>35172043762</v>
      </c>
      <c r="D3494" s="21">
        <f t="shared" si="7"/>
        <v>224959276416</v>
      </c>
    </row>
    <row r="3495" spans="1:4" ht="14">
      <c r="A3495" s="16">
        <v>43870</v>
      </c>
      <c r="B3495" s="17">
        <v>10151.08</v>
      </c>
      <c r="C3495" s="18">
        <v>35807884663</v>
      </c>
      <c r="D3495" s="21">
        <f t="shared" si="7"/>
        <v>234208663682</v>
      </c>
    </row>
    <row r="3496" spans="1:4" ht="14">
      <c r="A3496" s="16">
        <v>43871</v>
      </c>
      <c r="B3496" s="17">
        <v>9872.36</v>
      </c>
      <c r="C3496" s="18">
        <v>39386548075</v>
      </c>
      <c r="D3496" s="21">
        <f t="shared" si="7"/>
        <v>239180811399</v>
      </c>
    </row>
    <row r="3497" spans="1:4" ht="14">
      <c r="A3497" s="16">
        <v>43872</v>
      </c>
      <c r="B3497" s="17">
        <v>10272.219999999999</v>
      </c>
      <c r="C3497" s="18">
        <v>37648059389</v>
      </c>
      <c r="D3497" s="21">
        <f t="shared" si="7"/>
        <v>247633262965</v>
      </c>
    </row>
    <row r="3498" spans="1:4" ht="14">
      <c r="A3498" s="16">
        <v>43873</v>
      </c>
      <c r="B3498" s="17">
        <v>10360.14</v>
      </c>
      <c r="C3498" s="18">
        <v>43444303830</v>
      </c>
      <c r="D3498" s="21">
        <f t="shared" si="7"/>
        <v>255388138638</v>
      </c>
    </row>
    <row r="3499" spans="1:4" ht="14">
      <c r="A3499" s="16">
        <v>43874</v>
      </c>
      <c r="B3499" s="17">
        <v>10235.5</v>
      </c>
      <c r="C3499" s="18">
        <v>49356071373</v>
      </c>
      <c r="D3499" s="21">
        <f t="shared" si="7"/>
        <v>263610381594</v>
      </c>
    </row>
    <row r="3500" spans="1:4" ht="14">
      <c r="A3500" s="16">
        <v>43875</v>
      </c>
      <c r="B3500" s="17">
        <v>10361.620000000001</v>
      </c>
      <c r="C3500" s="18">
        <v>43338264162</v>
      </c>
      <c r="D3500" s="21">
        <f t="shared" si="7"/>
        <v>275337629251</v>
      </c>
    </row>
    <row r="3501" spans="1:4" ht="14">
      <c r="A3501" s="16">
        <v>43876</v>
      </c>
      <c r="B3501" s="17">
        <v>9911.7199999999993</v>
      </c>
      <c r="C3501" s="18">
        <v>43865054831</v>
      </c>
      <c r="D3501" s="21">
        <f t="shared" si="7"/>
        <v>284153175254</v>
      </c>
    </row>
    <row r="3502" spans="1:4" ht="14">
      <c r="A3502" s="16">
        <v>43877</v>
      </c>
      <c r="B3502" s="17">
        <v>9952.0499999999993</v>
      </c>
      <c r="C3502" s="18">
        <v>43374780305</v>
      </c>
      <c r="D3502" s="21">
        <f t="shared" si="7"/>
        <v>292846186323</v>
      </c>
    </row>
    <row r="3503" spans="1:4" ht="14">
      <c r="A3503" s="16">
        <v>43878</v>
      </c>
      <c r="B3503" s="17">
        <v>9683.08</v>
      </c>
      <c r="C3503" s="18">
        <v>45998298413</v>
      </c>
      <c r="D3503" s="21">
        <f t="shared" si="7"/>
        <v>300413081965</v>
      </c>
    </row>
    <row r="3504" spans="1:4" ht="14">
      <c r="A3504" s="16">
        <v>43879</v>
      </c>
      <c r="B3504" s="17">
        <v>10195.299999999999</v>
      </c>
      <c r="C3504" s="18">
        <v>47271023953</v>
      </c>
      <c r="D3504" s="21">
        <f t="shared" si="7"/>
        <v>307024832303</v>
      </c>
    </row>
    <row r="3505" spans="1:4" ht="14">
      <c r="A3505" s="16">
        <v>43880</v>
      </c>
      <c r="B3505" s="17">
        <v>9636</v>
      </c>
      <c r="C3505" s="18">
        <v>46992019710</v>
      </c>
      <c r="D3505" s="21">
        <f t="shared" si="7"/>
        <v>316647796867</v>
      </c>
    </row>
    <row r="3506" spans="1:4" ht="14">
      <c r="A3506" s="16">
        <v>43881</v>
      </c>
      <c r="B3506" s="17">
        <v>9614.0300000000007</v>
      </c>
      <c r="C3506" s="18">
        <v>44925260237</v>
      </c>
      <c r="D3506" s="21">
        <f t="shared" si="7"/>
        <v>320195512747</v>
      </c>
    </row>
    <row r="3507" spans="1:4" ht="14">
      <c r="A3507" s="16">
        <v>43882</v>
      </c>
      <c r="B3507" s="17">
        <v>9701.7999999999993</v>
      </c>
      <c r="C3507" s="18">
        <v>40930547513</v>
      </c>
      <c r="D3507" s="21">
        <f t="shared" si="7"/>
        <v>315764701611</v>
      </c>
    </row>
    <row r="3508" spans="1:4" ht="14">
      <c r="A3508" s="16">
        <v>43883</v>
      </c>
      <c r="B3508" s="17">
        <v>9675.25</v>
      </c>
      <c r="C3508" s="18">
        <v>35838025154</v>
      </c>
      <c r="D3508" s="21">
        <f t="shared" si="7"/>
        <v>313356984962</v>
      </c>
    </row>
    <row r="3509" spans="1:4" ht="14">
      <c r="A3509" s="16">
        <v>43884</v>
      </c>
      <c r="B3509" s="17">
        <v>9972.84</v>
      </c>
      <c r="C3509" s="18">
        <v>41185185761</v>
      </c>
      <c r="D3509" s="21">
        <f t="shared" si="7"/>
        <v>305329955285</v>
      </c>
    </row>
    <row r="3510" spans="1:4" ht="14">
      <c r="A3510" s="16">
        <v>43885</v>
      </c>
      <c r="B3510" s="17">
        <v>9648.01</v>
      </c>
      <c r="C3510" s="18">
        <v>45080496648</v>
      </c>
      <c r="D3510" s="21">
        <f t="shared" si="7"/>
        <v>303140360741</v>
      </c>
    </row>
    <row r="3511" spans="1:4" ht="14">
      <c r="A3511" s="16">
        <v>43886</v>
      </c>
      <c r="B3511" s="17">
        <v>9344.2900000000009</v>
      </c>
      <c r="C3511" s="18">
        <v>42515259129</v>
      </c>
      <c r="D3511" s="21">
        <f t="shared" si="7"/>
        <v>302222558976</v>
      </c>
    </row>
    <row r="3512" spans="1:4" ht="14">
      <c r="A3512" s="16">
        <v>43887</v>
      </c>
      <c r="B3512" s="17">
        <v>8798.89</v>
      </c>
      <c r="C3512" s="18">
        <v>50420050762</v>
      </c>
      <c r="D3512" s="21">
        <f t="shared" si="7"/>
        <v>297466794152</v>
      </c>
    </row>
    <row r="3513" spans="1:4" ht="14">
      <c r="A3513" s="16">
        <v>43888</v>
      </c>
      <c r="B3513" s="17">
        <v>8779.0300000000007</v>
      </c>
      <c r="C3513" s="18">
        <v>45470195695</v>
      </c>
      <c r="D3513" s="21">
        <f t="shared" si="7"/>
        <v>300894825204</v>
      </c>
    </row>
    <row r="3514" spans="1:4" ht="14">
      <c r="A3514" s="16">
        <v>43889</v>
      </c>
      <c r="B3514" s="17">
        <v>8750.59</v>
      </c>
      <c r="C3514" s="18">
        <v>44605450443</v>
      </c>
      <c r="D3514" s="21">
        <f t="shared" si="7"/>
        <v>301439760662</v>
      </c>
    </row>
    <row r="3515" spans="1:4" ht="14">
      <c r="A3515" s="16">
        <v>43890</v>
      </c>
      <c r="B3515" s="17">
        <v>8582.09</v>
      </c>
      <c r="C3515" s="18">
        <v>35792392544</v>
      </c>
      <c r="D3515" s="21">
        <f t="shared" si="7"/>
        <v>305114663592</v>
      </c>
    </row>
    <row r="3516" spans="1:4" ht="14">
      <c r="A3516" s="16">
        <v>43891</v>
      </c>
      <c r="B3516" s="17">
        <v>8541.77</v>
      </c>
      <c r="C3516" s="18">
        <v>35349164300</v>
      </c>
      <c r="D3516" s="21">
        <f t="shared" si="7"/>
        <v>305069030982</v>
      </c>
    </row>
    <row r="3517" spans="1:4" ht="14">
      <c r="A3517" s="16">
        <v>43892</v>
      </c>
      <c r="B3517" s="17">
        <v>8906.2099999999991</v>
      </c>
      <c r="C3517" s="18">
        <v>42857674409</v>
      </c>
      <c r="D3517" s="21">
        <f t="shared" si="7"/>
        <v>299233009521</v>
      </c>
    </row>
    <row r="3518" spans="1:4" ht="14">
      <c r="A3518" s="16">
        <v>43893</v>
      </c>
      <c r="B3518" s="17">
        <v>8768.81</v>
      </c>
      <c r="C3518" s="18">
        <v>42386715821</v>
      </c>
      <c r="D3518" s="21">
        <f t="shared" si="7"/>
        <v>297010187282</v>
      </c>
    </row>
    <row r="3519" spans="1:4" ht="14">
      <c r="A3519" s="16">
        <v>43894</v>
      </c>
      <c r="B3519" s="17">
        <v>8756.3700000000008</v>
      </c>
      <c r="C3519" s="18">
        <v>34746706368</v>
      </c>
      <c r="D3519" s="21">
        <f t="shared" si="7"/>
        <v>296881643974</v>
      </c>
    </row>
    <row r="3520" spans="1:4" ht="14">
      <c r="A3520" s="16">
        <v>43895</v>
      </c>
      <c r="B3520" s="17">
        <v>9062.6200000000008</v>
      </c>
      <c r="C3520" s="18">
        <v>39698054597</v>
      </c>
      <c r="D3520" s="21">
        <f t="shared" si="7"/>
        <v>281208299580</v>
      </c>
    </row>
    <row r="3521" spans="1:4" ht="14">
      <c r="A3521" s="16">
        <v>43896</v>
      </c>
      <c r="B3521" s="17">
        <v>9147.09</v>
      </c>
      <c r="C3521" s="18">
        <v>40826885651</v>
      </c>
      <c r="D3521" s="21">
        <f t="shared" si="7"/>
        <v>275436158482</v>
      </c>
    </row>
    <row r="3522" spans="1:4" ht="14">
      <c r="A3522" s="16">
        <v>43897</v>
      </c>
      <c r="B3522" s="17">
        <v>8898.31</v>
      </c>
      <c r="C3522" s="18">
        <v>36216930370</v>
      </c>
      <c r="D3522" s="21">
        <f t="shared" si="7"/>
        <v>271657593690</v>
      </c>
    </row>
    <row r="3523" spans="1:4" ht="14">
      <c r="A3523" s="16">
        <v>43898</v>
      </c>
      <c r="B3523" s="17">
        <v>8109.61</v>
      </c>
      <c r="C3523" s="18">
        <v>39973102121</v>
      </c>
      <c r="D3523" s="21">
        <f t="shared" si="7"/>
        <v>272082131516</v>
      </c>
    </row>
    <row r="3524" spans="1:4" ht="14">
      <c r="A3524" s="16">
        <v>43899</v>
      </c>
      <c r="B3524" s="17">
        <v>7896.39</v>
      </c>
      <c r="C3524" s="18">
        <v>46936995808</v>
      </c>
      <c r="D3524" s="21">
        <f t="shared" si="7"/>
        <v>276706069337</v>
      </c>
    </row>
    <row r="3525" spans="1:4" ht="14">
      <c r="A3525" s="16">
        <v>43900</v>
      </c>
      <c r="B3525" s="17">
        <v>7909.93</v>
      </c>
      <c r="C3525" s="18">
        <v>42213940994</v>
      </c>
      <c r="D3525" s="21">
        <f t="shared" si="7"/>
        <v>280785390736</v>
      </c>
    </row>
    <row r="3526" spans="1:4" ht="14">
      <c r="A3526" s="16">
        <v>43901</v>
      </c>
      <c r="B3526" s="17">
        <v>7939.34</v>
      </c>
      <c r="C3526" s="18">
        <v>38682762605</v>
      </c>
      <c r="D3526" s="21">
        <f t="shared" si="7"/>
        <v>280612615909</v>
      </c>
    </row>
    <row r="3527" spans="1:4" ht="14">
      <c r="A3527" s="16">
        <v>43902</v>
      </c>
      <c r="B3527" s="17">
        <v>4959.3100000000004</v>
      </c>
      <c r="C3527" s="18">
        <v>53980357243</v>
      </c>
      <c r="D3527" s="21">
        <f t="shared" si="7"/>
        <v>284548672146</v>
      </c>
    </row>
    <row r="3528" spans="1:4" ht="14">
      <c r="A3528" s="16">
        <v>43903</v>
      </c>
      <c r="B3528" s="17">
        <v>5627.69</v>
      </c>
      <c r="C3528" s="18">
        <v>74156772075</v>
      </c>
      <c r="D3528" s="21">
        <f t="shared" si="7"/>
        <v>298830974792</v>
      </c>
    </row>
    <row r="3529" spans="1:4" ht="14">
      <c r="A3529" s="16">
        <v>43904</v>
      </c>
      <c r="B3529" s="17">
        <v>5145.17</v>
      </c>
      <c r="C3529" s="18">
        <v>36154506008</v>
      </c>
      <c r="D3529" s="21">
        <f t="shared" si="7"/>
        <v>332160861216</v>
      </c>
    </row>
    <row r="3530" spans="1:4" ht="14">
      <c r="A3530" s="16">
        <v>43905</v>
      </c>
      <c r="B3530" s="17">
        <v>5358.61</v>
      </c>
      <c r="C3530" s="18">
        <v>33997889639</v>
      </c>
      <c r="D3530" s="21">
        <f t="shared" si="7"/>
        <v>332098436854</v>
      </c>
    </row>
    <row r="3531" spans="1:4" ht="14">
      <c r="A3531" s="16">
        <v>43906</v>
      </c>
      <c r="B3531" s="17">
        <v>5012.93</v>
      </c>
      <c r="C3531" s="18">
        <v>45368026430</v>
      </c>
      <c r="D3531" s="21">
        <f t="shared" si="7"/>
        <v>326123224372</v>
      </c>
    </row>
    <row r="3532" spans="1:4" ht="14">
      <c r="A3532" s="16">
        <v>43907</v>
      </c>
      <c r="B3532" s="17">
        <v>5416.75</v>
      </c>
      <c r="C3532" s="18">
        <v>38622642935</v>
      </c>
      <c r="D3532" s="21">
        <f t="shared" si="7"/>
        <v>324554254994</v>
      </c>
    </row>
    <row r="3533" spans="1:4" ht="14">
      <c r="A3533" s="16">
        <v>43908</v>
      </c>
      <c r="B3533" s="17">
        <v>5392.49</v>
      </c>
      <c r="C3533" s="18">
        <v>37878801016</v>
      </c>
      <c r="D3533" s="21">
        <f t="shared" si="7"/>
        <v>320962956935</v>
      </c>
    </row>
    <row r="3534" spans="1:4" ht="14">
      <c r="A3534" s="16">
        <v>43909</v>
      </c>
      <c r="B3534" s="17">
        <v>6203.55</v>
      </c>
      <c r="C3534" s="18">
        <v>51000731797</v>
      </c>
      <c r="D3534" s="21">
        <f t="shared" si="7"/>
        <v>320158995346</v>
      </c>
    </row>
    <row r="3535" spans="1:4" ht="14">
      <c r="A3535" s="16">
        <v>43910</v>
      </c>
      <c r="B3535" s="17">
        <v>6174.15</v>
      </c>
      <c r="C3535" s="18">
        <v>54442976103</v>
      </c>
      <c r="D3535" s="21">
        <f t="shared" si="7"/>
        <v>317179369900</v>
      </c>
    </row>
    <row r="3536" spans="1:4" ht="14">
      <c r="A3536" s="16">
        <v>43911</v>
      </c>
      <c r="B3536" s="17">
        <v>6175.83</v>
      </c>
      <c r="C3536" s="18">
        <v>42494390880</v>
      </c>
      <c r="D3536" s="21">
        <f t="shared" si="7"/>
        <v>297465573928</v>
      </c>
    </row>
    <row r="3537" spans="1:4" ht="14">
      <c r="A3537" s="16">
        <v>43912</v>
      </c>
      <c r="B3537" s="17">
        <v>5830.56</v>
      </c>
      <c r="C3537" s="18">
        <v>40099664740</v>
      </c>
      <c r="D3537" s="21">
        <f t="shared" si="7"/>
        <v>303805458800</v>
      </c>
    </row>
    <row r="3538" spans="1:4" ht="14">
      <c r="A3538" s="16">
        <v>43913</v>
      </c>
      <c r="B3538" s="17">
        <v>6486.41</v>
      </c>
      <c r="C3538" s="18">
        <v>46491916000</v>
      </c>
      <c r="D3538" s="21">
        <f t="shared" si="7"/>
        <v>309907233901</v>
      </c>
    </row>
    <row r="3539" spans="1:4" ht="14">
      <c r="A3539" s="16">
        <v>43914</v>
      </c>
      <c r="B3539" s="17">
        <v>6775.06</v>
      </c>
      <c r="C3539" s="18">
        <v>48221910672</v>
      </c>
      <c r="D3539" s="21">
        <f t="shared" si="7"/>
        <v>311031123471</v>
      </c>
    </row>
    <row r="3540" spans="1:4" ht="14">
      <c r="A3540" s="16">
        <v>43915</v>
      </c>
      <c r="B3540" s="17">
        <v>6689.97</v>
      </c>
      <c r="C3540" s="18">
        <v>44590107888</v>
      </c>
      <c r="D3540" s="21">
        <f t="shared" si="7"/>
        <v>320630391208</v>
      </c>
    </row>
    <row r="3541" spans="1:4" ht="14">
      <c r="A3541" s="16">
        <v>43916</v>
      </c>
      <c r="B3541" s="17">
        <v>6754.46</v>
      </c>
      <c r="C3541" s="18">
        <v>35319797642</v>
      </c>
      <c r="D3541" s="21">
        <f t="shared" si="7"/>
        <v>327341698080</v>
      </c>
    </row>
    <row r="3542" spans="1:4" ht="14">
      <c r="A3542" s="16">
        <v>43917</v>
      </c>
      <c r="B3542" s="17">
        <v>6490.8</v>
      </c>
      <c r="C3542" s="18">
        <v>34585598367</v>
      </c>
      <c r="D3542" s="21">
        <f t="shared" si="7"/>
        <v>311660763925</v>
      </c>
    </row>
    <row r="3543" spans="1:4" ht="14">
      <c r="A3543" s="16">
        <v>43918</v>
      </c>
      <c r="B3543" s="17">
        <v>6231.82</v>
      </c>
      <c r="C3543" s="18">
        <v>34885225901</v>
      </c>
      <c r="D3543" s="21">
        <f t="shared" si="7"/>
        <v>291803386189</v>
      </c>
    </row>
    <row r="3544" spans="1:4" ht="14">
      <c r="A3544" s="16">
        <v>43919</v>
      </c>
      <c r="B3544" s="17">
        <v>5904.86</v>
      </c>
      <c r="C3544" s="18">
        <v>28373690931</v>
      </c>
      <c r="D3544" s="21">
        <f t="shared" si="7"/>
        <v>284194221210</v>
      </c>
    </row>
    <row r="3545" spans="1:4" ht="14">
      <c r="A3545" s="16">
        <v>43920</v>
      </c>
      <c r="B3545" s="17">
        <v>6436.91</v>
      </c>
      <c r="C3545" s="18">
        <v>37101651525</v>
      </c>
      <c r="D3545" s="21">
        <f t="shared" si="7"/>
        <v>272468247401</v>
      </c>
    </row>
    <row r="3546" spans="1:4" ht="14">
      <c r="A3546" s="16">
        <v>43921</v>
      </c>
      <c r="B3546" s="17">
        <v>6432.38</v>
      </c>
      <c r="C3546" s="18">
        <v>32786468812</v>
      </c>
      <c r="D3546" s="21">
        <f t="shared" si="7"/>
        <v>263077982926</v>
      </c>
    </row>
    <row r="3547" spans="1:4" ht="14">
      <c r="A3547" s="16">
        <v>43922</v>
      </c>
      <c r="B3547" s="17">
        <v>6643.11</v>
      </c>
      <c r="C3547" s="18">
        <v>40346426266</v>
      </c>
      <c r="D3547" s="21">
        <f t="shared" si="7"/>
        <v>247642541066</v>
      </c>
    </row>
    <row r="3548" spans="1:4" ht="14">
      <c r="A3548" s="16">
        <v>43923</v>
      </c>
      <c r="B3548" s="17">
        <v>6792.74</v>
      </c>
      <c r="C3548" s="18">
        <v>47660646124</v>
      </c>
      <c r="D3548" s="21">
        <f t="shared" si="7"/>
        <v>243398859444</v>
      </c>
    </row>
    <row r="3549" spans="1:4" ht="14">
      <c r="A3549" s="16">
        <v>43924</v>
      </c>
      <c r="B3549" s="17">
        <v>6751.9</v>
      </c>
      <c r="C3549" s="18">
        <v>38976504903</v>
      </c>
      <c r="D3549" s="21">
        <f t="shared" si="7"/>
        <v>255739707926</v>
      </c>
    </row>
    <row r="3550" spans="1:4" ht="14">
      <c r="A3550" s="16">
        <v>43925</v>
      </c>
      <c r="B3550" s="17">
        <v>6859.99</v>
      </c>
      <c r="C3550" s="18">
        <v>33185988584</v>
      </c>
      <c r="D3550" s="21">
        <f t="shared" si="7"/>
        <v>260130614462</v>
      </c>
    </row>
    <row r="3551" spans="1:4" ht="14">
      <c r="A3551" s="16">
        <v>43926</v>
      </c>
      <c r="B3551" s="17">
        <v>6790.81</v>
      </c>
      <c r="C3551" s="18">
        <v>29510409856</v>
      </c>
      <c r="D3551" s="21">
        <f t="shared" si="7"/>
        <v>258431377145</v>
      </c>
    </row>
    <row r="3552" spans="1:4" ht="14">
      <c r="A3552" s="16">
        <v>43927</v>
      </c>
      <c r="B3552" s="17">
        <v>7298.17</v>
      </c>
      <c r="C3552" s="18">
        <v>46896904615</v>
      </c>
      <c r="D3552" s="21">
        <f t="shared" si="7"/>
        <v>259568096070</v>
      </c>
    </row>
    <row r="3553" spans="1:4" ht="14">
      <c r="A3553" s="16">
        <v>43928</v>
      </c>
      <c r="B3553" s="17">
        <v>7187.59</v>
      </c>
      <c r="C3553" s="18">
        <v>44243482668</v>
      </c>
      <c r="D3553" s="21">
        <f t="shared" si="7"/>
        <v>269363349160</v>
      </c>
    </row>
    <row r="3554" spans="1:4" ht="14">
      <c r="A3554" s="16">
        <v>43929</v>
      </c>
      <c r="B3554" s="17">
        <v>7372.19</v>
      </c>
      <c r="C3554" s="18">
        <v>37563249549</v>
      </c>
      <c r="D3554" s="21">
        <f t="shared" si="7"/>
        <v>280820363016</v>
      </c>
    </row>
    <row r="3555" spans="1:4" ht="14">
      <c r="A3555" s="16">
        <v>43930</v>
      </c>
      <c r="B3555" s="17">
        <v>7299.58</v>
      </c>
      <c r="C3555" s="18">
        <v>34815139178</v>
      </c>
      <c r="D3555" s="21">
        <f t="shared" si="7"/>
        <v>278037186299</v>
      </c>
    </row>
    <row r="3556" spans="1:4" ht="14">
      <c r="A3556" s="16">
        <v>43931</v>
      </c>
      <c r="B3556" s="17">
        <v>6859.82</v>
      </c>
      <c r="C3556" s="18">
        <v>43622840992</v>
      </c>
      <c r="D3556" s="21">
        <f t="shared" si="7"/>
        <v>265191679353</v>
      </c>
    </row>
    <row r="3557" spans="1:4" ht="14">
      <c r="A3557" s="16">
        <v>43932</v>
      </c>
      <c r="B3557" s="17">
        <v>6883.18</v>
      </c>
      <c r="C3557" s="18">
        <v>31222085946</v>
      </c>
      <c r="D3557" s="21">
        <f t="shared" si="7"/>
        <v>269838015442</v>
      </c>
    </row>
    <row r="3558" spans="1:4" ht="14">
      <c r="A3558" s="16">
        <v>43933</v>
      </c>
      <c r="B3558" s="17">
        <v>6978.67</v>
      </c>
      <c r="C3558" s="18">
        <v>35759567632</v>
      </c>
      <c r="D3558" s="21">
        <f t="shared" si="7"/>
        <v>267874112804</v>
      </c>
    </row>
    <row r="3559" spans="1:4" ht="14">
      <c r="A3559" s="16">
        <v>43934</v>
      </c>
      <c r="B3559" s="17">
        <v>6863.58</v>
      </c>
      <c r="C3559" s="18">
        <v>38619308647</v>
      </c>
      <c r="D3559" s="21">
        <f t="shared" si="7"/>
        <v>274123270580</v>
      </c>
    </row>
    <row r="3560" spans="1:4" ht="14">
      <c r="A3560" s="16">
        <v>43935</v>
      </c>
      <c r="B3560" s="17">
        <v>6875.54</v>
      </c>
      <c r="C3560" s="18">
        <v>34110434052</v>
      </c>
      <c r="D3560" s="21">
        <f t="shared" si="7"/>
        <v>265845674612</v>
      </c>
    </row>
    <row r="3561" spans="1:4" ht="14">
      <c r="A3561" s="16">
        <v>43936</v>
      </c>
      <c r="B3561" s="17">
        <v>6625.48</v>
      </c>
      <c r="C3561" s="18">
        <v>32288311031</v>
      </c>
      <c r="D3561" s="21">
        <f t="shared" si="7"/>
        <v>255712625996</v>
      </c>
    </row>
    <row r="3562" spans="1:4" ht="14">
      <c r="A3562" s="16">
        <v>43937</v>
      </c>
      <c r="B3562" s="17">
        <v>7127.79</v>
      </c>
      <c r="C3562" s="18">
        <v>46783242377</v>
      </c>
      <c r="D3562" s="21">
        <f t="shared" si="7"/>
        <v>250437687478</v>
      </c>
    </row>
    <row r="3563" spans="1:4" ht="14">
      <c r="A3563" s="16">
        <v>43938</v>
      </c>
      <c r="B3563" s="17">
        <v>7081.4</v>
      </c>
      <c r="C3563" s="18">
        <v>32513423567</v>
      </c>
      <c r="D3563" s="21">
        <f t="shared" si="7"/>
        <v>262405790677</v>
      </c>
    </row>
    <row r="3564" spans="1:4" ht="14">
      <c r="A3564" s="16">
        <v>43939</v>
      </c>
      <c r="B3564" s="17">
        <v>7262.79</v>
      </c>
      <c r="C3564" s="18">
        <v>32447188386</v>
      </c>
      <c r="D3564" s="21">
        <f t="shared" ref="D3564:D3818" si="8">IF(C3557&lt;&gt;"",SUM(C3557:C3563),"")</f>
        <v>251296373252</v>
      </c>
    </row>
    <row r="3565" spans="1:4" ht="14">
      <c r="A3565" s="16">
        <v>43940</v>
      </c>
      <c r="B3565" s="17">
        <v>7150.24</v>
      </c>
      <c r="C3565" s="18">
        <v>31311210215</v>
      </c>
      <c r="D3565" s="21">
        <f t="shared" si="8"/>
        <v>252521475692</v>
      </c>
    </row>
    <row r="3566" spans="1:4" ht="14">
      <c r="A3566" s="16">
        <v>43941</v>
      </c>
      <c r="B3566" s="17">
        <v>6853.27</v>
      </c>
      <c r="C3566" s="18">
        <v>37747113936</v>
      </c>
      <c r="D3566" s="21">
        <f t="shared" si="8"/>
        <v>248073118275</v>
      </c>
    </row>
    <row r="3567" spans="1:4" ht="14">
      <c r="A3567" s="16">
        <v>43942</v>
      </c>
      <c r="B3567" s="17">
        <v>6870.42</v>
      </c>
      <c r="C3567" s="18">
        <v>32589741511</v>
      </c>
      <c r="D3567" s="21">
        <f t="shared" si="8"/>
        <v>247200923564</v>
      </c>
    </row>
    <row r="3568" spans="1:4" ht="14">
      <c r="A3568" s="16">
        <v>43943</v>
      </c>
      <c r="B3568" s="17">
        <v>7123.66</v>
      </c>
      <c r="C3568" s="18">
        <v>33249153866</v>
      </c>
      <c r="D3568" s="21">
        <f t="shared" si="8"/>
        <v>245680231023</v>
      </c>
    </row>
    <row r="3569" spans="1:4" ht="14">
      <c r="A3569" s="16">
        <v>43944</v>
      </c>
      <c r="B3569" s="17">
        <v>7488.61</v>
      </c>
      <c r="C3569" s="18">
        <v>43500782316</v>
      </c>
      <c r="D3569" s="21">
        <f t="shared" si="8"/>
        <v>246641073858</v>
      </c>
    </row>
    <row r="3570" spans="1:4" ht="14">
      <c r="A3570" s="16">
        <v>43945</v>
      </c>
      <c r="B3570" s="17">
        <v>7506.44</v>
      </c>
      <c r="C3570" s="18">
        <v>34636526286</v>
      </c>
      <c r="D3570" s="21">
        <f t="shared" si="8"/>
        <v>243358613797</v>
      </c>
    </row>
    <row r="3571" spans="1:4" ht="14">
      <c r="A3571" s="16">
        <v>43946</v>
      </c>
      <c r="B3571" s="17">
        <v>7537.74</v>
      </c>
      <c r="C3571" s="18">
        <v>32941541447</v>
      </c>
      <c r="D3571" s="21">
        <f t="shared" si="8"/>
        <v>245481716516</v>
      </c>
    </row>
    <row r="3572" spans="1:4" ht="14">
      <c r="A3572" s="16">
        <v>43947</v>
      </c>
      <c r="B3572" s="17">
        <v>7684.07</v>
      </c>
      <c r="C3572" s="18">
        <v>33070154491</v>
      </c>
      <c r="D3572" s="21">
        <f t="shared" si="8"/>
        <v>245976069577</v>
      </c>
    </row>
    <row r="3573" spans="1:4" ht="14">
      <c r="A3573" s="16">
        <v>43948</v>
      </c>
      <c r="B3573" s="17">
        <v>7777.49</v>
      </c>
      <c r="C3573" s="18">
        <v>36162144725</v>
      </c>
      <c r="D3573" s="21">
        <f t="shared" si="8"/>
        <v>247735013853</v>
      </c>
    </row>
    <row r="3574" spans="1:4" ht="14">
      <c r="A3574" s="16">
        <v>43949</v>
      </c>
      <c r="B3574" s="17">
        <v>7769.9</v>
      </c>
      <c r="C3574" s="18">
        <v>33187959921</v>
      </c>
      <c r="D3574" s="21">
        <f t="shared" si="8"/>
        <v>246150044642</v>
      </c>
    </row>
    <row r="3575" spans="1:4" ht="14">
      <c r="A3575" s="16">
        <v>43950</v>
      </c>
      <c r="B3575" s="17">
        <v>8761.84</v>
      </c>
      <c r="C3575" s="18">
        <v>60201052203</v>
      </c>
      <c r="D3575" s="21">
        <f t="shared" si="8"/>
        <v>246748263052</v>
      </c>
    </row>
    <row r="3576" spans="1:4" ht="14">
      <c r="A3576" s="16">
        <v>43951</v>
      </c>
      <c r="B3576" s="17">
        <v>8652.41</v>
      </c>
      <c r="C3576" s="18">
        <v>66964629541</v>
      </c>
      <c r="D3576" s="21">
        <f t="shared" si="8"/>
        <v>273700161389</v>
      </c>
    </row>
    <row r="3577" spans="1:4" ht="14">
      <c r="A3577" s="16">
        <v>43952</v>
      </c>
      <c r="B3577" s="17">
        <v>8855.5400000000009</v>
      </c>
      <c r="C3577" s="18">
        <v>44068389997</v>
      </c>
      <c r="D3577" s="21">
        <f t="shared" si="8"/>
        <v>297164008614</v>
      </c>
    </row>
    <row r="3578" spans="1:4" ht="14">
      <c r="A3578" s="16">
        <v>43953</v>
      </c>
      <c r="B3578" s="17">
        <v>8977.2800000000007</v>
      </c>
      <c r="C3578" s="18">
        <v>40134388683</v>
      </c>
      <c r="D3578" s="21">
        <f t="shared" si="8"/>
        <v>306595872325</v>
      </c>
    </row>
    <row r="3579" spans="1:4" ht="14">
      <c r="A3579" s="16">
        <v>43954</v>
      </c>
      <c r="B3579" s="17">
        <v>8896.7999999999993</v>
      </c>
      <c r="C3579" s="18">
        <v>47101785174</v>
      </c>
      <c r="D3579" s="21">
        <f t="shared" si="8"/>
        <v>313788719561</v>
      </c>
    </row>
    <row r="3580" spans="1:4" ht="14">
      <c r="A3580" s="16">
        <v>43955</v>
      </c>
      <c r="B3580" s="17">
        <v>8881.9500000000007</v>
      </c>
      <c r="C3580" s="18">
        <v>45718796276</v>
      </c>
      <c r="D3580" s="21">
        <f t="shared" si="8"/>
        <v>327820350244</v>
      </c>
    </row>
    <row r="3581" spans="1:4" ht="14">
      <c r="A3581" s="16">
        <v>43956</v>
      </c>
      <c r="B3581" s="17">
        <v>8985.8799999999992</v>
      </c>
      <c r="C3581" s="18">
        <v>43148462663</v>
      </c>
      <c r="D3581" s="21">
        <f t="shared" si="8"/>
        <v>337377001795</v>
      </c>
    </row>
    <row r="3582" spans="1:4" ht="14">
      <c r="A3582" s="16">
        <v>43957</v>
      </c>
      <c r="B3582" s="17">
        <v>9266.81</v>
      </c>
      <c r="C3582" s="18">
        <v>49371886931</v>
      </c>
      <c r="D3582" s="21">
        <f t="shared" si="8"/>
        <v>347337504537</v>
      </c>
    </row>
    <row r="3583" spans="1:4" ht="14">
      <c r="A3583" s="16">
        <v>43958</v>
      </c>
      <c r="B3583" s="17">
        <v>9993.75</v>
      </c>
      <c r="C3583" s="18">
        <v>61112700562</v>
      </c>
      <c r="D3583" s="21">
        <f t="shared" si="8"/>
        <v>336508339265</v>
      </c>
    </row>
    <row r="3584" spans="1:4" ht="14">
      <c r="A3584" s="16">
        <v>43959</v>
      </c>
      <c r="B3584" s="17">
        <v>9859.32</v>
      </c>
      <c r="C3584" s="18">
        <v>51780748042</v>
      </c>
      <c r="D3584" s="21">
        <f t="shared" si="8"/>
        <v>330656410286</v>
      </c>
    </row>
    <row r="3585" spans="1:4" ht="14">
      <c r="A3585" s="16">
        <v>43960</v>
      </c>
      <c r="B3585" s="17">
        <v>9577.34</v>
      </c>
      <c r="C3585" s="18">
        <v>46566121841</v>
      </c>
      <c r="D3585" s="21">
        <f t="shared" si="8"/>
        <v>338368768331</v>
      </c>
    </row>
    <row r="3586" spans="1:4" ht="14">
      <c r="A3586" s="16">
        <v>43961</v>
      </c>
      <c r="B3586" s="17">
        <v>8715.0300000000007</v>
      </c>
      <c r="C3586" s="18">
        <v>63325279337</v>
      </c>
      <c r="D3586" s="21">
        <f t="shared" si="8"/>
        <v>344800501489</v>
      </c>
    </row>
    <row r="3587" spans="1:4" ht="14">
      <c r="A3587" s="16">
        <v>43962</v>
      </c>
      <c r="B3587" s="17">
        <v>8591.65</v>
      </c>
      <c r="C3587" s="18">
        <v>57119858802</v>
      </c>
      <c r="D3587" s="21">
        <f t="shared" si="8"/>
        <v>361023995652</v>
      </c>
    </row>
    <row r="3588" spans="1:4" ht="14">
      <c r="A3588" s="16">
        <v>43963</v>
      </c>
      <c r="B3588" s="17">
        <v>8817.25</v>
      </c>
      <c r="C3588" s="18">
        <v>42142717533</v>
      </c>
      <c r="D3588" s="21">
        <f t="shared" si="8"/>
        <v>372425058178</v>
      </c>
    </row>
    <row r="3589" spans="1:4" ht="14">
      <c r="A3589" s="16">
        <v>43964</v>
      </c>
      <c r="B3589" s="17">
        <v>9323</v>
      </c>
      <c r="C3589" s="18">
        <v>45558144023</v>
      </c>
      <c r="D3589" s="21">
        <f t="shared" si="8"/>
        <v>371419313048</v>
      </c>
    </row>
    <row r="3590" spans="1:4" ht="14">
      <c r="A3590" s="16">
        <v>43965</v>
      </c>
      <c r="B3590" s="17">
        <v>9801.27</v>
      </c>
      <c r="C3590" s="18">
        <v>56426907637</v>
      </c>
      <c r="D3590" s="21">
        <f t="shared" si="8"/>
        <v>367605570140</v>
      </c>
    </row>
    <row r="3591" spans="1:4" ht="14">
      <c r="A3591" s="16">
        <v>43966</v>
      </c>
      <c r="B3591" s="17">
        <v>9326.8799999999992</v>
      </c>
      <c r="C3591" s="18">
        <v>48158802327</v>
      </c>
      <c r="D3591" s="21">
        <f t="shared" si="8"/>
        <v>362919777215</v>
      </c>
    </row>
    <row r="3592" spans="1:4" ht="14">
      <c r="A3592" s="16">
        <v>43967</v>
      </c>
      <c r="B3592" s="17">
        <v>9395.48</v>
      </c>
      <c r="C3592" s="18">
        <v>36164766408</v>
      </c>
      <c r="D3592" s="21">
        <f t="shared" si="8"/>
        <v>359297831500</v>
      </c>
    </row>
    <row r="3593" spans="1:4" ht="14">
      <c r="A3593" s="16">
        <v>43968</v>
      </c>
      <c r="B3593" s="17">
        <v>9682.5300000000007</v>
      </c>
      <c r="C3593" s="18">
        <v>40084250663</v>
      </c>
      <c r="D3593" s="21">
        <f t="shared" si="8"/>
        <v>348896476067</v>
      </c>
    </row>
    <row r="3594" spans="1:4" ht="14">
      <c r="A3594" s="16">
        <v>43969</v>
      </c>
      <c r="B3594" s="17">
        <v>9726.85</v>
      </c>
      <c r="C3594" s="18">
        <v>41827139896</v>
      </c>
      <c r="D3594" s="21">
        <f t="shared" si="8"/>
        <v>325655447393</v>
      </c>
    </row>
    <row r="3595" spans="1:4" ht="14">
      <c r="A3595" s="16">
        <v>43970</v>
      </c>
      <c r="B3595" s="17">
        <v>9754.2000000000007</v>
      </c>
      <c r="C3595" s="18">
        <v>39254288955</v>
      </c>
      <c r="D3595" s="21">
        <f t="shared" si="8"/>
        <v>310362728487</v>
      </c>
    </row>
    <row r="3596" spans="1:4" ht="14">
      <c r="A3596" s="16">
        <v>43971</v>
      </c>
      <c r="B3596" s="17">
        <v>9515.7000000000007</v>
      </c>
      <c r="C3596" s="18">
        <v>36546239703</v>
      </c>
      <c r="D3596" s="21">
        <f t="shared" si="8"/>
        <v>307474299909</v>
      </c>
    </row>
    <row r="3597" spans="1:4" ht="14">
      <c r="A3597" s="16">
        <v>43972</v>
      </c>
      <c r="B3597" s="17">
        <v>9068.7999999999993</v>
      </c>
      <c r="C3597" s="18">
        <v>39326160532</v>
      </c>
      <c r="D3597" s="21">
        <f t="shared" si="8"/>
        <v>298462395589</v>
      </c>
    </row>
    <row r="3598" spans="1:4" ht="14">
      <c r="A3598" s="16">
        <v>43973</v>
      </c>
      <c r="B3598" s="17">
        <v>9161.82</v>
      </c>
      <c r="C3598" s="18">
        <v>29810773699</v>
      </c>
      <c r="D3598" s="21">
        <f t="shared" si="8"/>
        <v>281361648484</v>
      </c>
    </row>
    <row r="3599" spans="1:4" ht="14">
      <c r="A3599" s="16">
        <v>43974</v>
      </c>
      <c r="B3599" s="17">
        <v>9183.66</v>
      </c>
      <c r="C3599" s="18">
        <v>27727866812</v>
      </c>
      <c r="D3599" s="21">
        <f t="shared" si="8"/>
        <v>263013619856</v>
      </c>
    </row>
    <row r="3600" spans="1:4" ht="14">
      <c r="A3600" s="16">
        <v>43975</v>
      </c>
      <c r="B3600" s="17">
        <v>8806.23</v>
      </c>
      <c r="C3600" s="18">
        <v>32518803300</v>
      </c>
      <c r="D3600" s="21">
        <f t="shared" si="8"/>
        <v>254576720260</v>
      </c>
    </row>
    <row r="3601" spans="1:4" ht="14">
      <c r="A3601" s="16">
        <v>43976</v>
      </c>
      <c r="B3601" s="17">
        <v>8909.19</v>
      </c>
      <c r="C3601" s="18">
        <v>31288157264</v>
      </c>
      <c r="D3601" s="21">
        <f t="shared" si="8"/>
        <v>247011272897</v>
      </c>
    </row>
    <row r="3602" spans="1:4" ht="14">
      <c r="A3602" s="16">
        <v>43977</v>
      </c>
      <c r="B3602" s="17">
        <v>8835.14</v>
      </c>
      <c r="C3602" s="18">
        <v>29584186947</v>
      </c>
      <c r="D3602" s="21">
        <f t="shared" si="8"/>
        <v>236472290265</v>
      </c>
    </row>
    <row r="3603" spans="1:4" ht="14">
      <c r="A3603" s="16">
        <v>43978</v>
      </c>
      <c r="B3603" s="17">
        <v>9169.06</v>
      </c>
      <c r="C3603" s="18">
        <v>32740536902</v>
      </c>
      <c r="D3603" s="21">
        <f t="shared" si="8"/>
        <v>226802188257</v>
      </c>
    </row>
    <row r="3604" spans="1:4" ht="14">
      <c r="A3604" s="16">
        <v>43979</v>
      </c>
      <c r="B3604" s="17">
        <v>9568.26</v>
      </c>
      <c r="C3604" s="18">
        <v>34367073114</v>
      </c>
      <c r="D3604" s="21">
        <f t="shared" si="8"/>
        <v>222996485456</v>
      </c>
    </row>
    <row r="3605" spans="1:4" ht="14">
      <c r="A3605" s="16">
        <v>43980</v>
      </c>
      <c r="B3605" s="17">
        <v>9432.41</v>
      </c>
      <c r="C3605" s="18">
        <v>32896642044</v>
      </c>
      <c r="D3605" s="21">
        <f t="shared" si="8"/>
        <v>218037398038</v>
      </c>
    </row>
    <row r="3606" spans="1:4" ht="14">
      <c r="A3606" s="16">
        <v>43981</v>
      </c>
      <c r="B3606" s="17">
        <v>9691.68</v>
      </c>
      <c r="C3606" s="18">
        <v>32722975141</v>
      </c>
      <c r="D3606" s="21">
        <f t="shared" si="8"/>
        <v>221123266383</v>
      </c>
    </row>
    <row r="3607" spans="1:4" ht="14">
      <c r="A3607" s="16">
        <v>43982</v>
      </c>
      <c r="B3607" s="17">
        <v>9433.94</v>
      </c>
      <c r="C3607" s="18">
        <v>27773290299</v>
      </c>
      <c r="D3607" s="21">
        <f t="shared" si="8"/>
        <v>226118374712</v>
      </c>
    </row>
    <row r="3608" spans="1:4" ht="14">
      <c r="A3608" s="16">
        <v>43983</v>
      </c>
      <c r="B3608" s="17">
        <v>10199.14</v>
      </c>
      <c r="C3608" s="18">
        <v>35198901068</v>
      </c>
      <c r="D3608" s="21">
        <f t="shared" si="8"/>
        <v>221372861711</v>
      </c>
    </row>
    <row r="3609" spans="1:4" ht="14">
      <c r="A3609" s="16">
        <v>43984</v>
      </c>
      <c r="B3609" s="17">
        <v>9512.35</v>
      </c>
      <c r="C3609" s="18">
        <v>39137252109</v>
      </c>
      <c r="D3609" s="21">
        <f t="shared" si="8"/>
        <v>225283605515</v>
      </c>
    </row>
    <row r="3610" spans="1:4" ht="14">
      <c r="A3610" s="16">
        <v>43985</v>
      </c>
      <c r="B3610" s="17">
        <v>9642.27</v>
      </c>
      <c r="C3610" s="18">
        <v>25007459262</v>
      </c>
      <c r="D3610" s="21">
        <f t="shared" si="8"/>
        <v>234836670677</v>
      </c>
    </row>
    <row r="3611" spans="1:4" ht="14">
      <c r="A3611" s="16">
        <v>43986</v>
      </c>
      <c r="B3611" s="17">
        <v>9813.36</v>
      </c>
      <c r="C3611" s="18">
        <v>25921805072</v>
      </c>
      <c r="D3611" s="21">
        <f t="shared" si="8"/>
        <v>227103593037</v>
      </c>
    </row>
    <row r="3612" spans="1:4" ht="14">
      <c r="A3612" s="16">
        <v>43987</v>
      </c>
      <c r="B3612" s="17">
        <v>9641.89</v>
      </c>
      <c r="C3612" s="18">
        <v>23509628646</v>
      </c>
      <c r="D3612" s="21">
        <f t="shared" si="8"/>
        <v>218658324995</v>
      </c>
    </row>
    <row r="3613" spans="1:4" ht="14">
      <c r="A3613" s="16">
        <v>43988</v>
      </c>
      <c r="B3613" s="17">
        <v>9668.67</v>
      </c>
      <c r="C3613" s="18">
        <v>20438419222</v>
      </c>
      <c r="D3613" s="21">
        <f t="shared" si="8"/>
        <v>209271311597</v>
      </c>
    </row>
    <row r="3614" spans="1:4" ht="14">
      <c r="A3614" s="16">
        <v>43989</v>
      </c>
      <c r="B3614" s="17">
        <v>9747.58</v>
      </c>
      <c r="C3614" s="18">
        <v>25015250846</v>
      </c>
      <c r="D3614" s="21">
        <f t="shared" si="8"/>
        <v>196986755678</v>
      </c>
    </row>
    <row r="3615" spans="1:4" ht="14">
      <c r="A3615" s="16">
        <v>43990</v>
      </c>
      <c r="B3615" s="17">
        <v>9769.34</v>
      </c>
      <c r="C3615" s="18">
        <v>21486346312</v>
      </c>
      <c r="D3615" s="21">
        <f t="shared" si="8"/>
        <v>194228716225</v>
      </c>
    </row>
    <row r="3616" spans="1:4" ht="14">
      <c r="A3616" s="16">
        <v>43991</v>
      </c>
      <c r="B3616" s="17">
        <v>9779.42</v>
      </c>
      <c r="C3616" s="18">
        <v>23717842783</v>
      </c>
      <c r="D3616" s="21">
        <f t="shared" si="8"/>
        <v>180516161469</v>
      </c>
    </row>
    <row r="3617" spans="1:4" ht="14">
      <c r="A3617" s="16">
        <v>43992</v>
      </c>
      <c r="B3617" s="17">
        <v>9888.44</v>
      </c>
      <c r="C3617" s="18">
        <v>25706567601</v>
      </c>
      <c r="D3617" s="21">
        <f t="shared" si="8"/>
        <v>165096752143</v>
      </c>
    </row>
    <row r="3618" spans="1:4" ht="14">
      <c r="A3618" s="16">
        <v>43993</v>
      </c>
      <c r="B3618" s="17">
        <v>9277.4500000000007</v>
      </c>
      <c r="C3618" s="18">
        <v>30247143440</v>
      </c>
      <c r="D3618" s="21">
        <f t="shared" si="8"/>
        <v>165795860482</v>
      </c>
    </row>
    <row r="3619" spans="1:4" ht="14">
      <c r="A3619" s="16">
        <v>43994</v>
      </c>
      <c r="B3619" s="17">
        <v>9456.16</v>
      </c>
      <c r="C3619" s="18">
        <v>22610564515</v>
      </c>
      <c r="D3619" s="21">
        <f t="shared" si="8"/>
        <v>170121198850</v>
      </c>
    </row>
    <row r="3620" spans="1:4" ht="14">
      <c r="A3620" s="16">
        <v>43995</v>
      </c>
      <c r="B3620" s="17">
        <v>9461.33</v>
      </c>
      <c r="C3620" s="18">
        <v>17564322315</v>
      </c>
      <c r="D3620" s="21">
        <f t="shared" si="8"/>
        <v>169222134719</v>
      </c>
    </row>
    <row r="3621" spans="1:4" ht="14">
      <c r="A3621" s="16">
        <v>43996</v>
      </c>
      <c r="B3621" s="17">
        <v>9342.9599999999991</v>
      </c>
      <c r="C3621" s="18">
        <v>18991732746</v>
      </c>
      <c r="D3621" s="21">
        <f t="shared" si="8"/>
        <v>166348037812</v>
      </c>
    </row>
    <row r="3622" spans="1:4" ht="14">
      <c r="A3622" s="16">
        <v>43997</v>
      </c>
      <c r="B3622" s="17">
        <v>9441.3799999999992</v>
      </c>
      <c r="C3622" s="18">
        <v>26699704768</v>
      </c>
      <c r="D3622" s="21">
        <f t="shared" si="8"/>
        <v>160324519712</v>
      </c>
    </row>
    <row r="3623" spans="1:4" ht="14">
      <c r="A3623" s="16">
        <v>43998</v>
      </c>
      <c r="B3623" s="17">
        <v>9520.09</v>
      </c>
      <c r="C3623" s="18">
        <v>21565537209</v>
      </c>
      <c r="D3623" s="21">
        <f t="shared" si="8"/>
        <v>165537878168</v>
      </c>
    </row>
    <row r="3624" spans="1:4" ht="14">
      <c r="A3624" s="16">
        <v>43999</v>
      </c>
      <c r="B3624" s="17">
        <v>9448.69</v>
      </c>
      <c r="C3624" s="18">
        <v>20177709879</v>
      </c>
      <c r="D3624" s="21">
        <f t="shared" si="8"/>
        <v>163385572594</v>
      </c>
    </row>
    <row r="3625" spans="1:4" ht="14">
      <c r="A3625" s="16">
        <v>44000</v>
      </c>
      <c r="B3625" s="17">
        <v>9389.99</v>
      </c>
      <c r="C3625" s="18">
        <v>17770083003</v>
      </c>
      <c r="D3625" s="21">
        <f t="shared" si="8"/>
        <v>157856714872</v>
      </c>
    </row>
    <row r="3626" spans="1:4" ht="14">
      <c r="A3626" s="16">
        <v>44001</v>
      </c>
      <c r="B3626" s="17">
        <v>9285.99</v>
      </c>
      <c r="C3626" s="18">
        <v>19632223107</v>
      </c>
      <c r="D3626" s="21">
        <f t="shared" si="8"/>
        <v>145379654435</v>
      </c>
    </row>
    <row r="3627" spans="1:4" ht="14">
      <c r="A3627" s="16">
        <v>44002</v>
      </c>
      <c r="B3627" s="17">
        <v>9357.2900000000009</v>
      </c>
      <c r="C3627" s="18">
        <v>17130541557</v>
      </c>
      <c r="D3627" s="21">
        <f t="shared" si="8"/>
        <v>142401313027</v>
      </c>
    </row>
    <row r="3628" spans="1:4" ht="14">
      <c r="A3628" s="16">
        <v>44003</v>
      </c>
      <c r="B3628" s="17">
        <v>9284.77</v>
      </c>
      <c r="C3628" s="18">
        <v>15324301169</v>
      </c>
      <c r="D3628" s="21">
        <f t="shared" si="8"/>
        <v>141967532269</v>
      </c>
    </row>
    <row r="3629" spans="1:4" ht="14">
      <c r="A3629" s="16">
        <v>44004</v>
      </c>
      <c r="B3629" s="17">
        <v>9684.6200000000008</v>
      </c>
      <c r="C3629" s="18">
        <v>21104009514</v>
      </c>
      <c r="D3629" s="21">
        <f t="shared" si="8"/>
        <v>138300100692</v>
      </c>
    </row>
    <row r="3630" spans="1:4" ht="14">
      <c r="A3630" s="16">
        <v>44005</v>
      </c>
      <c r="B3630" s="17">
        <v>9611.73</v>
      </c>
      <c r="C3630" s="18">
        <v>17006433272</v>
      </c>
      <c r="D3630" s="21">
        <f t="shared" si="8"/>
        <v>132704405438</v>
      </c>
    </row>
    <row r="3631" spans="1:4" ht="14">
      <c r="A3631" s="16">
        <v>44006</v>
      </c>
      <c r="B3631" s="17">
        <v>9292.94</v>
      </c>
      <c r="C3631" s="18">
        <v>18961716076</v>
      </c>
      <c r="D3631" s="21">
        <f t="shared" si="8"/>
        <v>128145301501</v>
      </c>
    </row>
    <row r="3632" spans="1:4" ht="14">
      <c r="A3632" s="16">
        <v>44007</v>
      </c>
      <c r="B3632" s="17">
        <v>9247.1200000000008</v>
      </c>
      <c r="C3632" s="18">
        <v>18616048626</v>
      </c>
      <c r="D3632" s="21">
        <f t="shared" si="8"/>
        <v>126929307698</v>
      </c>
    </row>
    <row r="3633" spans="1:4" ht="14">
      <c r="A3633" s="16">
        <v>44008</v>
      </c>
      <c r="B3633" s="17">
        <v>9159.44</v>
      </c>
      <c r="C3633" s="18">
        <v>18341465837</v>
      </c>
      <c r="D3633" s="21">
        <f t="shared" si="8"/>
        <v>127775273321</v>
      </c>
    </row>
    <row r="3634" spans="1:4" ht="14">
      <c r="A3634" s="16">
        <v>44009</v>
      </c>
      <c r="B3634" s="17">
        <v>9002.17</v>
      </c>
      <c r="C3634" s="18">
        <v>17273093144</v>
      </c>
      <c r="D3634" s="21">
        <f t="shared" si="8"/>
        <v>126484516051</v>
      </c>
    </row>
    <row r="3635" spans="1:4" ht="14">
      <c r="A3635" s="16">
        <v>44010</v>
      </c>
      <c r="B3635" s="17">
        <v>9108.07</v>
      </c>
      <c r="C3635" s="18">
        <v>14560870760</v>
      </c>
      <c r="D3635" s="21">
        <f t="shared" si="8"/>
        <v>126627067638</v>
      </c>
    </row>
    <row r="3636" spans="1:4" ht="14">
      <c r="A3636" s="16">
        <v>44011</v>
      </c>
      <c r="B3636" s="17">
        <v>9184.25</v>
      </c>
      <c r="C3636" s="18">
        <v>16460547078</v>
      </c>
      <c r="D3636" s="21">
        <f t="shared" si="8"/>
        <v>125863637229</v>
      </c>
    </row>
    <row r="3637" spans="1:4" ht="14">
      <c r="A3637" s="16">
        <v>44012</v>
      </c>
      <c r="B3637" s="17">
        <v>9143.9699999999993</v>
      </c>
      <c r="C3637" s="18">
        <v>15735797744</v>
      </c>
      <c r="D3637" s="21">
        <f t="shared" si="8"/>
        <v>121220174793</v>
      </c>
    </row>
    <row r="3638" spans="1:4" ht="14">
      <c r="A3638" s="16">
        <v>44013</v>
      </c>
      <c r="B3638" s="17">
        <v>9241.34</v>
      </c>
      <c r="C3638" s="18">
        <v>15971550355</v>
      </c>
      <c r="D3638" s="21">
        <f t="shared" si="8"/>
        <v>119949539265</v>
      </c>
    </row>
    <row r="3639" spans="1:4" ht="14">
      <c r="A3639" s="16">
        <v>44014</v>
      </c>
      <c r="B3639" s="17">
        <v>9094.39</v>
      </c>
      <c r="C3639" s="18">
        <v>16338916796</v>
      </c>
      <c r="D3639" s="21">
        <f t="shared" si="8"/>
        <v>116959373544</v>
      </c>
    </row>
    <row r="3640" spans="1:4" ht="14">
      <c r="A3640" s="16">
        <v>44015</v>
      </c>
      <c r="B3640" s="17">
        <v>9066.69</v>
      </c>
      <c r="C3640" s="18">
        <v>13078970999</v>
      </c>
      <c r="D3640" s="21">
        <f t="shared" si="8"/>
        <v>114682241714</v>
      </c>
    </row>
    <row r="3641" spans="1:4" ht="14">
      <c r="A3641" s="16">
        <v>44016</v>
      </c>
      <c r="B3641" s="17">
        <v>9126.2199999999993</v>
      </c>
      <c r="C3641" s="18">
        <v>12290528515</v>
      </c>
      <c r="D3641" s="21">
        <f t="shared" si="8"/>
        <v>109419746876</v>
      </c>
    </row>
    <row r="3642" spans="1:4" ht="14">
      <c r="A3642" s="16">
        <v>44017</v>
      </c>
      <c r="B3642" s="17">
        <v>9079.61</v>
      </c>
      <c r="C3642" s="18">
        <v>12903406143</v>
      </c>
      <c r="D3642" s="21">
        <f t="shared" si="8"/>
        <v>104437182247</v>
      </c>
    </row>
    <row r="3643" spans="1:4" ht="14">
      <c r="A3643" s="16">
        <v>44018</v>
      </c>
      <c r="B3643" s="17">
        <v>9338.94</v>
      </c>
      <c r="C3643" s="18">
        <v>17889263252</v>
      </c>
      <c r="D3643" s="21">
        <f t="shared" si="8"/>
        <v>102779717630</v>
      </c>
    </row>
    <row r="3644" spans="1:4" ht="14">
      <c r="A3644" s="16">
        <v>44019</v>
      </c>
      <c r="B3644" s="17">
        <v>9252.16</v>
      </c>
      <c r="C3644" s="18">
        <v>13839652595</v>
      </c>
      <c r="D3644" s="21">
        <f t="shared" si="8"/>
        <v>104208433804</v>
      </c>
    </row>
    <row r="3645" spans="1:4" ht="14">
      <c r="A3645" s="16">
        <v>44020</v>
      </c>
      <c r="B3645" s="17">
        <v>9434.57</v>
      </c>
      <c r="C3645" s="18">
        <v>19702359883</v>
      </c>
      <c r="D3645" s="21">
        <f t="shared" si="8"/>
        <v>102312288655</v>
      </c>
    </row>
    <row r="3646" spans="1:4" ht="14">
      <c r="A3646" s="16">
        <v>44021</v>
      </c>
      <c r="B3646" s="17">
        <v>9231.5</v>
      </c>
      <c r="C3646" s="18">
        <v>18000702524</v>
      </c>
      <c r="D3646" s="21">
        <f t="shared" si="8"/>
        <v>106043098183</v>
      </c>
    </row>
    <row r="3647" spans="1:4" ht="14">
      <c r="A3647" s="16">
        <v>44022</v>
      </c>
      <c r="B3647" s="17">
        <v>9285.2199999999993</v>
      </c>
      <c r="C3647" s="18">
        <v>16860035605</v>
      </c>
      <c r="D3647" s="21">
        <f t="shared" si="8"/>
        <v>107704883911</v>
      </c>
    </row>
    <row r="3648" spans="1:4" ht="14">
      <c r="A3648" s="16">
        <v>44023</v>
      </c>
      <c r="B3648" s="17">
        <v>9237.17</v>
      </c>
      <c r="C3648" s="18">
        <v>13249910444</v>
      </c>
      <c r="D3648" s="21">
        <f t="shared" si="8"/>
        <v>111485948517</v>
      </c>
    </row>
    <row r="3649" spans="1:4" ht="14">
      <c r="A3649" s="16">
        <v>44024</v>
      </c>
      <c r="B3649" s="17">
        <v>9289.1</v>
      </c>
      <c r="C3649" s="18">
        <v>14452361907</v>
      </c>
      <c r="D3649" s="21">
        <f t="shared" si="8"/>
        <v>112445330446</v>
      </c>
    </row>
    <row r="3650" spans="1:4" ht="14">
      <c r="A3650" s="16">
        <v>44025</v>
      </c>
      <c r="B3650" s="17">
        <v>9236.6200000000008</v>
      </c>
      <c r="C3650" s="18">
        <v>17519821266</v>
      </c>
      <c r="D3650" s="21">
        <f t="shared" si="8"/>
        <v>113994286210</v>
      </c>
    </row>
    <row r="3651" spans="1:4" ht="14">
      <c r="A3651" s="16">
        <v>44026</v>
      </c>
      <c r="B3651" s="17">
        <v>9260.36</v>
      </c>
      <c r="C3651" s="18">
        <v>18085038362</v>
      </c>
      <c r="D3651" s="21">
        <f t="shared" si="8"/>
        <v>113624844224</v>
      </c>
    </row>
    <row r="3652" spans="1:4" ht="14">
      <c r="A3652" s="16">
        <v>44027</v>
      </c>
      <c r="B3652" s="17">
        <v>9196.73</v>
      </c>
      <c r="C3652" s="18">
        <v>15844731575</v>
      </c>
      <c r="D3652" s="21">
        <f t="shared" si="8"/>
        <v>117870229991</v>
      </c>
    </row>
    <row r="3653" spans="1:4" ht="14">
      <c r="A3653" s="16">
        <v>44028</v>
      </c>
      <c r="B3653" s="17">
        <v>9132.59</v>
      </c>
      <c r="C3653" s="18">
        <v>15713967523</v>
      </c>
      <c r="D3653" s="21">
        <f t="shared" si="8"/>
        <v>114012601683</v>
      </c>
    </row>
    <row r="3654" spans="1:4" ht="14">
      <c r="A3654" s="16">
        <v>44029</v>
      </c>
      <c r="B3654" s="17">
        <v>9156.4699999999993</v>
      </c>
      <c r="C3654" s="18">
        <v>13944570749</v>
      </c>
      <c r="D3654" s="21">
        <f t="shared" si="8"/>
        <v>111725866682</v>
      </c>
    </row>
    <row r="3655" spans="1:4" ht="14">
      <c r="A3655" s="16">
        <v>44030</v>
      </c>
      <c r="B3655" s="17">
        <v>9175.91</v>
      </c>
      <c r="C3655" s="18">
        <v>12252601475</v>
      </c>
      <c r="D3655" s="21">
        <f t="shared" si="8"/>
        <v>108810401826</v>
      </c>
    </row>
    <row r="3656" spans="1:4" ht="14">
      <c r="A3656" s="16">
        <v>44031</v>
      </c>
      <c r="B3656" s="17">
        <v>9218.84</v>
      </c>
      <c r="C3656" s="18">
        <v>12939002784</v>
      </c>
      <c r="D3656" s="21">
        <f t="shared" si="8"/>
        <v>107813092857</v>
      </c>
    </row>
    <row r="3657" spans="1:4" ht="14">
      <c r="A3657" s="16">
        <v>44032</v>
      </c>
      <c r="B3657" s="17">
        <v>9167.19</v>
      </c>
      <c r="C3657" s="18">
        <v>13755604146</v>
      </c>
      <c r="D3657" s="21">
        <f t="shared" si="8"/>
        <v>106299733734</v>
      </c>
    </row>
    <row r="3658" spans="1:4" ht="14">
      <c r="A3658" s="16">
        <v>44033</v>
      </c>
      <c r="B3658" s="17">
        <v>9388.57</v>
      </c>
      <c r="C3658" s="18">
        <v>18069581956</v>
      </c>
      <c r="D3658" s="21">
        <f t="shared" si="8"/>
        <v>102535516614</v>
      </c>
    </row>
    <row r="3659" spans="1:4" ht="14">
      <c r="A3659" s="16">
        <v>44034</v>
      </c>
      <c r="B3659" s="17">
        <v>9531.26</v>
      </c>
      <c r="C3659" s="18">
        <v>16532254884</v>
      </c>
      <c r="D3659" s="21">
        <f t="shared" si="8"/>
        <v>102520060208</v>
      </c>
    </row>
    <row r="3660" spans="1:4" ht="14">
      <c r="A3660" s="16">
        <v>44035</v>
      </c>
      <c r="B3660" s="17">
        <v>9609.17</v>
      </c>
      <c r="C3660" s="18">
        <v>18146399002</v>
      </c>
      <c r="D3660" s="21">
        <f t="shared" si="8"/>
        <v>103207583517</v>
      </c>
    </row>
    <row r="3661" spans="1:4" ht="14">
      <c r="A3661" s="16">
        <v>44036</v>
      </c>
      <c r="B3661" s="17">
        <v>9548.1</v>
      </c>
      <c r="C3661" s="18">
        <v>16552768325</v>
      </c>
      <c r="D3661" s="21">
        <f t="shared" si="8"/>
        <v>105640014996</v>
      </c>
    </row>
    <row r="3662" spans="1:4" ht="14">
      <c r="A3662" s="16">
        <v>44037</v>
      </c>
      <c r="B3662" s="17">
        <v>9702.4500000000007</v>
      </c>
      <c r="C3662" s="18">
        <v>16610070933</v>
      </c>
      <c r="D3662" s="21">
        <f t="shared" si="8"/>
        <v>108248212572</v>
      </c>
    </row>
    <row r="3663" spans="1:4" ht="14">
      <c r="A3663" s="16">
        <v>44038</v>
      </c>
      <c r="B3663" s="17">
        <v>9933.91</v>
      </c>
      <c r="C3663" s="18">
        <v>20507998997</v>
      </c>
      <c r="D3663" s="21">
        <f t="shared" si="8"/>
        <v>112605682030</v>
      </c>
    </row>
    <row r="3664" spans="1:4" ht="14">
      <c r="A3664" s="16">
        <v>44039</v>
      </c>
      <c r="B3664" s="17">
        <v>11046.51</v>
      </c>
      <c r="C3664" s="18">
        <v>35359749590</v>
      </c>
      <c r="D3664" s="21">
        <f t="shared" si="8"/>
        <v>120174678243</v>
      </c>
    </row>
    <row r="3665" spans="1:4" ht="14">
      <c r="A3665" s="16">
        <v>44040</v>
      </c>
      <c r="B3665" s="17">
        <v>10944.61</v>
      </c>
      <c r="C3665" s="18">
        <v>28766551142</v>
      </c>
      <c r="D3665" s="21">
        <f t="shared" si="8"/>
        <v>141778823687</v>
      </c>
    </row>
    <row r="3666" spans="1:4" ht="14">
      <c r="A3666" s="16">
        <v>44041</v>
      </c>
      <c r="B3666" s="17">
        <v>11115.77</v>
      </c>
      <c r="C3666" s="18">
        <v>24617249715</v>
      </c>
      <c r="D3666" s="21">
        <f t="shared" si="8"/>
        <v>152475792873</v>
      </c>
    </row>
    <row r="3667" spans="1:4" ht="14">
      <c r="A3667" s="16">
        <v>44042</v>
      </c>
      <c r="B3667" s="17">
        <v>11135.39</v>
      </c>
      <c r="C3667" s="18">
        <v>22857247901</v>
      </c>
      <c r="D3667" s="21">
        <f t="shared" si="8"/>
        <v>160560787704</v>
      </c>
    </row>
    <row r="3668" spans="1:4" ht="14">
      <c r="A3668" s="16">
        <v>44043</v>
      </c>
      <c r="B3668" s="17">
        <v>11338.2</v>
      </c>
      <c r="C3668" s="18">
        <v>23160469766</v>
      </c>
      <c r="D3668" s="21">
        <f t="shared" si="8"/>
        <v>165271636603</v>
      </c>
    </row>
    <row r="3669" spans="1:4" ht="14">
      <c r="A3669" s="16">
        <v>44044</v>
      </c>
      <c r="B3669" s="17">
        <v>11797.58</v>
      </c>
      <c r="C3669" s="18">
        <v>26075670303</v>
      </c>
      <c r="D3669" s="21">
        <f t="shared" si="8"/>
        <v>171879338044</v>
      </c>
    </row>
    <row r="3670" spans="1:4" ht="14">
      <c r="A3670" s="16">
        <v>44045</v>
      </c>
      <c r="B3670" s="17">
        <v>11094.02</v>
      </c>
      <c r="C3670" s="18">
        <v>27410067336</v>
      </c>
      <c r="D3670" s="21">
        <f t="shared" si="8"/>
        <v>181344937414</v>
      </c>
    </row>
    <row r="3671" spans="1:4" ht="14">
      <c r="A3671" s="16">
        <v>44046</v>
      </c>
      <c r="B3671" s="17">
        <v>11236.1</v>
      </c>
      <c r="C3671" s="18">
        <v>20271713443</v>
      </c>
      <c r="D3671" s="21">
        <f t="shared" si="8"/>
        <v>188247005753</v>
      </c>
    </row>
    <row r="3672" spans="1:4" ht="14">
      <c r="A3672" s="16">
        <v>44047</v>
      </c>
      <c r="B3672" s="17">
        <v>11202.65</v>
      </c>
      <c r="C3672" s="18">
        <v>21250197042</v>
      </c>
      <c r="D3672" s="21">
        <f t="shared" si="8"/>
        <v>173158969606</v>
      </c>
    </row>
    <row r="3673" spans="1:4" ht="14">
      <c r="A3673" s="16">
        <v>44048</v>
      </c>
      <c r="B3673" s="17">
        <v>11721.44</v>
      </c>
      <c r="C3673" s="18">
        <v>24411254471</v>
      </c>
      <c r="D3673" s="21">
        <f t="shared" si="8"/>
        <v>165642615506</v>
      </c>
    </row>
    <row r="3674" spans="1:4" ht="14">
      <c r="A3674" s="16">
        <v>44049</v>
      </c>
      <c r="B3674" s="17">
        <v>11769.31</v>
      </c>
      <c r="C3674" s="18">
        <v>23400740340</v>
      </c>
      <c r="D3674" s="21">
        <f t="shared" si="8"/>
        <v>165436620262</v>
      </c>
    </row>
    <row r="3675" spans="1:4" ht="14">
      <c r="A3675" s="16">
        <v>44050</v>
      </c>
      <c r="B3675" s="17">
        <v>11598.97</v>
      </c>
      <c r="C3675" s="18">
        <v>23132312867</v>
      </c>
      <c r="D3675" s="21">
        <f t="shared" si="8"/>
        <v>165980112701</v>
      </c>
    </row>
    <row r="3676" spans="1:4" ht="14">
      <c r="A3676" s="16">
        <v>44051</v>
      </c>
      <c r="B3676" s="17">
        <v>11743.01</v>
      </c>
      <c r="C3676" s="18">
        <v>17572057837</v>
      </c>
      <c r="D3676" s="21">
        <f t="shared" si="8"/>
        <v>165951955802</v>
      </c>
    </row>
    <row r="3677" spans="1:4" ht="14">
      <c r="A3677" s="16">
        <v>44052</v>
      </c>
      <c r="B3677" s="17">
        <v>11680.52</v>
      </c>
      <c r="C3677" s="18">
        <v>17489608833</v>
      </c>
      <c r="D3677" s="21">
        <f t="shared" si="8"/>
        <v>157448343336</v>
      </c>
    </row>
    <row r="3678" spans="1:4" ht="14">
      <c r="A3678" s="16">
        <v>44053</v>
      </c>
      <c r="B3678" s="17">
        <v>11870.37</v>
      </c>
      <c r="C3678" s="18">
        <v>26114112569</v>
      </c>
      <c r="D3678" s="21">
        <f t="shared" si="8"/>
        <v>147527884833</v>
      </c>
    </row>
    <row r="3679" spans="1:4" ht="14">
      <c r="A3679" s="16">
        <v>44054</v>
      </c>
      <c r="B3679" s="17">
        <v>11392.64</v>
      </c>
      <c r="C3679" s="18">
        <v>27039782640</v>
      </c>
      <c r="D3679" s="21">
        <f t="shared" si="8"/>
        <v>153370283959</v>
      </c>
    </row>
    <row r="3680" spans="1:4" ht="14">
      <c r="A3680" s="16">
        <v>44055</v>
      </c>
      <c r="B3680" s="17">
        <v>11575.51</v>
      </c>
      <c r="C3680" s="18">
        <v>25064548486</v>
      </c>
      <c r="D3680" s="21">
        <f t="shared" si="8"/>
        <v>159159869557</v>
      </c>
    </row>
    <row r="3681" spans="1:4" ht="14">
      <c r="A3681" s="16">
        <v>44056</v>
      </c>
      <c r="B3681" s="17">
        <v>11773.45</v>
      </c>
      <c r="C3681" s="18">
        <v>27522199497</v>
      </c>
      <c r="D3681" s="21">
        <f t="shared" si="8"/>
        <v>159813163572</v>
      </c>
    </row>
    <row r="3682" spans="1:4" ht="14">
      <c r="A3682" s="16">
        <v>44057</v>
      </c>
      <c r="B3682" s="17">
        <v>11774.41</v>
      </c>
      <c r="C3682" s="18">
        <v>24237958589</v>
      </c>
      <c r="D3682" s="21">
        <f t="shared" si="8"/>
        <v>163934622729</v>
      </c>
    </row>
    <row r="3683" spans="1:4" ht="14">
      <c r="A3683" s="16">
        <v>44058</v>
      </c>
      <c r="B3683" s="17">
        <v>11866.91</v>
      </c>
      <c r="C3683" s="18">
        <v>23354924400</v>
      </c>
      <c r="D3683" s="21">
        <f t="shared" si="8"/>
        <v>165040268451</v>
      </c>
    </row>
    <row r="3684" spans="1:4" ht="14">
      <c r="A3684" s="16">
        <v>44059</v>
      </c>
      <c r="B3684" s="17">
        <v>11899.64</v>
      </c>
      <c r="C3684" s="18">
        <v>20583375490</v>
      </c>
      <c r="D3684" s="21">
        <f t="shared" si="8"/>
        <v>170823135014</v>
      </c>
    </row>
    <row r="3685" spans="1:4" ht="14">
      <c r="A3685" s="16">
        <v>44060</v>
      </c>
      <c r="B3685" s="17">
        <v>12315.76</v>
      </c>
      <c r="C3685" s="18">
        <v>28227687027</v>
      </c>
      <c r="D3685" s="21">
        <f t="shared" si="8"/>
        <v>173916901671</v>
      </c>
    </row>
    <row r="3686" spans="1:4" ht="14">
      <c r="A3686" s="16">
        <v>44061</v>
      </c>
      <c r="B3686" s="17">
        <v>11992.7</v>
      </c>
      <c r="C3686" s="18">
        <v>26043227672</v>
      </c>
      <c r="D3686" s="21">
        <f t="shared" si="8"/>
        <v>176030476129</v>
      </c>
    </row>
    <row r="3687" spans="1:4" ht="14">
      <c r="A3687" s="16">
        <v>44062</v>
      </c>
      <c r="B3687" s="17">
        <v>11736.85</v>
      </c>
      <c r="C3687" s="18">
        <v>24502851117</v>
      </c>
      <c r="D3687" s="21">
        <f t="shared" si="8"/>
        <v>175033921161</v>
      </c>
    </row>
    <row r="3688" spans="1:4" ht="14">
      <c r="A3688" s="16">
        <v>44063</v>
      </c>
      <c r="B3688" s="17">
        <v>11867.52</v>
      </c>
      <c r="C3688" s="18">
        <v>20175242945</v>
      </c>
      <c r="D3688" s="21">
        <f t="shared" si="8"/>
        <v>174472223792</v>
      </c>
    </row>
    <row r="3689" spans="1:4" ht="14">
      <c r="A3689" s="16">
        <v>44064</v>
      </c>
      <c r="B3689" s="17">
        <v>11524.7</v>
      </c>
      <c r="C3689" s="18">
        <v>23762425999</v>
      </c>
      <c r="D3689" s="21">
        <f t="shared" si="8"/>
        <v>167125267240</v>
      </c>
    </row>
    <row r="3690" spans="1:4" ht="14">
      <c r="A3690" s="16">
        <v>44065</v>
      </c>
      <c r="B3690" s="17">
        <v>11682.29</v>
      </c>
      <c r="C3690" s="18">
        <v>20224191306</v>
      </c>
      <c r="D3690" s="21">
        <f t="shared" si="8"/>
        <v>166649734650</v>
      </c>
    </row>
    <row r="3691" spans="1:4" ht="14">
      <c r="A3691" s="16">
        <v>44066</v>
      </c>
      <c r="B3691" s="17">
        <v>11665.61</v>
      </c>
      <c r="C3691" s="18">
        <v>18482062658</v>
      </c>
      <c r="D3691" s="21">
        <f t="shared" si="8"/>
        <v>163519001556</v>
      </c>
    </row>
    <row r="3692" spans="1:4" ht="14">
      <c r="A3692" s="16">
        <v>44067</v>
      </c>
      <c r="B3692" s="17">
        <v>11771.41</v>
      </c>
      <c r="C3692" s="18">
        <v>20681511755</v>
      </c>
      <c r="D3692" s="21">
        <f t="shared" si="8"/>
        <v>161417688724</v>
      </c>
    </row>
    <row r="3693" spans="1:4" ht="14">
      <c r="A3693" s="16">
        <v>44068</v>
      </c>
      <c r="B3693" s="17">
        <v>11358.45</v>
      </c>
      <c r="C3693" s="18">
        <v>26301509932</v>
      </c>
      <c r="D3693" s="21">
        <f t="shared" si="8"/>
        <v>153871513452</v>
      </c>
    </row>
    <row r="3694" spans="1:4" ht="14">
      <c r="A3694" s="16">
        <v>44069</v>
      </c>
      <c r="B3694" s="17">
        <v>11472.05</v>
      </c>
      <c r="C3694" s="18">
        <v>22466660958</v>
      </c>
      <c r="D3694" s="21">
        <f t="shared" si="8"/>
        <v>154129795712</v>
      </c>
    </row>
    <row r="3695" spans="1:4" ht="14">
      <c r="A3695" s="16">
        <v>44070</v>
      </c>
      <c r="B3695" s="17">
        <v>11314.67</v>
      </c>
      <c r="C3695" s="18">
        <v>23240415076</v>
      </c>
      <c r="D3695" s="21">
        <f t="shared" si="8"/>
        <v>152093605553</v>
      </c>
    </row>
    <row r="3696" spans="1:4" ht="14">
      <c r="A3696" s="16">
        <v>44071</v>
      </c>
      <c r="B3696" s="17">
        <v>11527.88</v>
      </c>
      <c r="C3696" s="18">
        <v>19807127588</v>
      </c>
      <c r="D3696" s="21">
        <f t="shared" si="8"/>
        <v>155158777684</v>
      </c>
    </row>
    <row r="3697" spans="1:4" ht="14">
      <c r="A3697" s="16">
        <v>44072</v>
      </c>
      <c r="B3697" s="17">
        <v>11490.76</v>
      </c>
      <c r="C3697" s="18">
        <v>17485597759</v>
      </c>
      <c r="D3697" s="21">
        <f t="shared" si="8"/>
        <v>151203479273</v>
      </c>
    </row>
    <row r="3698" spans="1:4" ht="14">
      <c r="A3698" s="16">
        <v>44073</v>
      </c>
      <c r="B3698" s="17">
        <v>11698.98</v>
      </c>
      <c r="C3698" s="18">
        <v>19760127945</v>
      </c>
      <c r="D3698" s="21">
        <f t="shared" si="8"/>
        <v>148464885726</v>
      </c>
    </row>
    <row r="3699" spans="1:4" ht="14">
      <c r="A3699" s="16">
        <v>44074</v>
      </c>
      <c r="B3699" s="17">
        <v>11678.35</v>
      </c>
      <c r="C3699" s="18">
        <v>22285928250</v>
      </c>
      <c r="D3699" s="21">
        <f t="shared" si="8"/>
        <v>149742951013</v>
      </c>
    </row>
    <row r="3700" spans="1:4" ht="14">
      <c r="A3700" s="16">
        <v>44075</v>
      </c>
      <c r="B3700" s="17">
        <v>11970.36</v>
      </c>
      <c r="C3700" s="18">
        <v>27311555343</v>
      </c>
      <c r="D3700" s="21">
        <f t="shared" si="8"/>
        <v>151347367508</v>
      </c>
    </row>
    <row r="3701" spans="1:4" ht="14">
      <c r="A3701" s="16">
        <v>44076</v>
      </c>
      <c r="B3701" s="17">
        <v>11414.52</v>
      </c>
      <c r="C3701" s="18">
        <v>28037405299</v>
      </c>
      <c r="D3701" s="21">
        <f t="shared" si="8"/>
        <v>152357412919</v>
      </c>
    </row>
    <row r="3702" spans="1:4" ht="14">
      <c r="A3702" s="16">
        <v>44077</v>
      </c>
      <c r="B3702" s="17">
        <v>10261.49</v>
      </c>
      <c r="C3702" s="18">
        <v>31927261555</v>
      </c>
      <c r="D3702" s="21">
        <f t="shared" si="8"/>
        <v>157928157260</v>
      </c>
    </row>
    <row r="3703" spans="1:4" ht="14">
      <c r="A3703" s="16">
        <v>44078</v>
      </c>
      <c r="B3703" s="17">
        <v>10471.969999999999</v>
      </c>
      <c r="C3703" s="18">
        <v>29965130374</v>
      </c>
      <c r="D3703" s="21">
        <f t="shared" si="8"/>
        <v>166615003739</v>
      </c>
    </row>
    <row r="3704" spans="1:4" ht="14">
      <c r="A3704" s="16">
        <v>44079</v>
      </c>
      <c r="B3704" s="17">
        <v>10128.64</v>
      </c>
      <c r="C3704" s="18">
        <v>44916565292</v>
      </c>
      <c r="D3704" s="21">
        <f t="shared" si="8"/>
        <v>176773006525</v>
      </c>
    </row>
    <row r="3705" spans="1:4" ht="14">
      <c r="A3705" s="16">
        <v>44080</v>
      </c>
      <c r="B3705" s="17">
        <v>10253.299999999999</v>
      </c>
      <c r="C3705" s="18">
        <v>37071460174</v>
      </c>
      <c r="D3705" s="21">
        <f t="shared" si="8"/>
        <v>204203974058</v>
      </c>
    </row>
    <row r="3706" spans="1:4" ht="14">
      <c r="A3706" s="16">
        <v>44081</v>
      </c>
      <c r="B3706" s="17">
        <v>10367.879999999999</v>
      </c>
      <c r="C3706" s="18">
        <v>33703098409</v>
      </c>
      <c r="D3706" s="21">
        <f t="shared" si="8"/>
        <v>221515306287</v>
      </c>
    </row>
    <row r="3707" spans="1:4" ht="14">
      <c r="A3707" s="16">
        <v>44082</v>
      </c>
      <c r="B3707" s="17">
        <v>10108.64</v>
      </c>
      <c r="C3707" s="18">
        <v>33430927462</v>
      </c>
      <c r="D3707" s="21">
        <f t="shared" si="8"/>
        <v>232932476446</v>
      </c>
    </row>
    <row r="3708" spans="1:4" ht="14">
      <c r="A3708" s="16">
        <v>44083</v>
      </c>
      <c r="B3708" s="17">
        <v>10223.11</v>
      </c>
      <c r="C3708" s="18">
        <v>24128292755</v>
      </c>
      <c r="D3708" s="21">
        <f t="shared" si="8"/>
        <v>239051848565</v>
      </c>
    </row>
    <row r="3709" spans="1:4" ht="14">
      <c r="A3709" s="16">
        <v>44084</v>
      </c>
      <c r="B3709" s="17">
        <v>10334.629999999999</v>
      </c>
      <c r="C3709" s="18">
        <v>54406443211</v>
      </c>
      <c r="D3709" s="21">
        <f t="shared" si="8"/>
        <v>235142736021</v>
      </c>
    </row>
    <row r="3710" spans="1:4" ht="14">
      <c r="A3710" s="16">
        <v>44085</v>
      </c>
      <c r="B3710" s="17">
        <v>10387.02</v>
      </c>
      <c r="C3710" s="18">
        <v>45201121775</v>
      </c>
      <c r="D3710" s="21">
        <f t="shared" si="8"/>
        <v>257621917677</v>
      </c>
    </row>
    <row r="3711" spans="1:4" ht="14">
      <c r="A3711" s="16">
        <v>44086</v>
      </c>
      <c r="B3711" s="17">
        <v>10436.98</v>
      </c>
      <c r="C3711" s="18">
        <v>36750077324</v>
      </c>
      <c r="D3711" s="21">
        <f t="shared" si="8"/>
        <v>272857909078</v>
      </c>
    </row>
    <row r="3712" spans="1:4" ht="14">
      <c r="A3712" s="16">
        <v>44087</v>
      </c>
      <c r="B3712" s="17">
        <v>10322.52</v>
      </c>
      <c r="C3712" s="18">
        <v>36506852789</v>
      </c>
      <c r="D3712" s="21">
        <f t="shared" si="8"/>
        <v>264691421110</v>
      </c>
    </row>
    <row r="3713" spans="1:4" ht="14">
      <c r="A3713" s="16">
        <v>44088</v>
      </c>
      <c r="B3713" s="17">
        <v>10662.72</v>
      </c>
      <c r="C3713" s="18">
        <v>35453581940</v>
      </c>
      <c r="D3713" s="21">
        <f t="shared" si="8"/>
        <v>264126813725</v>
      </c>
    </row>
    <row r="3714" spans="1:4" ht="14">
      <c r="A3714" s="16">
        <v>44089</v>
      </c>
      <c r="B3714" s="17">
        <v>10779.38</v>
      </c>
      <c r="C3714" s="18">
        <v>32509451925</v>
      </c>
      <c r="D3714" s="21">
        <f t="shared" si="8"/>
        <v>265877297256</v>
      </c>
    </row>
    <row r="3715" spans="1:4" ht="14">
      <c r="A3715" s="16">
        <v>44090</v>
      </c>
      <c r="B3715" s="17">
        <v>10968.32</v>
      </c>
      <c r="C3715" s="18">
        <v>30769986455</v>
      </c>
      <c r="D3715" s="21">
        <f t="shared" si="8"/>
        <v>264955821719</v>
      </c>
    </row>
    <row r="3716" spans="1:4" ht="14">
      <c r="A3716" s="16">
        <v>44091</v>
      </c>
      <c r="B3716" s="17">
        <v>10936.29</v>
      </c>
      <c r="C3716" s="18">
        <v>38151810523</v>
      </c>
      <c r="D3716" s="21">
        <f t="shared" si="8"/>
        <v>271597515419</v>
      </c>
    </row>
    <row r="3717" spans="1:4" ht="14">
      <c r="A3717" s="16">
        <v>44092</v>
      </c>
      <c r="B3717" s="17">
        <v>10920.11</v>
      </c>
      <c r="C3717" s="18">
        <v>26341903912</v>
      </c>
      <c r="D3717" s="21">
        <f t="shared" si="8"/>
        <v>255342882731</v>
      </c>
    </row>
    <row r="3718" spans="1:4" ht="14">
      <c r="A3718" s="16">
        <v>44093</v>
      </c>
      <c r="B3718" s="17">
        <v>11073.78</v>
      </c>
      <c r="C3718" s="18">
        <v>22764204008</v>
      </c>
      <c r="D3718" s="21">
        <f t="shared" si="8"/>
        <v>236483664868</v>
      </c>
    </row>
    <row r="3719" spans="1:4" ht="14">
      <c r="A3719" s="16">
        <v>44094</v>
      </c>
      <c r="B3719" s="17">
        <v>10921.22</v>
      </c>
      <c r="C3719" s="18">
        <v>24699523788</v>
      </c>
      <c r="D3719" s="21">
        <f t="shared" si="8"/>
        <v>222497791552</v>
      </c>
    </row>
    <row r="3720" spans="1:4" ht="14">
      <c r="A3720" s="16">
        <v>44095</v>
      </c>
      <c r="B3720" s="17">
        <v>10455.379999999999</v>
      </c>
      <c r="C3720" s="18">
        <v>28884999244</v>
      </c>
      <c r="D3720" s="21">
        <f t="shared" si="8"/>
        <v>210690462551</v>
      </c>
    </row>
    <row r="3721" spans="1:4" ht="14">
      <c r="A3721" s="16">
        <v>44096</v>
      </c>
      <c r="B3721" s="17">
        <v>10519.84</v>
      </c>
      <c r="C3721" s="18">
        <v>23621787804</v>
      </c>
      <c r="D3721" s="21">
        <f t="shared" si="8"/>
        <v>204121879855</v>
      </c>
    </row>
    <row r="3722" spans="1:4" ht="14">
      <c r="A3722" s="16">
        <v>44097</v>
      </c>
      <c r="B3722" s="17">
        <v>10233.299999999999</v>
      </c>
      <c r="C3722" s="18">
        <v>23788661867</v>
      </c>
      <c r="D3722" s="21">
        <f t="shared" si="8"/>
        <v>195234215734</v>
      </c>
    </row>
    <row r="3723" spans="1:4" ht="14">
      <c r="A3723" s="16">
        <v>44098</v>
      </c>
      <c r="B3723" s="17">
        <v>10739.04</v>
      </c>
      <c r="C3723" s="18">
        <v>47144380902</v>
      </c>
      <c r="D3723" s="21">
        <f t="shared" si="8"/>
        <v>188252891146</v>
      </c>
    </row>
    <row r="3724" spans="1:4" ht="14">
      <c r="A3724" s="16">
        <v>44099</v>
      </c>
      <c r="B3724" s="17">
        <v>10683.63</v>
      </c>
      <c r="C3724" s="18">
        <v>39348590957</v>
      </c>
      <c r="D3724" s="21">
        <f t="shared" si="8"/>
        <v>197245461525</v>
      </c>
    </row>
    <row r="3725" spans="1:4" ht="14">
      <c r="A3725" s="16">
        <v>44100</v>
      </c>
      <c r="B3725" s="17">
        <v>10742.03</v>
      </c>
      <c r="C3725" s="18">
        <v>46852525493</v>
      </c>
      <c r="D3725" s="21">
        <f t="shared" si="8"/>
        <v>210252148570</v>
      </c>
    </row>
    <row r="3726" spans="1:4" ht="14">
      <c r="A3726" s="16">
        <v>44101</v>
      </c>
      <c r="B3726" s="17">
        <v>10758.82</v>
      </c>
      <c r="C3726" s="18">
        <v>53745972818</v>
      </c>
      <c r="D3726" s="21">
        <f t="shared" si="8"/>
        <v>234340470055</v>
      </c>
    </row>
    <row r="3727" spans="1:4" ht="14">
      <c r="A3727" s="16">
        <v>44102</v>
      </c>
      <c r="B3727" s="17">
        <v>10727.38</v>
      </c>
      <c r="C3727" s="18">
        <v>47762394731</v>
      </c>
      <c r="D3727" s="21">
        <f t="shared" si="8"/>
        <v>263386919085</v>
      </c>
    </row>
    <row r="3728" spans="1:4" ht="14">
      <c r="A3728" s="16">
        <v>44103</v>
      </c>
      <c r="B3728" s="17">
        <v>10841.14</v>
      </c>
      <c r="C3728" s="18">
        <v>46582396602</v>
      </c>
      <c r="D3728" s="21">
        <f t="shared" si="8"/>
        <v>282264314572</v>
      </c>
    </row>
    <row r="3729" spans="1:4" ht="14">
      <c r="A3729" s="16">
        <v>44104</v>
      </c>
      <c r="B3729" s="17">
        <v>10772.35</v>
      </c>
      <c r="C3729" s="18">
        <v>44171073700</v>
      </c>
      <c r="D3729" s="21">
        <f t="shared" si="8"/>
        <v>305224923370</v>
      </c>
    </row>
    <row r="3730" spans="1:4" ht="14">
      <c r="A3730" s="16">
        <v>44105</v>
      </c>
      <c r="B3730" s="17">
        <v>10606.62</v>
      </c>
      <c r="C3730" s="18">
        <v>40023134100</v>
      </c>
      <c r="D3730" s="21">
        <f t="shared" si="8"/>
        <v>325607335203</v>
      </c>
    </row>
    <row r="3731" spans="1:4" ht="14">
      <c r="A3731" s="16">
        <v>44106</v>
      </c>
      <c r="B3731" s="17">
        <v>10570.11</v>
      </c>
      <c r="C3731" s="18">
        <v>48661453918</v>
      </c>
      <c r="D3731" s="21">
        <f t="shared" si="8"/>
        <v>318486088401</v>
      </c>
    </row>
    <row r="3732" spans="1:4" ht="14">
      <c r="A3732" s="16">
        <v>44107</v>
      </c>
      <c r="B3732" s="17">
        <v>10555.71</v>
      </c>
      <c r="C3732" s="18">
        <v>44660271563</v>
      </c>
      <c r="D3732" s="21">
        <f t="shared" si="8"/>
        <v>327798951362</v>
      </c>
    </row>
    <row r="3733" spans="1:4" ht="14">
      <c r="A3733" s="16">
        <v>44108</v>
      </c>
      <c r="B3733" s="17">
        <v>10665.62</v>
      </c>
      <c r="C3733" s="18">
        <v>71251776995</v>
      </c>
      <c r="D3733" s="21">
        <f t="shared" si="8"/>
        <v>325606697432</v>
      </c>
    </row>
    <row r="3734" spans="1:4" ht="14">
      <c r="A3734" s="16">
        <v>44109</v>
      </c>
      <c r="B3734" s="17">
        <v>10772.64</v>
      </c>
      <c r="C3734" s="18">
        <v>47537578009</v>
      </c>
      <c r="D3734" s="21">
        <f t="shared" si="8"/>
        <v>343112501609</v>
      </c>
    </row>
    <row r="3735" spans="1:4" ht="14">
      <c r="A3735" s="16">
        <v>44110</v>
      </c>
      <c r="B3735" s="17">
        <v>10596.37</v>
      </c>
      <c r="C3735" s="18">
        <v>42623695307</v>
      </c>
      <c r="D3735" s="21">
        <f t="shared" si="8"/>
        <v>342887684887</v>
      </c>
    </row>
    <row r="3736" spans="1:4" ht="14">
      <c r="A3736" s="16">
        <v>44111</v>
      </c>
      <c r="B3736" s="17">
        <v>10667.19</v>
      </c>
      <c r="C3736" s="18">
        <v>37799458436</v>
      </c>
      <c r="D3736" s="21">
        <f t="shared" si="8"/>
        <v>338928983592</v>
      </c>
    </row>
    <row r="3737" spans="1:4" ht="14">
      <c r="A3737" s="16">
        <v>44112</v>
      </c>
      <c r="B3737" s="17">
        <v>10902.53</v>
      </c>
      <c r="C3737" s="18">
        <v>63314794397</v>
      </c>
      <c r="D3737" s="21">
        <f t="shared" si="8"/>
        <v>332557368328</v>
      </c>
    </row>
    <row r="3738" spans="1:4" ht="14">
      <c r="A3738" s="16">
        <v>44113</v>
      </c>
      <c r="B3738" s="17">
        <v>11074.1</v>
      </c>
      <c r="C3738" s="18">
        <v>22799117613</v>
      </c>
      <c r="D3738" s="21">
        <f t="shared" si="8"/>
        <v>355849028625</v>
      </c>
    </row>
    <row r="3739" spans="1:4" ht="14">
      <c r="A3739" s="16">
        <v>44114</v>
      </c>
      <c r="B3739" s="17">
        <v>11302.85</v>
      </c>
      <c r="C3739" s="18">
        <v>22877978588</v>
      </c>
      <c r="D3739" s="21">
        <f t="shared" si="8"/>
        <v>329986692320</v>
      </c>
    </row>
    <row r="3740" spans="1:4" ht="14">
      <c r="A3740" s="16">
        <v>44115</v>
      </c>
      <c r="B3740" s="17">
        <v>11378.26</v>
      </c>
      <c r="C3740" s="18">
        <v>19968627060</v>
      </c>
      <c r="D3740" s="21">
        <f t="shared" si="8"/>
        <v>308204399345</v>
      </c>
    </row>
    <row r="3741" spans="1:4" ht="14">
      <c r="A3741" s="16">
        <v>44116</v>
      </c>
      <c r="B3741" s="17">
        <v>11548.4</v>
      </c>
      <c r="C3741" s="18">
        <v>26163972642</v>
      </c>
      <c r="D3741" s="21">
        <f t="shared" si="8"/>
        <v>256921249410</v>
      </c>
    </row>
    <row r="3742" spans="1:4" ht="14">
      <c r="A3742" s="16">
        <v>44117</v>
      </c>
      <c r="B3742" s="17">
        <v>11434.97</v>
      </c>
      <c r="C3742" s="18">
        <v>24241420251</v>
      </c>
      <c r="D3742" s="21">
        <f t="shared" si="8"/>
        <v>235547644043</v>
      </c>
    </row>
    <row r="3743" spans="1:4" ht="14">
      <c r="A3743" s="16">
        <v>44118</v>
      </c>
      <c r="B3743" s="17">
        <v>11417.11</v>
      </c>
      <c r="C3743" s="18">
        <v>24103426719</v>
      </c>
      <c r="D3743" s="21">
        <f t="shared" si="8"/>
        <v>217165368987</v>
      </c>
    </row>
    <row r="3744" spans="1:4" ht="14">
      <c r="A3744" s="16">
        <v>44119</v>
      </c>
      <c r="B3744" s="17">
        <v>11502.58</v>
      </c>
      <c r="C3744" s="18">
        <v>24487233058</v>
      </c>
      <c r="D3744" s="21">
        <f t="shared" si="8"/>
        <v>203469337270</v>
      </c>
    </row>
    <row r="3745" spans="1:4" ht="14">
      <c r="A3745" s="16">
        <v>44120</v>
      </c>
      <c r="B3745" s="17">
        <v>11338.99</v>
      </c>
      <c r="C3745" s="18">
        <v>25635480772</v>
      </c>
      <c r="D3745" s="21">
        <f t="shared" si="8"/>
        <v>164641775931</v>
      </c>
    </row>
    <row r="3746" spans="1:4" ht="14">
      <c r="A3746" s="16">
        <v>44121</v>
      </c>
      <c r="B3746" s="17">
        <v>11362.8</v>
      </c>
      <c r="C3746" s="18">
        <v>19130430174</v>
      </c>
      <c r="D3746" s="21">
        <f t="shared" si="8"/>
        <v>167478139090</v>
      </c>
    </row>
    <row r="3747" spans="1:4" ht="14">
      <c r="A3747" s="16">
        <v>44122</v>
      </c>
      <c r="B3747" s="17">
        <v>11489.62</v>
      </c>
      <c r="C3747" s="18">
        <v>18283314340</v>
      </c>
      <c r="D3747" s="21">
        <f t="shared" si="8"/>
        <v>163730590676</v>
      </c>
    </row>
    <row r="3748" spans="1:4" ht="14">
      <c r="A3748" s="16">
        <v>44123</v>
      </c>
      <c r="B3748" s="17">
        <v>11745.81</v>
      </c>
      <c r="C3748" s="18">
        <v>23860769928</v>
      </c>
      <c r="D3748" s="21">
        <f t="shared" si="8"/>
        <v>162045277956</v>
      </c>
    </row>
    <row r="3749" spans="1:4" ht="14">
      <c r="A3749" s="16">
        <v>44124</v>
      </c>
      <c r="B3749" s="17">
        <v>11929.46</v>
      </c>
      <c r="C3749" s="18">
        <v>30915821592</v>
      </c>
      <c r="D3749" s="21">
        <f t="shared" si="8"/>
        <v>159742075242</v>
      </c>
    </row>
    <row r="3750" spans="1:4" ht="14">
      <c r="A3750" s="16">
        <v>44125</v>
      </c>
      <c r="B3750" s="17">
        <v>12848.49</v>
      </c>
      <c r="C3750" s="18">
        <v>43414712626</v>
      </c>
      <c r="D3750" s="21">
        <f t="shared" si="8"/>
        <v>166416476583</v>
      </c>
    </row>
    <row r="3751" spans="1:4" ht="14">
      <c r="A3751" s="16">
        <v>44126</v>
      </c>
      <c r="B3751" s="17">
        <v>12997.5</v>
      </c>
      <c r="C3751" s="18">
        <v>34729759598</v>
      </c>
      <c r="D3751" s="21">
        <f t="shared" si="8"/>
        <v>185727762490</v>
      </c>
    </row>
    <row r="3752" spans="1:4" ht="14">
      <c r="A3752" s="16">
        <v>44127</v>
      </c>
      <c r="B3752" s="17">
        <v>12953.43</v>
      </c>
      <c r="C3752" s="18">
        <v>28974975003</v>
      </c>
      <c r="D3752" s="21">
        <f t="shared" si="8"/>
        <v>195970289030</v>
      </c>
    </row>
    <row r="3753" spans="1:4" ht="14">
      <c r="A3753" s="16">
        <v>44128</v>
      </c>
      <c r="B3753" s="17">
        <v>13113.87</v>
      </c>
      <c r="C3753" s="18">
        <v>24542317940</v>
      </c>
      <c r="D3753" s="21">
        <f t="shared" si="8"/>
        <v>199309783261</v>
      </c>
    </row>
    <row r="3754" spans="1:4" ht="14">
      <c r="A3754" s="16">
        <v>44129</v>
      </c>
      <c r="B3754" s="17">
        <v>13041.64</v>
      </c>
      <c r="C3754" s="18">
        <v>24406920575</v>
      </c>
      <c r="D3754" s="21">
        <f t="shared" si="8"/>
        <v>204721671027</v>
      </c>
    </row>
    <row r="3755" spans="1:4" ht="14">
      <c r="A3755" s="16">
        <v>44130</v>
      </c>
      <c r="B3755" s="17">
        <v>13080.66</v>
      </c>
      <c r="C3755" s="18">
        <v>29461458313</v>
      </c>
      <c r="D3755" s="21">
        <f t="shared" si="8"/>
        <v>210845277262</v>
      </c>
    </row>
    <row r="3756" spans="1:4" ht="14">
      <c r="A3756" s="16">
        <v>44131</v>
      </c>
      <c r="B3756" s="17">
        <v>13675.52</v>
      </c>
      <c r="C3756" s="18">
        <v>33749878156</v>
      </c>
      <c r="D3756" s="21">
        <f t="shared" si="8"/>
        <v>216445965647</v>
      </c>
    </row>
    <row r="3757" spans="1:4" ht="14">
      <c r="A3757" s="16">
        <v>44132</v>
      </c>
      <c r="B3757" s="17">
        <v>13290.33</v>
      </c>
      <c r="C3757" s="18">
        <v>35867318895</v>
      </c>
      <c r="D3757" s="21">
        <f t="shared" si="8"/>
        <v>219280022211</v>
      </c>
    </row>
    <row r="3758" spans="1:4" ht="14">
      <c r="A3758" s="16">
        <v>44133</v>
      </c>
      <c r="B3758" s="17">
        <v>13475.22</v>
      </c>
      <c r="C3758" s="18">
        <v>56499499598</v>
      </c>
      <c r="D3758" s="21">
        <f t="shared" si="8"/>
        <v>211732628480</v>
      </c>
    </row>
    <row r="3759" spans="1:4" ht="14">
      <c r="A3759" s="16">
        <v>44134</v>
      </c>
      <c r="B3759" s="17">
        <v>13603.3</v>
      </c>
      <c r="C3759" s="18">
        <v>30581485201</v>
      </c>
      <c r="D3759" s="21">
        <f t="shared" si="8"/>
        <v>233502368480</v>
      </c>
    </row>
    <row r="3760" spans="1:4" ht="14">
      <c r="A3760" s="16">
        <v>44135</v>
      </c>
      <c r="B3760" s="17">
        <v>13807.23</v>
      </c>
      <c r="C3760" s="18">
        <v>30306464719</v>
      </c>
      <c r="D3760" s="21">
        <f t="shared" si="8"/>
        <v>235108878678</v>
      </c>
    </row>
    <row r="3761" spans="1:4" ht="14">
      <c r="A3761" s="16">
        <v>44136</v>
      </c>
      <c r="B3761" s="17">
        <v>13736.9</v>
      </c>
      <c r="C3761" s="18">
        <v>24453857900</v>
      </c>
      <c r="D3761" s="21">
        <f t="shared" si="8"/>
        <v>240873025457</v>
      </c>
    </row>
    <row r="3762" spans="1:4" ht="14">
      <c r="A3762" s="16">
        <v>44137</v>
      </c>
      <c r="B3762" s="17">
        <v>13595.56</v>
      </c>
      <c r="C3762" s="18">
        <v>30771455468</v>
      </c>
      <c r="D3762" s="21">
        <f t="shared" si="8"/>
        <v>240919962782</v>
      </c>
    </row>
    <row r="3763" spans="1:4" ht="14">
      <c r="A3763" s="16">
        <v>44138</v>
      </c>
      <c r="B3763" s="17">
        <v>13996.92</v>
      </c>
      <c r="C3763" s="18">
        <v>29869951617</v>
      </c>
      <c r="D3763" s="21">
        <f t="shared" si="8"/>
        <v>242229959937</v>
      </c>
    </row>
    <row r="3764" spans="1:4" ht="14">
      <c r="A3764" s="16">
        <v>44139</v>
      </c>
      <c r="B3764" s="17">
        <v>14129.15</v>
      </c>
      <c r="C3764" s="18">
        <v>35116364962</v>
      </c>
      <c r="D3764" s="21">
        <f t="shared" si="8"/>
        <v>238350033398</v>
      </c>
    </row>
    <row r="3765" spans="1:4" ht="14">
      <c r="A3765" s="16">
        <v>44140</v>
      </c>
      <c r="B3765" s="17">
        <v>15606.47</v>
      </c>
      <c r="C3765" s="18">
        <v>40856321439</v>
      </c>
      <c r="D3765" s="21">
        <f t="shared" si="8"/>
        <v>237599079465</v>
      </c>
    </row>
    <row r="3766" spans="1:4" ht="14">
      <c r="A3766" s="16">
        <v>44141</v>
      </c>
      <c r="B3766" s="17">
        <v>15618.97</v>
      </c>
      <c r="C3766" s="18">
        <v>39837841971</v>
      </c>
      <c r="D3766" s="21">
        <f t="shared" si="8"/>
        <v>221955901306</v>
      </c>
    </row>
    <row r="3767" spans="1:4" ht="14">
      <c r="A3767" s="16">
        <v>44142</v>
      </c>
      <c r="B3767" s="17">
        <v>14866.36</v>
      </c>
      <c r="C3767" s="18">
        <v>35024953706</v>
      </c>
      <c r="D3767" s="21">
        <f t="shared" si="8"/>
        <v>231212258076</v>
      </c>
    </row>
    <row r="3768" spans="1:4" ht="14">
      <c r="A3768" s="16">
        <v>44143</v>
      </c>
      <c r="B3768" s="17">
        <v>15500</v>
      </c>
      <c r="C3768" s="18">
        <v>26632075029</v>
      </c>
      <c r="D3768" s="21">
        <f t="shared" si="8"/>
        <v>235930747063</v>
      </c>
    </row>
    <row r="3769" spans="1:4" ht="14">
      <c r="A3769" s="16">
        <v>44144</v>
      </c>
      <c r="B3769" s="17">
        <v>15319.82</v>
      </c>
      <c r="C3769" s="18">
        <v>34149115566</v>
      </c>
      <c r="D3769" s="21">
        <f t="shared" si="8"/>
        <v>238108964192</v>
      </c>
    </row>
    <row r="3770" spans="1:4" ht="14">
      <c r="A3770" s="16">
        <v>44145</v>
      </c>
      <c r="B3770" s="17">
        <v>15319.28</v>
      </c>
      <c r="C3770" s="18">
        <v>25574938143</v>
      </c>
      <c r="D3770" s="21">
        <f t="shared" si="8"/>
        <v>241486624290</v>
      </c>
    </row>
    <row r="3771" spans="1:4" ht="14">
      <c r="A3771" s="16">
        <v>44146</v>
      </c>
      <c r="B3771" s="17">
        <v>15731.24</v>
      </c>
      <c r="C3771" s="18">
        <v>29772374934</v>
      </c>
      <c r="D3771" s="21">
        <f t="shared" si="8"/>
        <v>237191610816</v>
      </c>
    </row>
    <row r="3772" spans="1:4" ht="14">
      <c r="A3772" s="16">
        <v>44147</v>
      </c>
      <c r="B3772" s="17">
        <v>16289.81</v>
      </c>
      <c r="C3772" s="18">
        <v>34175758344</v>
      </c>
      <c r="D3772" s="21">
        <f t="shared" si="8"/>
        <v>231847620788</v>
      </c>
    </row>
    <row r="3773" spans="1:4" ht="14">
      <c r="A3773" s="16">
        <v>44148</v>
      </c>
      <c r="B3773" s="17">
        <v>16330.06</v>
      </c>
      <c r="C3773" s="18">
        <v>31599492172</v>
      </c>
      <c r="D3773" s="21">
        <f t="shared" si="8"/>
        <v>225167057693</v>
      </c>
    </row>
    <row r="3774" spans="1:4" ht="14">
      <c r="A3774" s="16">
        <v>44149</v>
      </c>
      <c r="B3774" s="17">
        <v>16102.01</v>
      </c>
      <c r="C3774" s="18">
        <v>27481710135</v>
      </c>
      <c r="D3774" s="21">
        <f t="shared" si="8"/>
        <v>216928707894</v>
      </c>
    </row>
    <row r="3775" spans="1:4" ht="14">
      <c r="A3775" s="16">
        <v>44150</v>
      </c>
      <c r="B3775" s="17">
        <v>15986.75</v>
      </c>
      <c r="C3775" s="18">
        <v>23653867583</v>
      </c>
      <c r="D3775" s="21">
        <f t="shared" si="8"/>
        <v>209385464323</v>
      </c>
    </row>
    <row r="3776" spans="1:4" ht="14">
      <c r="A3776" s="16">
        <v>44151</v>
      </c>
      <c r="B3776" s="17">
        <v>16743.05</v>
      </c>
      <c r="C3776" s="18">
        <v>31526766675</v>
      </c>
      <c r="D3776" s="21">
        <f t="shared" si="8"/>
        <v>206407256877</v>
      </c>
    </row>
    <row r="3777" spans="1:4" ht="14">
      <c r="A3777" s="16">
        <v>44152</v>
      </c>
      <c r="B3777" s="17">
        <v>17682.169999999998</v>
      </c>
      <c r="C3777" s="18">
        <v>39006849170</v>
      </c>
      <c r="D3777" s="21">
        <f t="shared" si="8"/>
        <v>203784907986</v>
      </c>
    </row>
    <row r="3778" spans="1:4" ht="14">
      <c r="A3778" s="16">
        <v>44153</v>
      </c>
      <c r="B3778" s="17">
        <v>17804.689999999999</v>
      </c>
      <c r="C3778" s="18">
        <v>49064800278</v>
      </c>
      <c r="D3778" s="21">
        <f t="shared" si="8"/>
        <v>217216819013</v>
      </c>
    </row>
    <row r="3779" spans="1:4" ht="14">
      <c r="A3779" s="16">
        <v>44154</v>
      </c>
      <c r="B3779" s="17">
        <v>17818.669999999998</v>
      </c>
      <c r="C3779" s="18">
        <v>36985055355</v>
      </c>
      <c r="D3779" s="21">
        <f t="shared" si="8"/>
        <v>236509244357</v>
      </c>
    </row>
    <row r="3780" spans="1:4" ht="14">
      <c r="A3780" s="16">
        <v>44155</v>
      </c>
      <c r="B3780" s="17">
        <v>18663.78</v>
      </c>
      <c r="C3780" s="18">
        <v>36992873940</v>
      </c>
      <c r="D3780" s="21">
        <f t="shared" si="8"/>
        <v>239318541368</v>
      </c>
    </row>
    <row r="3781" spans="1:4" ht="14">
      <c r="A3781" s="16">
        <v>44156</v>
      </c>
      <c r="B3781" s="17">
        <v>18706.59</v>
      </c>
      <c r="C3781" s="18">
        <v>39650210707</v>
      </c>
      <c r="D3781" s="21">
        <f t="shared" si="8"/>
        <v>244711923136</v>
      </c>
    </row>
    <row r="3782" spans="1:4" ht="14">
      <c r="A3782" s="16">
        <v>44157</v>
      </c>
      <c r="B3782" s="17">
        <v>18482.689999999999</v>
      </c>
      <c r="C3782" s="18">
        <v>41280434226</v>
      </c>
      <c r="D3782" s="21">
        <f t="shared" si="8"/>
        <v>256880423708</v>
      </c>
    </row>
    <row r="3783" spans="1:4" ht="14">
      <c r="A3783" s="16">
        <v>44158</v>
      </c>
      <c r="B3783" s="17">
        <v>18373.259999999998</v>
      </c>
      <c r="C3783" s="18">
        <v>42741112308</v>
      </c>
      <c r="D3783" s="21">
        <f t="shared" si="8"/>
        <v>274506990351</v>
      </c>
    </row>
    <row r="3784" spans="1:4" ht="14">
      <c r="A3784" s="16">
        <v>44159</v>
      </c>
      <c r="B3784" s="17">
        <v>19150.25</v>
      </c>
      <c r="C3784" s="18">
        <v>51469565009</v>
      </c>
      <c r="D3784" s="21">
        <f t="shared" si="8"/>
        <v>285721335984</v>
      </c>
    </row>
    <row r="3785" spans="1:4" ht="14">
      <c r="A3785" s="16">
        <v>44160</v>
      </c>
      <c r="B3785" s="17">
        <v>18748.39</v>
      </c>
      <c r="C3785" s="18">
        <v>43710357371</v>
      </c>
      <c r="D3785" s="21">
        <f t="shared" si="8"/>
        <v>298184051823</v>
      </c>
    </row>
    <row r="3786" spans="1:4" ht="14">
      <c r="A3786" s="16">
        <v>44161</v>
      </c>
      <c r="B3786" s="17">
        <v>17113.72</v>
      </c>
      <c r="C3786" s="18">
        <v>61396835737</v>
      </c>
      <c r="D3786" s="21">
        <f t="shared" si="8"/>
        <v>292829608916</v>
      </c>
    </row>
    <row r="3787" spans="1:4" ht="14">
      <c r="A3787" s="16">
        <v>44162</v>
      </c>
      <c r="B3787" s="17">
        <v>17101.599999999999</v>
      </c>
      <c r="C3787" s="18">
        <v>38886494645</v>
      </c>
      <c r="D3787" s="21">
        <f t="shared" si="8"/>
        <v>317241389298</v>
      </c>
    </row>
    <row r="3788" spans="1:4" ht="14">
      <c r="A3788" s="16">
        <v>44163</v>
      </c>
      <c r="B3788" s="17">
        <v>17745.38</v>
      </c>
      <c r="C3788" s="18">
        <v>32601040734</v>
      </c>
      <c r="D3788" s="21">
        <f t="shared" si="8"/>
        <v>319135010003</v>
      </c>
    </row>
    <row r="3789" spans="1:4" ht="14">
      <c r="A3789" s="16">
        <v>44164</v>
      </c>
      <c r="B3789" s="17">
        <v>18190.87</v>
      </c>
      <c r="C3789" s="18">
        <v>31133957704</v>
      </c>
      <c r="D3789" s="21">
        <f t="shared" si="8"/>
        <v>312085840030</v>
      </c>
    </row>
    <row r="3790" spans="1:4" ht="14">
      <c r="A3790" s="16">
        <v>44165</v>
      </c>
      <c r="B3790" s="17">
        <v>19664.41</v>
      </c>
      <c r="C3790" s="18">
        <v>47728480399</v>
      </c>
      <c r="D3790" s="21">
        <f t="shared" si="8"/>
        <v>301939363508</v>
      </c>
    </row>
    <row r="3791" spans="1:4" ht="14">
      <c r="A3791" s="16">
        <v>44166</v>
      </c>
      <c r="B3791" s="17">
        <v>18820.61</v>
      </c>
      <c r="C3791" s="18">
        <v>49633658712</v>
      </c>
      <c r="D3791" s="21">
        <f t="shared" si="8"/>
        <v>306926731599</v>
      </c>
    </row>
    <row r="3792" spans="1:4" ht="14">
      <c r="A3792" s="16">
        <v>44167</v>
      </c>
      <c r="B3792" s="17">
        <v>19214.87</v>
      </c>
      <c r="C3792" s="18">
        <v>37387697139</v>
      </c>
      <c r="D3792" s="21">
        <f t="shared" si="8"/>
        <v>305090825302</v>
      </c>
    </row>
    <row r="3793" spans="1:4" ht="14">
      <c r="A3793" s="16">
        <v>44168</v>
      </c>
      <c r="B3793" s="17">
        <v>19470.310000000001</v>
      </c>
      <c r="C3793" s="18">
        <v>31930317405</v>
      </c>
      <c r="D3793" s="21">
        <f t="shared" si="8"/>
        <v>298768165070</v>
      </c>
    </row>
    <row r="3794" spans="1:4" ht="14">
      <c r="A3794" s="16">
        <v>44169</v>
      </c>
      <c r="B3794" s="17">
        <v>18732.97</v>
      </c>
      <c r="C3794" s="18">
        <v>33872388058</v>
      </c>
      <c r="D3794" s="21">
        <f t="shared" si="8"/>
        <v>269301646738</v>
      </c>
    </row>
    <row r="3795" spans="1:4" ht="14">
      <c r="A3795" s="16">
        <v>44170</v>
      </c>
      <c r="B3795" s="17">
        <v>19114.63</v>
      </c>
      <c r="C3795" s="18">
        <v>27242455064</v>
      </c>
      <c r="D3795" s="21">
        <f t="shared" si="8"/>
        <v>264287540151</v>
      </c>
    </row>
    <row r="3796" spans="1:4" ht="14">
      <c r="A3796" s="16">
        <v>44171</v>
      </c>
      <c r="B3796" s="17">
        <v>19356.310000000001</v>
      </c>
      <c r="C3796" s="18">
        <v>25293775714</v>
      </c>
      <c r="D3796" s="21">
        <f t="shared" si="8"/>
        <v>258928954481</v>
      </c>
    </row>
    <row r="3797" spans="1:4" ht="14">
      <c r="A3797" s="16">
        <v>44172</v>
      </c>
      <c r="B3797" s="17">
        <v>19182.18</v>
      </c>
      <c r="C3797" s="18">
        <v>26896357742</v>
      </c>
      <c r="D3797" s="21">
        <f t="shared" si="8"/>
        <v>253088772491</v>
      </c>
    </row>
    <row r="3798" spans="1:4" ht="14">
      <c r="A3798" s="16">
        <v>44173</v>
      </c>
      <c r="B3798" s="17">
        <v>18340.98</v>
      </c>
      <c r="C3798" s="18">
        <v>31692288756</v>
      </c>
      <c r="D3798" s="21">
        <f t="shared" si="8"/>
        <v>232256649834</v>
      </c>
    </row>
    <row r="3799" spans="1:4" ht="14">
      <c r="A3799" s="16">
        <v>44174</v>
      </c>
      <c r="B3799" s="17">
        <v>18574.7</v>
      </c>
      <c r="C3799" s="18">
        <v>34420373071</v>
      </c>
      <c r="D3799" s="21">
        <f t="shared" si="8"/>
        <v>214315279878</v>
      </c>
    </row>
    <row r="3800" spans="1:4" ht="14">
      <c r="A3800" s="16">
        <v>44175</v>
      </c>
      <c r="B3800" s="17">
        <v>18294.849999999999</v>
      </c>
      <c r="C3800" s="18">
        <v>25547132265</v>
      </c>
      <c r="D3800" s="21">
        <f t="shared" si="8"/>
        <v>211347955810</v>
      </c>
    </row>
    <row r="3801" spans="1:4" ht="14">
      <c r="A3801" s="16">
        <v>44176</v>
      </c>
      <c r="B3801" s="17">
        <v>18061.759999999998</v>
      </c>
      <c r="C3801" s="18">
        <v>27919640985</v>
      </c>
      <c r="D3801" s="21">
        <f t="shared" si="8"/>
        <v>204964770670</v>
      </c>
    </row>
    <row r="3802" spans="1:4" ht="14">
      <c r="A3802" s="16">
        <v>44177</v>
      </c>
      <c r="B3802" s="17">
        <v>18813.28</v>
      </c>
      <c r="C3802" s="18">
        <v>21752580802</v>
      </c>
      <c r="D3802" s="21">
        <f t="shared" si="8"/>
        <v>199012023597</v>
      </c>
    </row>
    <row r="3803" spans="1:4" ht="14">
      <c r="A3803" s="16">
        <v>44178</v>
      </c>
      <c r="B3803" s="17">
        <v>19156.080000000002</v>
      </c>
      <c r="C3803" s="18">
        <v>25450468637</v>
      </c>
      <c r="D3803" s="21">
        <f t="shared" si="8"/>
        <v>193522149335</v>
      </c>
    </row>
    <row r="3804" spans="1:4" ht="14">
      <c r="A3804" s="16">
        <v>44179</v>
      </c>
      <c r="B3804" s="17">
        <v>19286.75</v>
      </c>
      <c r="C3804" s="18">
        <v>22473997681</v>
      </c>
      <c r="D3804" s="21">
        <f t="shared" si="8"/>
        <v>193678842258</v>
      </c>
    </row>
    <row r="3805" spans="1:4" ht="14">
      <c r="A3805" s="16">
        <v>44180</v>
      </c>
      <c r="B3805" s="17">
        <v>19432.59</v>
      </c>
      <c r="C3805" s="18">
        <v>26741982541</v>
      </c>
      <c r="D3805" s="21">
        <f t="shared" si="8"/>
        <v>189256482197</v>
      </c>
    </row>
    <row r="3806" spans="1:4" ht="14">
      <c r="A3806" s="16">
        <v>44181</v>
      </c>
      <c r="B3806" s="17">
        <v>21370.720000000001</v>
      </c>
      <c r="C3806" s="18">
        <v>44409011479</v>
      </c>
      <c r="D3806" s="21">
        <f t="shared" si="8"/>
        <v>184306175982</v>
      </c>
    </row>
    <row r="3807" spans="1:4" ht="14">
      <c r="A3807" s="16">
        <v>44182</v>
      </c>
      <c r="B3807" s="17">
        <v>22789.27</v>
      </c>
      <c r="C3807" s="18">
        <v>71378606374</v>
      </c>
      <c r="D3807" s="21">
        <f t="shared" si="8"/>
        <v>194294814390</v>
      </c>
    </row>
    <row r="3808" spans="1:4" ht="14">
      <c r="A3808" s="16">
        <v>44183</v>
      </c>
      <c r="B3808" s="17">
        <v>23048.76</v>
      </c>
      <c r="C3808" s="18">
        <v>40387896275</v>
      </c>
      <c r="D3808" s="21">
        <f t="shared" si="8"/>
        <v>240126288499</v>
      </c>
    </row>
    <row r="3809" spans="1:4" ht="14">
      <c r="A3809" s="16">
        <v>44184</v>
      </c>
      <c r="B3809" s="17">
        <v>23856.77</v>
      </c>
      <c r="C3809" s="18">
        <v>38487546580</v>
      </c>
      <c r="D3809" s="21">
        <f t="shared" si="8"/>
        <v>252594543789</v>
      </c>
    </row>
    <row r="3810" spans="1:4" ht="14">
      <c r="A3810" s="16">
        <v>44185</v>
      </c>
      <c r="B3810" s="17">
        <v>23528.55</v>
      </c>
      <c r="C3810" s="18">
        <v>37844228422</v>
      </c>
      <c r="D3810" s="21">
        <f t="shared" si="8"/>
        <v>269329509567</v>
      </c>
    </row>
    <row r="3811" spans="1:4" ht="14">
      <c r="A3811" s="16">
        <v>44186</v>
      </c>
      <c r="B3811" s="17">
        <v>22937.42</v>
      </c>
      <c r="C3811" s="18">
        <v>45852713981</v>
      </c>
      <c r="D3811" s="21">
        <f t="shared" si="8"/>
        <v>281723269352</v>
      </c>
    </row>
    <row r="3812" spans="1:4" ht="14">
      <c r="A3812" s="16">
        <v>44187</v>
      </c>
      <c r="B3812" s="17">
        <v>23756.89</v>
      </c>
      <c r="C3812" s="18">
        <v>44171632681</v>
      </c>
      <c r="D3812" s="21">
        <f t="shared" si="8"/>
        <v>305101985652</v>
      </c>
    </row>
    <row r="3813" spans="1:4" ht="14">
      <c r="A3813" s="16">
        <v>44188</v>
      </c>
      <c r="B3813" s="17">
        <v>23307.27</v>
      </c>
      <c r="C3813" s="18">
        <v>51146161904</v>
      </c>
      <c r="D3813" s="21">
        <f t="shared" si="8"/>
        <v>322531635792</v>
      </c>
    </row>
    <row r="3814" spans="1:4" ht="14">
      <c r="A3814" s="16">
        <v>44189</v>
      </c>
      <c r="B3814" s="17">
        <v>23707.63</v>
      </c>
      <c r="C3814" s="18">
        <v>41080759713</v>
      </c>
      <c r="D3814" s="21">
        <f t="shared" si="8"/>
        <v>329268786217</v>
      </c>
    </row>
    <row r="3815" spans="1:4" ht="14">
      <c r="A3815" s="16">
        <v>44190</v>
      </c>
      <c r="B3815" s="17">
        <v>24669.16</v>
      </c>
      <c r="C3815" s="18">
        <v>42068395846</v>
      </c>
      <c r="D3815" s="21">
        <f t="shared" si="8"/>
        <v>298970939556</v>
      </c>
    </row>
    <row r="3816" spans="1:4" ht="14">
      <c r="A3816" s="16">
        <v>44191</v>
      </c>
      <c r="B3816" s="17">
        <v>26478.07</v>
      </c>
      <c r="C3816" s="18">
        <v>48332647295</v>
      </c>
      <c r="D3816" s="21">
        <f t="shared" si="8"/>
        <v>300651439127</v>
      </c>
    </row>
    <row r="3817" spans="1:4" ht="14">
      <c r="A3817" s="16">
        <v>44192</v>
      </c>
      <c r="B3817" s="17">
        <v>26430.86</v>
      </c>
      <c r="C3817" s="18">
        <v>66479895605</v>
      </c>
      <c r="D3817" s="21">
        <f t="shared" si="8"/>
        <v>310496539842</v>
      </c>
    </row>
    <row r="3818" spans="1:4" ht="14">
      <c r="A3818" s="16">
        <v>44193</v>
      </c>
      <c r="B3818" s="17">
        <v>27039.35</v>
      </c>
      <c r="C3818" s="18">
        <v>49056742893</v>
      </c>
      <c r="D3818" s="21">
        <f t="shared" si="8"/>
        <v>339132207025</v>
      </c>
    </row>
    <row r="3819" spans="1:4" ht="14">
      <c r="A3819" s="16">
        <v>44194</v>
      </c>
      <c r="B3819" s="17">
        <v>27231.200000000001</v>
      </c>
      <c r="C3819" s="18">
        <v>45265946774</v>
      </c>
      <c r="D3819" s="21">
        <f t="shared" ref="D3819:D4073" si="9">IF(C3812&lt;&gt;"",SUM(C3812:C3818),"")</f>
        <v>342336235937</v>
      </c>
    </row>
    <row r="3820" spans="1:4" ht="14">
      <c r="A3820" s="16">
        <v>44195</v>
      </c>
      <c r="B3820" s="17">
        <v>28844.61</v>
      </c>
      <c r="C3820" s="18">
        <v>51287442704</v>
      </c>
      <c r="D3820" s="21">
        <f t="shared" si="9"/>
        <v>343430550030</v>
      </c>
    </row>
    <row r="3821" spans="1:4" ht="14">
      <c r="A3821" s="16">
        <v>44196</v>
      </c>
      <c r="B3821" s="17">
        <v>29022.67</v>
      </c>
      <c r="C3821" s="18">
        <v>46754964848</v>
      </c>
      <c r="D3821" s="21">
        <f t="shared" si="9"/>
        <v>343571830830</v>
      </c>
    </row>
    <row r="3822" spans="1:4" ht="14">
      <c r="A3822" s="16">
        <v>44197</v>
      </c>
      <c r="B3822" s="17">
        <v>29380.69</v>
      </c>
      <c r="C3822" s="18">
        <v>40730301359</v>
      </c>
      <c r="D3822" s="21">
        <f t="shared" si="9"/>
        <v>349246035965</v>
      </c>
    </row>
    <row r="3823" spans="1:4" ht="14">
      <c r="A3823" s="16">
        <v>44198</v>
      </c>
      <c r="B3823" s="17">
        <v>32022.68</v>
      </c>
      <c r="C3823" s="18">
        <v>67865420765</v>
      </c>
      <c r="D3823" s="21">
        <f t="shared" si="9"/>
        <v>347907941478</v>
      </c>
    </row>
    <row r="3824" spans="1:4" ht="14">
      <c r="A3824" s="16">
        <v>44199</v>
      </c>
      <c r="B3824" s="17">
        <v>33277.839999999997</v>
      </c>
      <c r="C3824" s="18">
        <v>78665235202</v>
      </c>
      <c r="D3824" s="21">
        <f t="shared" si="9"/>
        <v>367440714948</v>
      </c>
    </row>
    <row r="3825" spans="1:4" ht="14">
      <c r="A3825" s="16">
        <v>44200</v>
      </c>
      <c r="B3825" s="17">
        <v>31802.15</v>
      </c>
      <c r="C3825" s="18">
        <v>81163475344</v>
      </c>
      <c r="D3825" s="21">
        <f t="shared" si="9"/>
        <v>379626054545</v>
      </c>
    </row>
    <row r="3826" spans="1:4" ht="14">
      <c r="A3826" s="16">
        <v>44201</v>
      </c>
      <c r="B3826" s="17">
        <v>34013.17</v>
      </c>
      <c r="C3826" s="18">
        <v>67547324782</v>
      </c>
      <c r="D3826" s="21">
        <f t="shared" si="9"/>
        <v>411732786996</v>
      </c>
    </row>
    <row r="3827" spans="1:4" ht="14">
      <c r="A3827" s="16">
        <v>44202</v>
      </c>
      <c r="B3827" s="17">
        <v>36643.279999999999</v>
      </c>
      <c r="C3827" s="18">
        <v>75289433811</v>
      </c>
      <c r="D3827" s="21">
        <f t="shared" si="9"/>
        <v>434014165004</v>
      </c>
    </row>
    <row r="3828" spans="1:4" ht="14">
      <c r="A3828" s="16">
        <v>44203</v>
      </c>
      <c r="B3828" s="17">
        <v>39215.65</v>
      </c>
      <c r="C3828" s="18">
        <v>84762141031</v>
      </c>
      <c r="D3828" s="21">
        <f t="shared" si="9"/>
        <v>458016156111</v>
      </c>
    </row>
    <row r="3829" spans="1:4" ht="14">
      <c r="A3829" s="16">
        <v>44204</v>
      </c>
      <c r="B3829" s="17">
        <v>40775.4</v>
      </c>
      <c r="C3829" s="18">
        <v>88107519480</v>
      </c>
      <c r="D3829" s="21">
        <f t="shared" si="9"/>
        <v>496023332294</v>
      </c>
    </row>
    <row r="3830" spans="1:4" ht="14">
      <c r="A3830" s="16">
        <v>44205</v>
      </c>
      <c r="B3830" s="17">
        <v>40370.68</v>
      </c>
      <c r="C3830" s="18">
        <v>61984162837</v>
      </c>
      <c r="D3830" s="21">
        <f t="shared" si="9"/>
        <v>543400550415</v>
      </c>
    </row>
    <row r="3831" spans="1:4" ht="14">
      <c r="A3831" s="16">
        <v>44206</v>
      </c>
      <c r="B3831" s="17">
        <v>38329.339999999997</v>
      </c>
      <c r="C3831" s="18">
        <v>79980747690</v>
      </c>
      <c r="D3831" s="21">
        <f t="shared" si="9"/>
        <v>537519292487</v>
      </c>
    </row>
    <row r="3832" spans="1:4" ht="14">
      <c r="A3832" s="16">
        <v>44207</v>
      </c>
      <c r="B3832" s="17">
        <v>35269.51</v>
      </c>
      <c r="C3832" s="18">
        <v>123321000000</v>
      </c>
      <c r="D3832" s="21">
        <f t="shared" si="9"/>
        <v>538834804975</v>
      </c>
    </row>
    <row r="3833" spans="1:4" ht="14">
      <c r="A3833" s="16">
        <v>44208</v>
      </c>
      <c r="B3833" s="17">
        <v>33712.47</v>
      </c>
      <c r="C3833" s="18">
        <v>74773277909</v>
      </c>
      <c r="D3833" s="21">
        <f t="shared" si="9"/>
        <v>580992329631</v>
      </c>
    </row>
    <row r="3834" spans="1:4" ht="14">
      <c r="A3834" s="16">
        <v>44209</v>
      </c>
      <c r="B3834" s="17">
        <v>37296.550000000003</v>
      </c>
      <c r="C3834" s="18">
        <v>69364315979</v>
      </c>
      <c r="D3834" s="21">
        <f t="shared" si="9"/>
        <v>588218282758</v>
      </c>
    </row>
    <row r="3835" spans="1:4" ht="14">
      <c r="A3835" s="16">
        <v>44210</v>
      </c>
      <c r="B3835" s="17">
        <v>39045.519999999997</v>
      </c>
      <c r="C3835" s="18">
        <v>63615990033</v>
      </c>
      <c r="D3835" s="21">
        <f t="shared" si="9"/>
        <v>582293164926</v>
      </c>
    </row>
    <row r="3836" spans="1:4" ht="14">
      <c r="A3836" s="16">
        <v>44211</v>
      </c>
      <c r="B3836" s="17">
        <v>36710.32</v>
      </c>
      <c r="C3836" s="18">
        <v>67760757881</v>
      </c>
      <c r="D3836" s="21">
        <f t="shared" si="9"/>
        <v>561147013928</v>
      </c>
    </row>
    <row r="3837" spans="1:4" ht="14">
      <c r="A3837" s="16">
        <v>44212</v>
      </c>
      <c r="B3837" s="17">
        <v>36177.26</v>
      </c>
      <c r="C3837" s="18">
        <v>57706187875</v>
      </c>
      <c r="D3837" s="21">
        <f t="shared" si="9"/>
        <v>540800252329</v>
      </c>
    </row>
    <row r="3838" spans="1:4" ht="14">
      <c r="A3838" s="16">
        <v>44213</v>
      </c>
      <c r="B3838" s="17">
        <v>36069.94</v>
      </c>
      <c r="C3838" s="18">
        <v>52359854336</v>
      </c>
      <c r="D3838" s="21">
        <f t="shared" si="9"/>
        <v>536522277367</v>
      </c>
    </row>
    <row r="3839" spans="1:4" ht="14">
      <c r="A3839" s="16">
        <v>44214</v>
      </c>
      <c r="B3839" s="17">
        <v>36594.300000000003</v>
      </c>
      <c r="C3839" s="18">
        <v>49511702429</v>
      </c>
      <c r="D3839" s="21">
        <f t="shared" si="9"/>
        <v>508901384013</v>
      </c>
    </row>
    <row r="3840" spans="1:4" ht="14">
      <c r="A3840" s="16">
        <v>44215</v>
      </c>
      <c r="B3840" s="17">
        <v>36250.15</v>
      </c>
      <c r="C3840" s="18">
        <v>57244195486</v>
      </c>
      <c r="D3840" s="21">
        <f t="shared" si="9"/>
        <v>435092086442</v>
      </c>
    </row>
    <row r="3841" spans="1:4" ht="14">
      <c r="A3841" s="16">
        <v>44216</v>
      </c>
      <c r="B3841" s="17">
        <v>35515.480000000003</v>
      </c>
      <c r="C3841" s="18">
        <v>66834573161</v>
      </c>
      <c r="D3841" s="21">
        <f t="shared" si="9"/>
        <v>417563004019</v>
      </c>
    </row>
    <row r="3842" spans="1:4" ht="14">
      <c r="A3842" s="16">
        <v>44217</v>
      </c>
      <c r="B3842" s="17">
        <v>31022.95</v>
      </c>
      <c r="C3842" s="18">
        <v>75643067688</v>
      </c>
      <c r="D3842" s="21">
        <f t="shared" si="9"/>
        <v>415033261201</v>
      </c>
    </row>
    <row r="3843" spans="1:4" ht="14">
      <c r="A3843" s="16">
        <v>44218</v>
      </c>
      <c r="B3843" s="17">
        <v>32986.44</v>
      </c>
      <c r="C3843" s="18">
        <v>77207272511</v>
      </c>
      <c r="D3843" s="21">
        <f t="shared" si="9"/>
        <v>427060338856</v>
      </c>
    </row>
    <row r="3844" spans="1:4" ht="14">
      <c r="A3844" s="16">
        <v>44219</v>
      </c>
      <c r="B3844" s="17">
        <v>32036.28</v>
      </c>
      <c r="C3844" s="18">
        <v>48354737975</v>
      </c>
      <c r="D3844" s="21">
        <f t="shared" si="9"/>
        <v>436506853486</v>
      </c>
    </row>
    <row r="3845" spans="1:4" ht="14">
      <c r="A3845" s="16">
        <v>44220</v>
      </c>
      <c r="B3845" s="17">
        <v>32216.1</v>
      </c>
      <c r="C3845" s="18">
        <v>48643830599</v>
      </c>
      <c r="D3845" s="21">
        <f t="shared" si="9"/>
        <v>427155403586</v>
      </c>
    </row>
    <row r="3846" spans="1:4" ht="14">
      <c r="A3846" s="16">
        <v>44221</v>
      </c>
      <c r="B3846" s="17">
        <v>32419.71</v>
      </c>
      <c r="C3846" s="18">
        <v>59897054838</v>
      </c>
      <c r="D3846" s="21">
        <f t="shared" si="9"/>
        <v>423439379849</v>
      </c>
    </row>
    <row r="3847" spans="1:4" ht="14">
      <c r="A3847" s="16">
        <v>44222</v>
      </c>
      <c r="B3847" s="17">
        <v>32640.639999999999</v>
      </c>
      <c r="C3847" s="18">
        <v>60255421470</v>
      </c>
      <c r="D3847" s="21">
        <f t="shared" si="9"/>
        <v>433824732258</v>
      </c>
    </row>
    <row r="3848" spans="1:4" ht="14">
      <c r="A3848" s="16">
        <v>44223</v>
      </c>
      <c r="B3848" s="17">
        <v>30358.93</v>
      </c>
      <c r="C3848" s="18">
        <v>62576762015</v>
      </c>
      <c r="D3848" s="21">
        <f t="shared" si="9"/>
        <v>436835958242</v>
      </c>
    </row>
    <row r="3849" spans="1:4" ht="14">
      <c r="A3849" s="16">
        <v>44224</v>
      </c>
      <c r="B3849" s="17">
        <v>33511.29</v>
      </c>
      <c r="C3849" s="18">
        <v>76517157706</v>
      </c>
      <c r="D3849" s="21">
        <f t="shared" si="9"/>
        <v>432578147096</v>
      </c>
    </row>
    <row r="3850" spans="1:4" ht="14">
      <c r="A3850" s="16">
        <v>44225</v>
      </c>
      <c r="B3850" s="17">
        <v>34166.15</v>
      </c>
      <c r="C3850" s="18">
        <v>117895000000</v>
      </c>
      <c r="D3850" s="21">
        <f t="shared" si="9"/>
        <v>433452237114</v>
      </c>
    </row>
    <row r="3851" spans="1:4" ht="14">
      <c r="A3851" s="16">
        <v>44226</v>
      </c>
      <c r="B3851" s="17">
        <v>34349.919999999998</v>
      </c>
      <c r="C3851" s="18">
        <v>65141828798</v>
      </c>
      <c r="D3851" s="21">
        <f t="shared" si="9"/>
        <v>474139964603</v>
      </c>
    </row>
    <row r="3852" spans="1:4" ht="14">
      <c r="A3852" s="16">
        <v>44227</v>
      </c>
      <c r="B3852" s="17">
        <v>33157.83</v>
      </c>
      <c r="C3852" s="18">
        <v>52754542671</v>
      </c>
      <c r="D3852" s="21">
        <f t="shared" si="9"/>
        <v>490927055426</v>
      </c>
    </row>
    <row r="3853" spans="1:4" ht="14">
      <c r="A3853" s="16">
        <v>44228</v>
      </c>
      <c r="B3853" s="17">
        <v>33570.269999999997</v>
      </c>
      <c r="C3853" s="18">
        <v>61400400660</v>
      </c>
      <c r="D3853" s="21">
        <f t="shared" si="9"/>
        <v>495037767498</v>
      </c>
    </row>
    <row r="3854" spans="1:4" ht="14">
      <c r="A3854" s="16">
        <v>44229</v>
      </c>
      <c r="B3854" s="17">
        <v>35596.15</v>
      </c>
      <c r="C3854" s="18">
        <v>63088585433</v>
      </c>
      <c r="D3854" s="21">
        <f t="shared" si="9"/>
        <v>496541113320</v>
      </c>
    </row>
    <row r="3855" spans="1:4" ht="14">
      <c r="A3855" s="16">
        <v>44230</v>
      </c>
      <c r="B3855" s="17">
        <v>37578.370000000003</v>
      </c>
      <c r="C3855" s="18">
        <v>61166818159</v>
      </c>
      <c r="D3855" s="21">
        <f t="shared" si="9"/>
        <v>499374277283</v>
      </c>
    </row>
    <row r="3856" spans="1:4" ht="14">
      <c r="A3856" s="16">
        <v>44231</v>
      </c>
      <c r="B3856" s="17">
        <v>37129.199999999997</v>
      </c>
      <c r="C3856" s="18">
        <v>68838074392</v>
      </c>
      <c r="D3856" s="21">
        <f t="shared" si="9"/>
        <v>497964333427</v>
      </c>
    </row>
    <row r="3857" spans="1:4" ht="14">
      <c r="A3857" s="16">
        <v>44232</v>
      </c>
      <c r="B3857" s="17">
        <v>38045.410000000003</v>
      </c>
      <c r="C3857" s="18">
        <v>58598066402</v>
      </c>
      <c r="D3857" s="21">
        <f t="shared" si="9"/>
        <v>490285250113</v>
      </c>
    </row>
    <row r="3858" spans="1:4" ht="14">
      <c r="A3858" s="16">
        <v>44233</v>
      </c>
      <c r="B3858" s="17">
        <v>39341.730000000003</v>
      </c>
      <c r="C3858" s="18">
        <v>71326033653</v>
      </c>
      <c r="D3858" s="21">
        <f t="shared" si="9"/>
        <v>430988316515</v>
      </c>
    </row>
    <row r="3859" spans="1:4" ht="14">
      <c r="A3859" s="16">
        <v>44234</v>
      </c>
      <c r="B3859" s="17">
        <v>39003.01</v>
      </c>
      <c r="C3859" s="18">
        <v>65500641143</v>
      </c>
      <c r="D3859" s="21">
        <f t="shared" si="9"/>
        <v>437172521370</v>
      </c>
    </row>
    <row r="3860" spans="1:4" ht="14">
      <c r="A3860" s="16">
        <v>44235</v>
      </c>
      <c r="B3860" s="17">
        <v>46121.93</v>
      </c>
      <c r="C3860" s="18">
        <v>53802559039</v>
      </c>
      <c r="D3860" s="21">
        <f t="shared" si="9"/>
        <v>449918619842</v>
      </c>
    </row>
    <row r="3861" spans="1:4" ht="14">
      <c r="A3861" s="16">
        <v>44236</v>
      </c>
      <c r="B3861" s="17">
        <v>46548.160000000003</v>
      </c>
      <c r="C3861" s="18">
        <v>91809846886</v>
      </c>
      <c r="D3861" s="21">
        <f t="shared" si="9"/>
        <v>442320778221</v>
      </c>
    </row>
    <row r="3862" spans="1:4" ht="14">
      <c r="A3862" s="16">
        <v>44237</v>
      </c>
      <c r="B3862" s="17">
        <v>45078.13</v>
      </c>
      <c r="C3862" s="18">
        <v>87301089896</v>
      </c>
      <c r="D3862" s="21">
        <f t="shared" si="9"/>
        <v>471042039674</v>
      </c>
    </row>
    <row r="3863" spans="1:4" ht="14">
      <c r="A3863" s="16">
        <v>44238</v>
      </c>
      <c r="B3863" s="17">
        <v>47892.84</v>
      </c>
      <c r="C3863" s="18">
        <v>81388911810</v>
      </c>
      <c r="D3863" s="21">
        <f t="shared" si="9"/>
        <v>497176311411</v>
      </c>
    </row>
    <row r="3864" spans="1:4" ht="14">
      <c r="A3864" s="16">
        <v>44239</v>
      </c>
      <c r="B3864" s="17">
        <v>47525.21</v>
      </c>
      <c r="C3864" s="18">
        <v>76555041196</v>
      </c>
      <c r="D3864" s="21">
        <f t="shared" si="9"/>
        <v>509727148829</v>
      </c>
    </row>
    <row r="3865" spans="1:4" ht="14">
      <c r="A3865" s="16">
        <v>44240</v>
      </c>
      <c r="B3865" s="17">
        <v>47208.63</v>
      </c>
      <c r="C3865" s="18">
        <v>70250456155</v>
      </c>
      <c r="D3865" s="21">
        <f t="shared" si="9"/>
        <v>527684123623</v>
      </c>
    </row>
    <row r="3866" spans="1:4" ht="14">
      <c r="A3866" s="16">
        <v>44241</v>
      </c>
      <c r="B3866" s="17">
        <v>48829.83</v>
      </c>
      <c r="C3866" s="18">
        <v>71248675228</v>
      </c>
      <c r="D3866" s="21">
        <f t="shared" si="9"/>
        <v>526608546125</v>
      </c>
    </row>
    <row r="3867" spans="1:4" ht="14">
      <c r="A3867" s="16">
        <v>44242</v>
      </c>
      <c r="B3867" s="17">
        <v>48110.239999999998</v>
      </c>
      <c r="C3867" s="18">
        <v>77069903166</v>
      </c>
      <c r="D3867" s="21">
        <f t="shared" si="9"/>
        <v>532356580210</v>
      </c>
    </row>
    <row r="3868" spans="1:4" ht="14">
      <c r="A3868" s="16">
        <v>44243</v>
      </c>
      <c r="B3868" s="17">
        <v>49140.38</v>
      </c>
      <c r="C3868" s="18">
        <v>77049582886</v>
      </c>
      <c r="D3868" s="21">
        <f t="shared" si="9"/>
        <v>555623924337</v>
      </c>
    </row>
    <row r="3869" spans="1:4" ht="14">
      <c r="A3869" s="16">
        <v>44244</v>
      </c>
      <c r="B3869" s="17">
        <v>52224.94</v>
      </c>
      <c r="C3869" s="18">
        <v>80820545404</v>
      </c>
      <c r="D3869" s="21">
        <f t="shared" si="9"/>
        <v>540863660337</v>
      </c>
    </row>
    <row r="3870" spans="1:4" ht="14">
      <c r="A3870" s="16">
        <v>44245</v>
      </c>
      <c r="B3870" s="17">
        <v>51650.07</v>
      </c>
      <c r="C3870" s="18">
        <v>52054723579</v>
      </c>
      <c r="D3870" s="21">
        <f t="shared" si="9"/>
        <v>534383115845</v>
      </c>
    </row>
    <row r="3871" spans="1:4" ht="14">
      <c r="A3871" s="16">
        <v>44246</v>
      </c>
      <c r="B3871" s="17">
        <v>55820.5</v>
      </c>
      <c r="C3871" s="18">
        <v>63495496918</v>
      </c>
      <c r="D3871" s="21">
        <f t="shared" si="9"/>
        <v>505048927614</v>
      </c>
    </row>
    <row r="3872" spans="1:4" ht="14">
      <c r="A3872" s="16">
        <v>44247</v>
      </c>
      <c r="B3872" s="17">
        <v>55861.82</v>
      </c>
      <c r="C3872" s="18">
        <v>68145460026</v>
      </c>
      <c r="D3872" s="21">
        <f t="shared" si="9"/>
        <v>491989383336</v>
      </c>
    </row>
    <row r="3873" spans="1:4" ht="14">
      <c r="A3873" s="16">
        <v>44248</v>
      </c>
      <c r="B3873" s="17">
        <v>57500.72</v>
      </c>
      <c r="C3873" s="18">
        <v>51897585191</v>
      </c>
      <c r="D3873" s="21">
        <f t="shared" si="9"/>
        <v>489884387207</v>
      </c>
    </row>
    <row r="3874" spans="1:4" ht="14">
      <c r="A3874" s="16">
        <v>44249</v>
      </c>
      <c r="B3874" s="17">
        <v>53952.15</v>
      </c>
      <c r="C3874" s="18">
        <v>92052420332</v>
      </c>
      <c r="D3874" s="21">
        <f t="shared" si="9"/>
        <v>470533297170</v>
      </c>
    </row>
    <row r="3875" spans="1:4" ht="14">
      <c r="A3875" s="16">
        <v>44250</v>
      </c>
      <c r="B3875" s="17">
        <v>48560.49</v>
      </c>
      <c r="C3875" s="18">
        <v>106102000000</v>
      </c>
      <c r="D3875" s="21">
        <f t="shared" si="9"/>
        <v>485515814336</v>
      </c>
    </row>
    <row r="3876" spans="1:4" ht="14">
      <c r="A3876" s="16">
        <v>44251</v>
      </c>
      <c r="B3876" s="17">
        <v>49567.35</v>
      </c>
      <c r="C3876" s="18">
        <v>63695521388</v>
      </c>
      <c r="D3876" s="21">
        <f t="shared" si="9"/>
        <v>514568231450</v>
      </c>
    </row>
    <row r="3877" spans="1:4" ht="14">
      <c r="A3877" s="16">
        <v>44252</v>
      </c>
      <c r="B3877" s="17">
        <v>47568.13</v>
      </c>
      <c r="C3877" s="18">
        <v>54506565949</v>
      </c>
      <c r="D3877" s="21">
        <f t="shared" si="9"/>
        <v>497443207434</v>
      </c>
    </row>
    <row r="3878" spans="1:4" ht="14">
      <c r="A3878" s="16">
        <v>44253</v>
      </c>
      <c r="B3878" s="17">
        <v>46231.77</v>
      </c>
      <c r="C3878" s="18">
        <v>60355381276</v>
      </c>
      <c r="D3878" s="21">
        <f t="shared" si="9"/>
        <v>499895049804</v>
      </c>
    </row>
    <row r="3879" spans="1:4" ht="14">
      <c r="A3879" s="16">
        <v>44254</v>
      </c>
      <c r="B3879" s="17">
        <v>45834.51</v>
      </c>
      <c r="C3879" s="18">
        <v>45910946382</v>
      </c>
      <c r="D3879" s="21">
        <f t="shared" si="9"/>
        <v>496754934162</v>
      </c>
    </row>
    <row r="3880" spans="1:4" ht="14">
      <c r="A3880" s="16">
        <v>44255</v>
      </c>
      <c r="B3880" s="17">
        <v>45359.46</v>
      </c>
      <c r="C3880" s="18">
        <v>53443887451</v>
      </c>
      <c r="D3880" s="21">
        <f t="shared" si="9"/>
        <v>474520420518</v>
      </c>
    </row>
    <row r="3881" spans="1:4" ht="14">
      <c r="A3881" s="16">
        <v>44256</v>
      </c>
      <c r="B3881" s="17">
        <v>49634.45</v>
      </c>
      <c r="C3881" s="18">
        <v>53891300112</v>
      </c>
      <c r="D3881" s="21">
        <f t="shared" si="9"/>
        <v>476066722778</v>
      </c>
    </row>
    <row r="3882" spans="1:4" ht="14">
      <c r="A3882" s="16">
        <v>44257</v>
      </c>
      <c r="B3882" s="17">
        <v>48304.71</v>
      </c>
      <c r="C3882" s="18">
        <v>47530897720</v>
      </c>
      <c r="D3882" s="21">
        <f t="shared" si="9"/>
        <v>437905602558</v>
      </c>
    </row>
    <row r="3883" spans="1:4" ht="14">
      <c r="A3883" s="16">
        <v>44258</v>
      </c>
      <c r="B3883" s="17">
        <v>50690.47</v>
      </c>
      <c r="C3883" s="18">
        <v>53220811975</v>
      </c>
      <c r="D3883" s="21">
        <f t="shared" si="9"/>
        <v>379334500278</v>
      </c>
    </row>
    <row r="3884" spans="1:4" ht="14">
      <c r="A3884" s="16">
        <v>44259</v>
      </c>
      <c r="B3884" s="17">
        <v>48472.800000000003</v>
      </c>
      <c r="C3884" s="18">
        <v>52343816680</v>
      </c>
      <c r="D3884" s="21">
        <f t="shared" si="9"/>
        <v>368859790865</v>
      </c>
    </row>
    <row r="3885" spans="1:4" ht="14">
      <c r="A3885" s="16">
        <v>44260</v>
      </c>
      <c r="B3885" s="17">
        <v>48800.82</v>
      </c>
      <c r="C3885" s="18">
        <v>48625928883</v>
      </c>
      <c r="D3885" s="21">
        <f t="shared" si="9"/>
        <v>366697041596</v>
      </c>
    </row>
    <row r="3886" spans="1:4" ht="14">
      <c r="A3886" s="16">
        <v>44261</v>
      </c>
      <c r="B3886" s="17">
        <v>48970.52</v>
      </c>
      <c r="C3886" s="18">
        <v>34363564661</v>
      </c>
      <c r="D3886" s="21">
        <f t="shared" si="9"/>
        <v>354967589203</v>
      </c>
    </row>
    <row r="3887" spans="1:4" ht="14">
      <c r="A3887" s="16">
        <v>44262</v>
      </c>
      <c r="B3887" s="17">
        <v>51086.47</v>
      </c>
      <c r="C3887" s="18">
        <v>43137459378</v>
      </c>
      <c r="D3887" s="21">
        <f t="shared" si="9"/>
        <v>343420207482</v>
      </c>
    </row>
    <row r="3888" spans="1:4" ht="14">
      <c r="A3888" s="16">
        <v>44263</v>
      </c>
      <c r="B3888" s="17">
        <v>52088.480000000003</v>
      </c>
      <c r="C3888" s="18">
        <v>48597428048</v>
      </c>
      <c r="D3888" s="21">
        <f t="shared" si="9"/>
        <v>333113779409</v>
      </c>
    </row>
    <row r="3889" spans="1:4" ht="14">
      <c r="A3889" s="16">
        <v>44264</v>
      </c>
      <c r="B3889" s="17">
        <v>54739.14</v>
      </c>
      <c r="C3889" s="18">
        <v>50912227385</v>
      </c>
      <c r="D3889" s="21">
        <f t="shared" si="9"/>
        <v>327819907345</v>
      </c>
    </row>
    <row r="3890" spans="1:4" ht="14">
      <c r="A3890" s="16">
        <v>44265</v>
      </c>
      <c r="B3890" s="17">
        <v>56116.04</v>
      </c>
      <c r="C3890" s="18">
        <v>57295577614</v>
      </c>
      <c r="D3890" s="21">
        <f t="shared" si="9"/>
        <v>331201237010</v>
      </c>
    </row>
    <row r="3891" spans="1:4" ht="14">
      <c r="A3891" s="16">
        <v>44266</v>
      </c>
      <c r="B3891" s="17">
        <v>57847.25</v>
      </c>
      <c r="C3891" s="18">
        <v>56772343595</v>
      </c>
      <c r="D3891" s="21">
        <f t="shared" si="9"/>
        <v>335276002649</v>
      </c>
    </row>
    <row r="3892" spans="1:4" ht="14">
      <c r="A3892" s="16">
        <v>44267</v>
      </c>
      <c r="B3892" s="17">
        <v>57334.64</v>
      </c>
      <c r="C3892" s="18">
        <v>55689944702</v>
      </c>
      <c r="D3892" s="21">
        <f t="shared" si="9"/>
        <v>339704529564</v>
      </c>
    </row>
    <row r="3893" spans="1:4" ht="14">
      <c r="A3893" s="16">
        <v>44268</v>
      </c>
      <c r="B3893" s="17">
        <v>61288.79</v>
      </c>
      <c r="C3893" s="18">
        <v>60669829814</v>
      </c>
      <c r="D3893" s="21">
        <f t="shared" si="9"/>
        <v>346768545383</v>
      </c>
    </row>
    <row r="3894" spans="1:4" ht="14">
      <c r="A3894" s="16">
        <v>44269</v>
      </c>
      <c r="B3894" s="17">
        <v>59905.62</v>
      </c>
      <c r="C3894" s="18">
        <v>43901225564</v>
      </c>
      <c r="D3894" s="21">
        <f t="shared" si="9"/>
        <v>373074810536</v>
      </c>
    </row>
    <row r="3895" spans="1:4" ht="14">
      <c r="A3895" s="16">
        <v>44270</v>
      </c>
      <c r="B3895" s="17">
        <v>56121.120000000003</v>
      </c>
      <c r="C3895" s="18">
        <v>66419369890</v>
      </c>
      <c r="D3895" s="21">
        <f t="shared" si="9"/>
        <v>373838576722</v>
      </c>
    </row>
    <row r="3896" spans="1:4" ht="14">
      <c r="A3896" s="16">
        <v>44271</v>
      </c>
      <c r="B3896" s="17">
        <v>56500.45</v>
      </c>
      <c r="C3896" s="18">
        <v>59749798599</v>
      </c>
      <c r="D3896" s="21">
        <f t="shared" si="9"/>
        <v>391660518564</v>
      </c>
    </row>
    <row r="3897" spans="1:4" ht="14">
      <c r="A3897" s="16">
        <v>44272</v>
      </c>
      <c r="B3897" s="17">
        <v>58683.07</v>
      </c>
      <c r="C3897" s="18">
        <v>60258313191</v>
      </c>
      <c r="D3897" s="21">
        <f t="shared" si="9"/>
        <v>400498089778</v>
      </c>
    </row>
    <row r="3898" spans="1:4" ht="14">
      <c r="A3898" s="16">
        <v>44273</v>
      </c>
      <c r="B3898" s="17">
        <v>57731.48</v>
      </c>
      <c r="C3898" s="18">
        <v>55746041000</v>
      </c>
      <c r="D3898" s="21">
        <f t="shared" si="9"/>
        <v>403460825355</v>
      </c>
    </row>
    <row r="3899" spans="1:4" ht="14">
      <c r="A3899" s="16">
        <v>44274</v>
      </c>
      <c r="B3899" s="17">
        <v>58168.12</v>
      </c>
      <c r="C3899" s="18">
        <v>49063873786</v>
      </c>
      <c r="D3899" s="21">
        <f t="shared" si="9"/>
        <v>402434522760</v>
      </c>
    </row>
    <row r="3900" spans="1:4" ht="14">
      <c r="A3900" s="16">
        <v>44275</v>
      </c>
      <c r="B3900" s="17">
        <v>58247.88</v>
      </c>
      <c r="C3900" s="18">
        <v>50361731222</v>
      </c>
      <c r="D3900" s="21">
        <f t="shared" si="9"/>
        <v>395808451844</v>
      </c>
    </row>
    <row r="3901" spans="1:4" ht="14">
      <c r="A3901" s="16">
        <v>44276</v>
      </c>
      <c r="B3901" s="17">
        <v>57447.93</v>
      </c>
      <c r="C3901" s="18">
        <v>51943414539</v>
      </c>
      <c r="D3901" s="21">
        <f t="shared" si="9"/>
        <v>385500353252</v>
      </c>
    </row>
    <row r="3902" spans="1:4" ht="14">
      <c r="A3902" s="16">
        <v>44277</v>
      </c>
      <c r="B3902" s="17">
        <v>54453.14</v>
      </c>
      <c r="C3902" s="18">
        <v>56521454974</v>
      </c>
      <c r="D3902" s="21">
        <f t="shared" si="9"/>
        <v>393542542227</v>
      </c>
    </row>
    <row r="3903" spans="1:4" ht="14">
      <c r="A3903" s="16">
        <v>44278</v>
      </c>
      <c r="B3903" s="17">
        <v>54563.61</v>
      </c>
      <c r="C3903" s="18">
        <v>56435023914</v>
      </c>
      <c r="D3903" s="21">
        <f t="shared" si="9"/>
        <v>383644627311</v>
      </c>
    </row>
    <row r="3904" spans="1:4" ht="14">
      <c r="A3904" s="16">
        <v>44279</v>
      </c>
      <c r="B3904" s="17">
        <v>52595.41</v>
      </c>
      <c r="C3904" s="18">
        <v>70567223787</v>
      </c>
      <c r="D3904" s="21">
        <f t="shared" si="9"/>
        <v>380329852626</v>
      </c>
    </row>
    <row r="3905" spans="1:4" ht="14">
      <c r="A3905" s="16">
        <v>44280</v>
      </c>
      <c r="B3905" s="17">
        <v>51547.12</v>
      </c>
      <c r="C3905" s="18">
        <v>67999812841</v>
      </c>
      <c r="D3905" s="21">
        <f t="shared" si="9"/>
        <v>390638763222</v>
      </c>
    </row>
    <row r="3906" spans="1:4" ht="14">
      <c r="A3906" s="16">
        <v>44281</v>
      </c>
      <c r="B3906" s="17">
        <v>54817.86</v>
      </c>
      <c r="C3906" s="18">
        <v>56652197978</v>
      </c>
      <c r="D3906" s="21">
        <f t="shared" si="9"/>
        <v>402892535063</v>
      </c>
    </row>
    <row r="3907" spans="1:4" ht="14">
      <c r="A3907" s="16">
        <v>44282</v>
      </c>
      <c r="B3907" s="17">
        <v>56019.839999999997</v>
      </c>
      <c r="C3907" s="18">
        <v>47266542233</v>
      </c>
      <c r="D3907" s="21">
        <f t="shared" si="9"/>
        <v>410480859255</v>
      </c>
    </row>
    <row r="3908" spans="1:4" ht="14">
      <c r="A3908" s="16">
        <v>44283</v>
      </c>
      <c r="B3908" s="17">
        <v>55713.04</v>
      </c>
      <c r="C3908" s="18">
        <v>47686580918</v>
      </c>
      <c r="D3908" s="21">
        <f t="shared" si="9"/>
        <v>407385670266</v>
      </c>
    </row>
    <row r="3909" spans="1:4" ht="14">
      <c r="A3909" s="16">
        <v>44284</v>
      </c>
      <c r="B3909" s="17">
        <v>57571.23</v>
      </c>
      <c r="C3909" s="18">
        <v>57625587027</v>
      </c>
      <c r="D3909" s="21">
        <f t="shared" si="9"/>
        <v>403128836645</v>
      </c>
    </row>
    <row r="3910" spans="1:4" ht="14">
      <c r="A3910" s="16">
        <v>44285</v>
      </c>
      <c r="B3910" s="17">
        <v>58684.55</v>
      </c>
      <c r="C3910" s="18">
        <v>54414116432</v>
      </c>
      <c r="D3910" s="21">
        <f t="shared" si="9"/>
        <v>404232968698</v>
      </c>
    </row>
    <row r="3911" spans="1:4" ht="14">
      <c r="A3911" s="16">
        <v>44286</v>
      </c>
      <c r="B3911" s="17">
        <v>58792.19</v>
      </c>
      <c r="C3911" s="18">
        <v>65520826225</v>
      </c>
      <c r="D3911" s="21">
        <f t="shared" si="9"/>
        <v>402212061216</v>
      </c>
    </row>
    <row r="3912" spans="1:4" ht="14">
      <c r="A3912" s="16">
        <v>44287</v>
      </c>
      <c r="B3912" s="17">
        <v>58818.98</v>
      </c>
      <c r="C3912" s="18">
        <v>61669163792</v>
      </c>
      <c r="D3912" s="21">
        <f t="shared" si="9"/>
        <v>397165663654</v>
      </c>
    </row>
    <row r="3913" spans="1:4" ht="14">
      <c r="A3913" s="16">
        <v>44288</v>
      </c>
      <c r="B3913" s="17">
        <v>59031.53</v>
      </c>
      <c r="C3913" s="18">
        <v>58727860620</v>
      </c>
      <c r="D3913" s="21">
        <f t="shared" si="9"/>
        <v>390835014605</v>
      </c>
    </row>
    <row r="3914" spans="1:4" ht="14">
      <c r="A3914" s="16">
        <v>44289</v>
      </c>
      <c r="B3914" s="17">
        <v>57282.39</v>
      </c>
      <c r="C3914" s="18">
        <v>59641344484</v>
      </c>
      <c r="D3914" s="21">
        <f t="shared" si="9"/>
        <v>392910677247</v>
      </c>
    </row>
    <row r="3915" spans="1:4" ht="14">
      <c r="A3915" s="16">
        <v>44290</v>
      </c>
      <c r="B3915" s="17">
        <v>58202.2</v>
      </c>
      <c r="C3915" s="18">
        <v>50749662970</v>
      </c>
      <c r="D3915" s="21">
        <f t="shared" si="9"/>
        <v>405285479498</v>
      </c>
    </row>
    <row r="3916" spans="1:4" ht="14">
      <c r="A3916" s="16">
        <v>44291</v>
      </c>
      <c r="B3916" s="17">
        <v>58755.85</v>
      </c>
      <c r="C3916" s="18">
        <v>60706272115</v>
      </c>
      <c r="D3916" s="21">
        <f t="shared" si="9"/>
        <v>408348561550</v>
      </c>
    </row>
    <row r="3917" spans="1:4" ht="14">
      <c r="A3917" s="16">
        <v>44292</v>
      </c>
      <c r="B3917" s="17">
        <v>58084.07</v>
      </c>
      <c r="C3917" s="18">
        <v>66058027988</v>
      </c>
      <c r="D3917" s="21">
        <f t="shared" si="9"/>
        <v>411429246638</v>
      </c>
    </row>
    <row r="3918" spans="1:4" ht="14">
      <c r="A3918" s="16">
        <v>44293</v>
      </c>
      <c r="B3918" s="17">
        <v>56266.83</v>
      </c>
      <c r="C3918" s="18">
        <v>75645303584</v>
      </c>
      <c r="D3918" s="21">
        <f t="shared" si="9"/>
        <v>423073158194</v>
      </c>
    </row>
    <row r="3919" spans="1:4" ht="14">
      <c r="A3919" s="16">
        <v>44294</v>
      </c>
      <c r="B3919" s="17">
        <v>57963.34</v>
      </c>
      <c r="C3919" s="18">
        <v>53053855641</v>
      </c>
      <c r="D3919" s="21">
        <f t="shared" si="9"/>
        <v>433197635553</v>
      </c>
    </row>
    <row r="3920" spans="1:4" ht="14">
      <c r="A3920" s="16">
        <v>44295</v>
      </c>
      <c r="B3920" s="17">
        <v>58051.76</v>
      </c>
      <c r="C3920" s="18">
        <v>46655208546</v>
      </c>
      <c r="D3920" s="21">
        <f t="shared" si="9"/>
        <v>424582327402</v>
      </c>
    </row>
    <row r="3921" spans="1:4" ht="14">
      <c r="A3921" s="16">
        <v>44296</v>
      </c>
      <c r="B3921" s="17">
        <v>59651.56</v>
      </c>
      <c r="C3921" s="18">
        <v>58238470525</v>
      </c>
      <c r="D3921" s="21">
        <f t="shared" si="9"/>
        <v>412509675328</v>
      </c>
    </row>
    <row r="3922" spans="1:4" ht="14">
      <c r="A3922" s="16">
        <v>44297</v>
      </c>
      <c r="B3922" s="17">
        <v>59932.93</v>
      </c>
      <c r="C3922" s="18">
        <v>46280252580</v>
      </c>
      <c r="D3922" s="21">
        <f t="shared" si="9"/>
        <v>411106801369</v>
      </c>
    </row>
    <row r="3923" spans="1:4" ht="14">
      <c r="A3923" s="16">
        <v>44298</v>
      </c>
      <c r="B3923" s="17">
        <v>59905.94</v>
      </c>
      <c r="C3923" s="18">
        <v>51828688519</v>
      </c>
      <c r="D3923" s="21">
        <f t="shared" si="9"/>
        <v>406637390979</v>
      </c>
    </row>
    <row r="3924" spans="1:4" ht="14">
      <c r="A3924" s="16">
        <v>44299</v>
      </c>
      <c r="B3924" s="17">
        <v>63445.64</v>
      </c>
      <c r="C3924" s="18">
        <v>69983454362</v>
      </c>
      <c r="D3924" s="21">
        <f t="shared" si="9"/>
        <v>397759807383</v>
      </c>
    </row>
    <row r="3925" spans="1:4" ht="14">
      <c r="A3925" s="16">
        <v>44300</v>
      </c>
      <c r="B3925" s="17">
        <v>62869.5</v>
      </c>
      <c r="C3925" s="18">
        <v>77451779687</v>
      </c>
      <c r="D3925" s="21">
        <f t="shared" si="9"/>
        <v>401685233757</v>
      </c>
    </row>
    <row r="3926" spans="1:4" ht="14">
      <c r="A3926" s="16">
        <v>44301</v>
      </c>
      <c r="B3926" s="17">
        <v>63231.16</v>
      </c>
      <c r="C3926" s="18">
        <v>60954381579</v>
      </c>
      <c r="D3926" s="21">
        <f t="shared" si="9"/>
        <v>403491709860</v>
      </c>
    </row>
    <row r="3927" spans="1:4" ht="14">
      <c r="A3927" s="16">
        <v>44302</v>
      </c>
      <c r="B3927" s="17">
        <v>61571.11</v>
      </c>
      <c r="C3927" s="18">
        <v>84293007468</v>
      </c>
      <c r="D3927" s="21">
        <f t="shared" si="9"/>
        <v>411392235798</v>
      </c>
    </row>
    <row r="3928" spans="1:4" ht="14">
      <c r="A3928" s="16">
        <v>44303</v>
      </c>
      <c r="B3928" s="17">
        <v>60280.88</v>
      </c>
      <c r="C3928" s="18">
        <v>66138759198</v>
      </c>
      <c r="D3928" s="21">
        <f t="shared" si="9"/>
        <v>449030034720</v>
      </c>
    </row>
    <row r="3929" spans="1:4" ht="14">
      <c r="A3929" s="16">
        <v>44304</v>
      </c>
      <c r="B3929" s="17">
        <v>56389.56</v>
      </c>
      <c r="C3929" s="18">
        <v>97468872758</v>
      </c>
      <c r="D3929" s="21">
        <f t="shared" si="9"/>
        <v>456930323393</v>
      </c>
    </row>
    <row r="3930" spans="1:4" ht="14">
      <c r="A3930" s="16">
        <v>44305</v>
      </c>
      <c r="B3930" s="17">
        <v>55798.14</v>
      </c>
      <c r="C3930" s="18">
        <v>65344865159</v>
      </c>
      <c r="D3930" s="21">
        <f t="shared" si="9"/>
        <v>508118943571</v>
      </c>
    </row>
    <row r="3931" spans="1:4" ht="14">
      <c r="A3931" s="16">
        <v>44306</v>
      </c>
      <c r="B3931" s="17">
        <v>56474.37</v>
      </c>
      <c r="C3931" s="18">
        <v>67849323955</v>
      </c>
      <c r="D3931" s="21">
        <f t="shared" si="9"/>
        <v>521635120211</v>
      </c>
    </row>
    <row r="3932" spans="1:4" ht="14">
      <c r="A3932" s="16">
        <v>44307</v>
      </c>
      <c r="B3932" s="17">
        <v>54025.8</v>
      </c>
      <c r="C3932" s="18">
        <v>54926612466</v>
      </c>
      <c r="D3932" s="21">
        <f t="shared" si="9"/>
        <v>519500989804</v>
      </c>
    </row>
    <row r="3933" spans="1:4" ht="14">
      <c r="A3933" s="16">
        <v>44308</v>
      </c>
      <c r="B3933" s="17">
        <v>51882.06</v>
      </c>
      <c r="C3933" s="18">
        <v>74798630778</v>
      </c>
      <c r="D3933" s="21">
        <f t="shared" si="9"/>
        <v>496975822583</v>
      </c>
    </row>
    <row r="3934" spans="1:4" ht="14">
      <c r="A3934" s="16">
        <v>44309</v>
      </c>
      <c r="B3934" s="17">
        <v>50954.91</v>
      </c>
      <c r="C3934" s="18">
        <v>86668667320</v>
      </c>
      <c r="D3934" s="21">
        <f t="shared" si="9"/>
        <v>510820071782</v>
      </c>
    </row>
    <row r="3935" spans="1:4" ht="14">
      <c r="A3935" s="16">
        <v>44310</v>
      </c>
      <c r="B3935" s="17">
        <v>50279.95</v>
      </c>
      <c r="C3935" s="18">
        <v>49014494781</v>
      </c>
      <c r="D3935" s="21">
        <f t="shared" si="9"/>
        <v>513195731634</v>
      </c>
    </row>
    <row r="3936" spans="1:4" ht="14">
      <c r="A3936" s="16">
        <v>44311</v>
      </c>
      <c r="B3936" s="17">
        <v>48946.94</v>
      </c>
      <c r="C3936" s="18">
        <v>46117114240</v>
      </c>
      <c r="D3936" s="21">
        <f t="shared" si="9"/>
        <v>496071467217</v>
      </c>
    </row>
    <row r="3937" spans="1:4" ht="14">
      <c r="A3937" s="16">
        <v>44312</v>
      </c>
      <c r="B3937" s="17">
        <v>53943.35</v>
      </c>
      <c r="C3937" s="18">
        <v>58284039825</v>
      </c>
      <c r="D3937" s="21">
        <f t="shared" si="9"/>
        <v>444719708699</v>
      </c>
    </row>
    <row r="3938" spans="1:4" ht="14">
      <c r="A3938" s="16">
        <v>44313</v>
      </c>
      <c r="B3938" s="17">
        <v>55027.03</v>
      </c>
      <c r="C3938" s="18">
        <v>49448222757</v>
      </c>
      <c r="D3938" s="21">
        <f t="shared" si="9"/>
        <v>437658883365</v>
      </c>
    </row>
    <row r="3939" spans="1:4" ht="14">
      <c r="A3939" s="16">
        <v>44314</v>
      </c>
      <c r="B3939" s="17">
        <v>54787.38</v>
      </c>
      <c r="C3939" s="18">
        <v>48000572955</v>
      </c>
      <c r="D3939" s="21">
        <f t="shared" si="9"/>
        <v>419257782167</v>
      </c>
    </row>
    <row r="3940" spans="1:4" ht="14">
      <c r="A3940" s="16">
        <v>44315</v>
      </c>
      <c r="B3940" s="17">
        <v>53567.08</v>
      </c>
      <c r="C3940" s="18">
        <v>46088929780</v>
      </c>
      <c r="D3940" s="21">
        <f t="shared" si="9"/>
        <v>412331742656</v>
      </c>
    </row>
    <row r="3941" spans="1:4" ht="14">
      <c r="A3941" s="16">
        <v>44316</v>
      </c>
      <c r="B3941" s="17">
        <v>57741.440000000002</v>
      </c>
      <c r="C3941" s="18">
        <v>52395931985</v>
      </c>
      <c r="D3941" s="21">
        <f t="shared" si="9"/>
        <v>383622041658</v>
      </c>
    </row>
    <row r="3942" spans="1:4" ht="14">
      <c r="A3942" s="16">
        <v>44317</v>
      </c>
      <c r="B3942" s="17">
        <v>57863.59</v>
      </c>
      <c r="C3942" s="18">
        <v>42836427360</v>
      </c>
      <c r="D3942" s="21">
        <f t="shared" si="9"/>
        <v>349349306323</v>
      </c>
    </row>
    <row r="3943" spans="1:4" ht="14">
      <c r="A3943" s="16">
        <v>44318</v>
      </c>
      <c r="B3943" s="17">
        <v>56572.6</v>
      </c>
      <c r="C3943" s="18">
        <v>38177405335</v>
      </c>
      <c r="D3943" s="21">
        <f t="shared" si="9"/>
        <v>343171238902</v>
      </c>
    </row>
    <row r="3944" spans="1:4" ht="14">
      <c r="A3944" s="16">
        <v>44319</v>
      </c>
      <c r="B3944" s="17">
        <v>57243.040000000001</v>
      </c>
      <c r="C3944" s="18">
        <v>51713139031</v>
      </c>
      <c r="D3944" s="21">
        <f t="shared" si="9"/>
        <v>335231529997</v>
      </c>
    </row>
    <row r="3945" spans="1:4" ht="14">
      <c r="A3945" s="16">
        <v>44320</v>
      </c>
      <c r="B3945" s="17">
        <v>53724.11</v>
      </c>
      <c r="C3945" s="18">
        <v>68564706967</v>
      </c>
      <c r="D3945" s="21">
        <f t="shared" si="9"/>
        <v>328660629203</v>
      </c>
    </row>
    <row r="3946" spans="1:4" ht="14">
      <c r="A3946" s="16">
        <v>44321</v>
      </c>
      <c r="B3946" s="17">
        <v>57342.03</v>
      </c>
      <c r="C3946" s="18">
        <v>69241316747</v>
      </c>
      <c r="D3946" s="21">
        <f t="shared" si="9"/>
        <v>347777113413</v>
      </c>
    </row>
    <row r="3947" spans="1:4" ht="14">
      <c r="A3947" s="16">
        <v>44322</v>
      </c>
      <c r="B3947" s="17">
        <v>56527.35</v>
      </c>
      <c r="C3947" s="18">
        <v>69523285106</v>
      </c>
      <c r="D3947" s="21">
        <f t="shared" si="9"/>
        <v>369017857205</v>
      </c>
    </row>
    <row r="3948" spans="1:4" ht="14">
      <c r="A3948" s="16">
        <v>44323</v>
      </c>
      <c r="B3948" s="17">
        <v>57341.07</v>
      </c>
      <c r="C3948" s="18">
        <v>68434023376</v>
      </c>
      <c r="D3948" s="21">
        <f t="shared" si="9"/>
        <v>392452212531</v>
      </c>
    </row>
    <row r="3949" spans="1:4" ht="14">
      <c r="A3949" s="16">
        <v>44324</v>
      </c>
      <c r="B3949" s="17">
        <v>58736.13</v>
      </c>
      <c r="C3949" s="18">
        <v>65382980634</v>
      </c>
      <c r="D3949" s="21">
        <f t="shared" si="9"/>
        <v>408490303922</v>
      </c>
    </row>
    <row r="3950" spans="1:4" ht="14">
      <c r="A3950" s="16">
        <v>44325</v>
      </c>
      <c r="B3950" s="17">
        <v>58288.43</v>
      </c>
      <c r="C3950" s="18">
        <v>65906690347</v>
      </c>
      <c r="D3950" s="21">
        <f t="shared" si="9"/>
        <v>431036857196</v>
      </c>
    </row>
    <row r="3951" spans="1:4" ht="14">
      <c r="A3951" s="16">
        <v>44326</v>
      </c>
      <c r="B3951" s="17">
        <v>55902.93</v>
      </c>
      <c r="C3951" s="18">
        <v>71776546298</v>
      </c>
      <c r="D3951" s="21">
        <f t="shared" si="9"/>
        <v>458766142208</v>
      </c>
    </row>
    <row r="3952" spans="1:4" ht="14">
      <c r="A3952" s="16">
        <v>44327</v>
      </c>
      <c r="B3952" s="17">
        <v>56612.1</v>
      </c>
      <c r="C3952" s="18">
        <v>61308396325</v>
      </c>
      <c r="D3952" s="21">
        <f t="shared" si="9"/>
        <v>478829549475</v>
      </c>
    </row>
    <row r="3953" spans="1:4" ht="14">
      <c r="A3953" s="16">
        <v>44328</v>
      </c>
      <c r="B3953" s="17">
        <v>50972.36</v>
      </c>
      <c r="C3953" s="18">
        <v>75215403907</v>
      </c>
      <c r="D3953" s="21">
        <f t="shared" si="9"/>
        <v>471573238833</v>
      </c>
    </row>
    <row r="3954" spans="1:4" ht="14">
      <c r="A3954" s="16">
        <v>44329</v>
      </c>
      <c r="B3954" s="17">
        <v>49368.61</v>
      </c>
      <c r="C3954" s="18">
        <v>96721152926</v>
      </c>
      <c r="D3954" s="21">
        <f t="shared" si="9"/>
        <v>477547325993</v>
      </c>
    </row>
    <row r="3955" spans="1:4" ht="14">
      <c r="A3955" s="16">
        <v>44330</v>
      </c>
      <c r="B3955" s="17">
        <v>49997.4</v>
      </c>
      <c r="C3955" s="18">
        <v>55737497453</v>
      </c>
      <c r="D3955" s="21">
        <f t="shared" si="9"/>
        <v>504745193813</v>
      </c>
    </row>
    <row r="3956" spans="1:4" ht="14">
      <c r="A3956" s="16">
        <v>44331</v>
      </c>
      <c r="B3956" s="17">
        <v>47047.96</v>
      </c>
      <c r="C3956" s="18">
        <v>59161047474</v>
      </c>
      <c r="D3956" s="21">
        <f t="shared" si="9"/>
        <v>492048667890</v>
      </c>
    </row>
    <row r="3957" spans="1:4" ht="14">
      <c r="A3957" s="16">
        <v>44332</v>
      </c>
      <c r="B3957" s="17">
        <v>46022.5</v>
      </c>
      <c r="C3957" s="18">
        <v>64047871555</v>
      </c>
      <c r="D3957" s="21">
        <f t="shared" si="9"/>
        <v>485826734730</v>
      </c>
    </row>
    <row r="3958" spans="1:4" ht="14">
      <c r="A3958" s="16">
        <v>44333</v>
      </c>
      <c r="B3958" s="17">
        <v>43492.4</v>
      </c>
      <c r="C3958" s="18">
        <v>74903638450</v>
      </c>
      <c r="D3958" s="21">
        <f t="shared" si="9"/>
        <v>483967915938</v>
      </c>
    </row>
    <row r="3959" spans="1:4" ht="14">
      <c r="A3959" s="16">
        <v>44334</v>
      </c>
      <c r="B3959" s="17">
        <v>42789.81</v>
      </c>
      <c r="C3959" s="18">
        <v>56187365084</v>
      </c>
      <c r="D3959" s="21">
        <f t="shared" si="9"/>
        <v>487095008090</v>
      </c>
    </row>
    <row r="3960" spans="1:4" ht="14">
      <c r="A3960" s="16">
        <v>44335</v>
      </c>
      <c r="B3960" s="17">
        <v>37642.519999999997</v>
      </c>
      <c r="C3960" s="18">
        <v>126358000000</v>
      </c>
      <c r="D3960" s="21">
        <f t="shared" si="9"/>
        <v>481973976849</v>
      </c>
    </row>
    <row r="3961" spans="1:4" ht="14">
      <c r="A3961" s="16">
        <v>44336</v>
      </c>
      <c r="B3961" s="17">
        <v>40799.4</v>
      </c>
      <c r="C3961" s="18">
        <v>88281943359</v>
      </c>
      <c r="D3961" s="21">
        <f t="shared" si="9"/>
        <v>533116572942</v>
      </c>
    </row>
    <row r="3962" spans="1:4" ht="14">
      <c r="A3962" s="16">
        <v>44337</v>
      </c>
      <c r="B3962" s="17">
        <v>37174.33</v>
      </c>
      <c r="C3962" s="18">
        <v>82051616861</v>
      </c>
      <c r="D3962" s="21">
        <f t="shared" si="9"/>
        <v>524677363375</v>
      </c>
    </row>
    <row r="3963" spans="1:4" ht="14">
      <c r="A3963" s="16">
        <v>44338</v>
      </c>
      <c r="B3963" s="17">
        <v>37643.42</v>
      </c>
      <c r="C3963" s="18">
        <v>57377273240</v>
      </c>
      <c r="D3963" s="21">
        <f t="shared" si="9"/>
        <v>550991482783</v>
      </c>
    </row>
    <row r="3964" spans="1:4" ht="14">
      <c r="A3964" s="16">
        <v>44339</v>
      </c>
      <c r="B3964" s="17">
        <v>34774.21</v>
      </c>
      <c r="C3964" s="18">
        <v>78469274361</v>
      </c>
      <c r="D3964" s="21">
        <f t="shared" si="9"/>
        <v>549207708549</v>
      </c>
    </row>
    <row r="3965" spans="1:4" ht="14">
      <c r="A3965" s="16">
        <v>44340</v>
      </c>
      <c r="B3965" s="17">
        <v>38630.410000000003</v>
      </c>
      <c r="C3965" s="18">
        <v>67359584098</v>
      </c>
      <c r="D3965" s="21">
        <f t="shared" si="9"/>
        <v>563629111355</v>
      </c>
    </row>
    <row r="3966" spans="1:4" ht="14">
      <c r="A3966" s="16">
        <v>44341</v>
      </c>
      <c r="B3966" s="17">
        <v>38269.769999999997</v>
      </c>
      <c r="C3966" s="18">
        <v>56211915803</v>
      </c>
      <c r="D3966" s="21">
        <f t="shared" si="9"/>
        <v>556085057003</v>
      </c>
    </row>
    <row r="3967" spans="1:4" ht="14">
      <c r="A3967" s="16">
        <v>44342</v>
      </c>
      <c r="B3967" s="17">
        <v>39194.86</v>
      </c>
      <c r="C3967" s="18">
        <v>51346735160</v>
      </c>
      <c r="D3967" s="21">
        <f t="shared" si="9"/>
        <v>556109607722</v>
      </c>
    </row>
    <row r="3968" spans="1:4" ht="14">
      <c r="A3968" s="16">
        <v>44343</v>
      </c>
      <c r="B3968" s="17">
        <v>38510.86</v>
      </c>
      <c r="C3968" s="18">
        <v>43210968721</v>
      </c>
      <c r="D3968" s="21">
        <f t="shared" si="9"/>
        <v>481098342882</v>
      </c>
    </row>
    <row r="3969" spans="1:4" ht="14">
      <c r="A3969" s="16">
        <v>44344</v>
      </c>
      <c r="B3969" s="17">
        <v>35596.720000000001</v>
      </c>
      <c r="C3969" s="18">
        <v>55200191952</v>
      </c>
      <c r="D3969" s="21">
        <f t="shared" si="9"/>
        <v>436027368244</v>
      </c>
    </row>
    <row r="3970" spans="1:4" ht="14">
      <c r="A3970" s="16">
        <v>44345</v>
      </c>
      <c r="B3970" s="17">
        <v>34681.82</v>
      </c>
      <c r="C3970" s="18">
        <v>45231013335</v>
      </c>
      <c r="D3970" s="21">
        <f t="shared" si="9"/>
        <v>409175943335</v>
      </c>
    </row>
    <row r="3971" spans="1:4" ht="14">
      <c r="A3971" s="16">
        <v>44346</v>
      </c>
      <c r="B3971" s="17">
        <v>35652.17</v>
      </c>
      <c r="C3971" s="18">
        <v>31646080921</v>
      </c>
      <c r="D3971" s="21">
        <f t="shared" si="9"/>
        <v>397029683430</v>
      </c>
    </row>
    <row r="3972" spans="1:4" ht="14">
      <c r="A3972" s="16">
        <v>44347</v>
      </c>
      <c r="B3972" s="17">
        <v>37312.97</v>
      </c>
      <c r="C3972" s="18">
        <v>39009847639</v>
      </c>
      <c r="D3972" s="21">
        <f t="shared" si="9"/>
        <v>350206489990</v>
      </c>
    </row>
    <row r="3973" spans="1:4" ht="14">
      <c r="A3973" s="16">
        <v>44348</v>
      </c>
      <c r="B3973" s="17">
        <v>36661.379999999997</v>
      </c>
      <c r="C3973" s="18">
        <v>34639423297</v>
      </c>
      <c r="D3973" s="21">
        <f t="shared" si="9"/>
        <v>321856753531</v>
      </c>
    </row>
    <row r="3974" spans="1:4" ht="14">
      <c r="A3974" s="16">
        <v>44349</v>
      </c>
      <c r="B3974" s="17">
        <v>37639.46</v>
      </c>
      <c r="C3974" s="18">
        <v>33070867190</v>
      </c>
      <c r="D3974" s="21">
        <f t="shared" si="9"/>
        <v>300284261025</v>
      </c>
    </row>
    <row r="3975" spans="1:4" ht="14">
      <c r="A3975" s="16">
        <v>44350</v>
      </c>
      <c r="B3975" s="17">
        <v>39160.15</v>
      </c>
      <c r="C3975" s="18">
        <v>35460750427</v>
      </c>
      <c r="D3975" s="21">
        <f t="shared" si="9"/>
        <v>282008393055</v>
      </c>
    </row>
    <row r="3976" spans="1:4" ht="14">
      <c r="A3976" s="16">
        <v>44351</v>
      </c>
      <c r="B3976" s="17">
        <v>36884.370000000003</v>
      </c>
      <c r="C3976" s="18">
        <v>41831090187</v>
      </c>
      <c r="D3976" s="21">
        <f t="shared" si="9"/>
        <v>274258174761</v>
      </c>
    </row>
    <row r="3977" spans="1:4" ht="14">
      <c r="A3977" s="16">
        <v>44352</v>
      </c>
      <c r="B3977" s="17">
        <v>35409.57</v>
      </c>
      <c r="C3977" s="18">
        <v>35959473399</v>
      </c>
      <c r="D3977" s="21">
        <f t="shared" si="9"/>
        <v>260889072996</v>
      </c>
    </row>
    <row r="3978" spans="1:4" ht="14">
      <c r="A3978" s="16">
        <v>44353</v>
      </c>
      <c r="B3978" s="17">
        <v>35720.6</v>
      </c>
      <c r="C3978" s="18">
        <v>28913440585</v>
      </c>
      <c r="D3978" s="21">
        <f t="shared" si="9"/>
        <v>251617533060</v>
      </c>
    </row>
    <row r="3979" spans="1:4" ht="14">
      <c r="A3979" s="16">
        <v>44354</v>
      </c>
      <c r="B3979" s="17">
        <v>33724.910000000003</v>
      </c>
      <c r="C3979" s="18">
        <v>33683936663</v>
      </c>
      <c r="D3979" s="21">
        <f t="shared" si="9"/>
        <v>248884892724</v>
      </c>
    </row>
    <row r="3980" spans="1:4" ht="14">
      <c r="A3980" s="16">
        <v>44355</v>
      </c>
      <c r="B3980" s="17">
        <v>33475.050000000003</v>
      </c>
      <c r="C3980" s="18">
        <v>49902050442</v>
      </c>
      <c r="D3980" s="21">
        <f t="shared" si="9"/>
        <v>243558981748</v>
      </c>
    </row>
    <row r="3981" spans="1:4" ht="14">
      <c r="A3981" s="16">
        <v>44356</v>
      </c>
      <c r="B3981" s="17">
        <v>37372.99</v>
      </c>
      <c r="C3981" s="18">
        <v>53972919008</v>
      </c>
      <c r="D3981" s="21">
        <f t="shared" si="9"/>
        <v>258821608893</v>
      </c>
    </row>
    <row r="3982" spans="1:4" ht="14">
      <c r="A3982" s="16">
        <v>44357</v>
      </c>
      <c r="B3982" s="17">
        <v>36826</v>
      </c>
      <c r="C3982" s="18">
        <v>43576032854</v>
      </c>
      <c r="D3982" s="21">
        <f t="shared" si="9"/>
        <v>279723660711</v>
      </c>
    </row>
    <row r="3983" spans="1:4" ht="14">
      <c r="A3983" s="16">
        <v>44358</v>
      </c>
      <c r="B3983" s="17">
        <v>37185.39</v>
      </c>
      <c r="C3983" s="18">
        <v>38699736985</v>
      </c>
      <c r="D3983" s="21">
        <f t="shared" si="9"/>
        <v>287838943138</v>
      </c>
    </row>
    <row r="3984" spans="1:4" ht="14">
      <c r="A3984" s="16">
        <v>44359</v>
      </c>
      <c r="B3984" s="17">
        <v>35669.17</v>
      </c>
      <c r="C3984" s="18">
        <v>37924228550</v>
      </c>
      <c r="D3984" s="21">
        <f t="shared" si="9"/>
        <v>284707589936</v>
      </c>
    </row>
    <row r="3985" spans="1:4" ht="14">
      <c r="A3985" s="16">
        <v>44360</v>
      </c>
      <c r="B3985" s="17">
        <v>38925.42</v>
      </c>
      <c r="C3985" s="18">
        <v>40669112838</v>
      </c>
      <c r="D3985" s="21">
        <f t="shared" si="9"/>
        <v>286672345087</v>
      </c>
    </row>
    <row r="3986" spans="1:4" ht="14">
      <c r="A3986" s="16">
        <v>44361</v>
      </c>
      <c r="B3986" s="17">
        <v>40455.599999999999</v>
      </c>
      <c r="C3986" s="18">
        <v>43148914673</v>
      </c>
      <c r="D3986" s="21">
        <f t="shared" si="9"/>
        <v>298428017340</v>
      </c>
    </row>
    <row r="3987" spans="1:4" ht="14">
      <c r="A3987" s="16">
        <v>44362</v>
      </c>
      <c r="B3987" s="17">
        <v>40254.65</v>
      </c>
      <c r="C3987" s="18">
        <v>46420149185</v>
      </c>
      <c r="D3987" s="21">
        <f t="shared" si="9"/>
        <v>307892995350</v>
      </c>
    </row>
    <row r="3988" spans="1:4" ht="14">
      <c r="A3988" s="16">
        <v>44363</v>
      </c>
      <c r="B3988" s="17">
        <v>38265.54</v>
      </c>
      <c r="C3988" s="18">
        <v>39211635100</v>
      </c>
      <c r="D3988" s="21">
        <f t="shared" si="9"/>
        <v>304411094093</v>
      </c>
    </row>
    <row r="3989" spans="1:4" ht="14">
      <c r="A3989" s="16">
        <v>44364</v>
      </c>
      <c r="B3989" s="17">
        <v>38018.639999999999</v>
      </c>
      <c r="C3989" s="18">
        <v>37096670047</v>
      </c>
      <c r="D3989" s="21">
        <f t="shared" si="9"/>
        <v>289649810185</v>
      </c>
    </row>
    <row r="3990" spans="1:4" ht="14">
      <c r="A3990" s="16">
        <v>44365</v>
      </c>
      <c r="B3990" s="17">
        <v>35714.31</v>
      </c>
      <c r="C3990" s="18">
        <v>36200887275</v>
      </c>
      <c r="D3990" s="21">
        <f t="shared" si="9"/>
        <v>283170447378</v>
      </c>
    </row>
    <row r="3991" spans="1:4" ht="14">
      <c r="A3991" s="16">
        <v>44366</v>
      </c>
      <c r="B3991" s="17">
        <v>35555.980000000003</v>
      </c>
      <c r="C3991" s="18">
        <v>31207279719</v>
      </c>
      <c r="D3991" s="21">
        <f t="shared" si="9"/>
        <v>280671597668</v>
      </c>
    </row>
    <row r="3992" spans="1:4" ht="14">
      <c r="A3992" s="16">
        <v>44367</v>
      </c>
      <c r="B3992" s="17">
        <v>35599.94</v>
      </c>
      <c r="C3992" s="18">
        <v>36664034054</v>
      </c>
      <c r="D3992" s="21">
        <f t="shared" si="9"/>
        <v>273954648837</v>
      </c>
    </row>
    <row r="3993" spans="1:4" ht="14">
      <c r="A3993" s="16">
        <v>44368</v>
      </c>
      <c r="B3993" s="17">
        <v>31715.16</v>
      </c>
      <c r="C3993" s="18">
        <v>52809038594</v>
      </c>
      <c r="D3993" s="21">
        <f t="shared" si="9"/>
        <v>269949570053</v>
      </c>
    </row>
    <row r="3994" spans="1:4" ht="14">
      <c r="A3994" s="16">
        <v>44369</v>
      </c>
      <c r="B3994" s="17">
        <v>32394.560000000001</v>
      </c>
      <c r="C3994" s="18">
        <v>58964353058</v>
      </c>
      <c r="D3994" s="21">
        <f t="shared" si="9"/>
        <v>279609693974</v>
      </c>
    </row>
    <row r="3995" spans="1:4" ht="14">
      <c r="A3995" s="16">
        <v>44370</v>
      </c>
      <c r="B3995" s="17">
        <v>33610.5</v>
      </c>
      <c r="C3995" s="18">
        <v>46317108925</v>
      </c>
      <c r="D3995" s="21">
        <f t="shared" si="9"/>
        <v>292153897847</v>
      </c>
    </row>
    <row r="3996" spans="1:4" ht="14">
      <c r="A3996" s="16">
        <v>44371</v>
      </c>
      <c r="B3996" s="17">
        <v>34658.97</v>
      </c>
      <c r="C3996" s="18">
        <v>33123368116</v>
      </c>
      <c r="D3996" s="21">
        <f t="shared" si="9"/>
        <v>299259371672</v>
      </c>
    </row>
    <row r="3997" spans="1:4" ht="14">
      <c r="A3997" s="16">
        <v>44372</v>
      </c>
      <c r="B3997" s="17">
        <v>31683.5</v>
      </c>
      <c r="C3997" s="18">
        <v>40230904226</v>
      </c>
      <c r="D3997" s="21">
        <f t="shared" si="9"/>
        <v>295286069741</v>
      </c>
    </row>
    <row r="3998" spans="1:4" ht="14">
      <c r="A3998" s="16">
        <v>44373</v>
      </c>
      <c r="B3998" s="17">
        <v>31890.68</v>
      </c>
      <c r="C3998" s="18">
        <v>38585385521</v>
      </c>
      <c r="D3998" s="21">
        <f t="shared" si="9"/>
        <v>299316086692</v>
      </c>
    </row>
    <row r="3999" spans="1:4" ht="14">
      <c r="A3999" s="16">
        <v>44374</v>
      </c>
      <c r="B3999" s="17">
        <v>34506.49</v>
      </c>
      <c r="C3999" s="18">
        <v>35511640894</v>
      </c>
      <c r="D3999" s="21">
        <f t="shared" si="9"/>
        <v>306694192494</v>
      </c>
    </row>
    <row r="4000" spans="1:4" ht="14">
      <c r="A4000" s="16">
        <v>44375</v>
      </c>
      <c r="B4000" s="17">
        <v>34376.19</v>
      </c>
      <c r="C4000" s="18">
        <v>33892523752</v>
      </c>
      <c r="D4000" s="21">
        <f t="shared" si="9"/>
        <v>305541799334</v>
      </c>
    </row>
    <row r="4001" spans="1:4" ht="14">
      <c r="A4001" s="16">
        <v>44376</v>
      </c>
      <c r="B4001" s="17">
        <v>35933.78</v>
      </c>
      <c r="C4001" s="18">
        <v>37901460044</v>
      </c>
      <c r="D4001" s="21">
        <f t="shared" si="9"/>
        <v>286625284492</v>
      </c>
    </row>
    <row r="4002" spans="1:4" ht="14">
      <c r="A4002" s="16">
        <v>44377</v>
      </c>
      <c r="B4002" s="17">
        <v>35065.47</v>
      </c>
      <c r="C4002" s="18">
        <v>34059036099</v>
      </c>
      <c r="D4002" s="21">
        <f t="shared" si="9"/>
        <v>265562391478</v>
      </c>
    </row>
    <row r="4003" spans="1:4" ht="14">
      <c r="A4003" s="16">
        <v>44378</v>
      </c>
      <c r="B4003" s="17">
        <v>33505.08</v>
      </c>
      <c r="C4003" s="18">
        <v>37838957079</v>
      </c>
      <c r="D4003" s="21">
        <f t="shared" si="9"/>
        <v>253304318652</v>
      </c>
    </row>
    <row r="4004" spans="1:4" ht="14">
      <c r="A4004" s="16">
        <v>44379</v>
      </c>
      <c r="B4004" s="17">
        <v>33782.949999999997</v>
      </c>
      <c r="C4004" s="18">
        <v>38728974942</v>
      </c>
      <c r="D4004" s="21">
        <f t="shared" si="9"/>
        <v>258019907615</v>
      </c>
    </row>
    <row r="4005" spans="1:4" ht="14">
      <c r="A4005" s="16">
        <v>44380</v>
      </c>
      <c r="B4005" s="17">
        <v>34588.22</v>
      </c>
      <c r="C4005" s="18">
        <v>24383958643</v>
      </c>
      <c r="D4005" s="21">
        <f t="shared" si="9"/>
        <v>256517978331</v>
      </c>
    </row>
    <row r="4006" spans="1:4" ht="14">
      <c r="A4006" s="16">
        <v>44381</v>
      </c>
      <c r="B4006" s="17">
        <v>35355.61</v>
      </c>
      <c r="C4006" s="18">
        <v>24924307911</v>
      </c>
      <c r="D4006" s="21">
        <f t="shared" si="9"/>
        <v>242316551453</v>
      </c>
    </row>
    <row r="4007" spans="1:4" ht="14">
      <c r="A4007" s="16">
        <v>44382</v>
      </c>
      <c r="B4007" s="17">
        <v>33911.75</v>
      </c>
      <c r="C4007" s="18">
        <v>26721554282</v>
      </c>
      <c r="D4007" s="21">
        <f t="shared" si="9"/>
        <v>231729218470</v>
      </c>
    </row>
    <row r="4008" spans="1:4" ht="14">
      <c r="A4008" s="16">
        <v>44383</v>
      </c>
      <c r="B4008" s="17">
        <v>34123.980000000003</v>
      </c>
      <c r="C4008" s="18">
        <v>26501259870</v>
      </c>
      <c r="D4008" s="21">
        <f t="shared" si="9"/>
        <v>224558249000</v>
      </c>
    </row>
    <row r="4009" spans="1:4" ht="14">
      <c r="A4009" s="16">
        <v>44384</v>
      </c>
      <c r="B4009" s="17">
        <v>33931.620000000003</v>
      </c>
      <c r="C4009" s="18">
        <v>24796027477</v>
      </c>
      <c r="D4009" s="21">
        <f t="shared" si="9"/>
        <v>213158048826</v>
      </c>
    </row>
    <row r="4010" spans="1:4" ht="14">
      <c r="A4010" s="16">
        <v>44385</v>
      </c>
      <c r="B4010" s="17">
        <v>32819.660000000003</v>
      </c>
      <c r="C4010" s="18">
        <v>29910396946</v>
      </c>
      <c r="D4010" s="21">
        <f t="shared" si="9"/>
        <v>203895040204</v>
      </c>
    </row>
    <row r="4011" spans="1:4" ht="14">
      <c r="A4011" s="16">
        <v>44386</v>
      </c>
      <c r="B4011" s="17">
        <v>33914.879999999997</v>
      </c>
      <c r="C4011" s="18">
        <v>27436021028</v>
      </c>
      <c r="D4011" s="21">
        <f t="shared" si="9"/>
        <v>195966480071</v>
      </c>
    </row>
    <row r="4012" spans="1:4" ht="14">
      <c r="A4012" s="16">
        <v>44387</v>
      </c>
      <c r="B4012" s="17">
        <v>33610.949999999997</v>
      </c>
      <c r="C4012" s="18">
        <v>22971873468</v>
      </c>
      <c r="D4012" s="21">
        <f t="shared" si="9"/>
        <v>184673526157</v>
      </c>
    </row>
    <row r="4013" spans="1:4" ht="14">
      <c r="A4013" s="16">
        <v>44388</v>
      </c>
      <c r="B4013" s="17">
        <v>34258.44</v>
      </c>
      <c r="C4013" s="18">
        <v>20108729370</v>
      </c>
      <c r="D4013" s="21">
        <f t="shared" si="9"/>
        <v>183261440982</v>
      </c>
    </row>
    <row r="4014" spans="1:4" ht="14">
      <c r="A4014" s="16">
        <v>44389</v>
      </c>
      <c r="B4014" s="17">
        <v>33135.24</v>
      </c>
      <c r="C4014" s="18">
        <v>24321499537</v>
      </c>
      <c r="D4014" s="21">
        <f t="shared" si="9"/>
        <v>178445862441</v>
      </c>
    </row>
    <row r="4015" spans="1:4" ht="14">
      <c r="A4015" s="16">
        <v>44390</v>
      </c>
      <c r="B4015" s="17">
        <v>32641.98</v>
      </c>
      <c r="C4015" s="18">
        <v>19120856669</v>
      </c>
      <c r="D4015" s="21">
        <f t="shared" si="9"/>
        <v>176045807696</v>
      </c>
    </row>
    <row r="4016" spans="1:4" ht="14">
      <c r="A4016" s="16">
        <v>44391</v>
      </c>
      <c r="B4016" s="17">
        <v>32798.28</v>
      </c>
      <c r="C4016" s="18">
        <v>21376531210</v>
      </c>
      <c r="D4016" s="21">
        <f t="shared" si="9"/>
        <v>168665404495</v>
      </c>
    </row>
    <row r="4017" spans="1:4" ht="14">
      <c r="A4017" s="16">
        <v>44392</v>
      </c>
      <c r="B4017" s="17">
        <v>31707.69</v>
      </c>
      <c r="C4017" s="18">
        <v>21300524237</v>
      </c>
      <c r="D4017" s="21">
        <f t="shared" si="9"/>
        <v>165245908228</v>
      </c>
    </row>
    <row r="4018" spans="1:4" ht="14">
      <c r="A4018" s="16">
        <v>44393</v>
      </c>
      <c r="B4018" s="17">
        <v>31455.72</v>
      </c>
      <c r="C4018" s="18">
        <v>23699476918</v>
      </c>
      <c r="D4018" s="21">
        <f t="shared" si="9"/>
        <v>156636035519</v>
      </c>
    </row>
    <row r="4019" spans="1:4" ht="14">
      <c r="A4019" s="16">
        <v>44394</v>
      </c>
      <c r="B4019" s="17">
        <v>31547.95</v>
      </c>
      <c r="C4019" s="18">
        <v>18895018942</v>
      </c>
      <c r="D4019" s="21">
        <f t="shared" si="9"/>
        <v>152899491409</v>
      </c>
    </row>
    <row r="4020" spans="1:4" ht="14">
      <c r="A4020" s="16">
        <v>44395</v>
      </c>
      <c r="B4020" s="17">
        <v>31707.7</v>
      </c>
      <c r="C4020" s="18">
        <v>18787986667</v>
      </c>
      <c r="D4020" s="21">
        <f t="shared" si="9"/>
        <v>148822636883</v>
      </c>
    </row>
    <row r="4021" spans="1:4" ht="14">
      <c r="A4021" s="16">
        <v>44396</v>
      </c>
      <c r="B4021" s="17">
        <v>30883.47</v>
      </c>
      <c r="C4021" s="18">
        <v>20434789545</v>
      </c>
      <c r="D4021" s="21">
        <f t="shared" si="9"/>
        <v>147501894180</v>
      </c>
    </row>
    <row r="4022" spans="1:4" ht="14">
      <c r="A4022" s="16">
        <v>44397</v>
      </c>
      <c r="B4022" s="17">
        <v>29766.66</v>
      </c>
      <c r="C4022" s="18">
        <v>23148267245</v>
      </c>
      <c r="D4022" s="21">
        <f t="shared" si="9"/>
        <v>143615184188</v>
      </c>
    </row>
    <row r="4023" spans="1:4" ht="14">
      <c r="A4023" s="16">
        <v>44398</v>
      </c>
      <c r="B4023" s="17">
        <v>32119.66</v>
      </c>
      <c r="C4023" s="18">
        <v>28203024559</v>
      </c>
      <c r="D4023" s="21">
        <f t="shared" si="9"/>
        <v>147642594764</v>
      </c>
    </row>
    <row r="4024" spans="1:4" ht="14">
      <c r="A4024" s="16">
        <v>44399</v>
      </c>
      <c r="B4024" s="17">
        <v>32306.959999999999</v>
      </c>
      <c r="C4024" s="18">
        <v>19555230518</v>
      </c>
      <c r="D4024" s="21">
        <f t="shared" si="9"/>
        <v>154469088113</v>
      </c>
    </row>
    <row r="4025" spans="1:4" ht="14">
      <c r="A4025" s="16">
        <v>44400</v>
      </c>
      <c r="B4025" s="17">
        <v>33439.599999999999</v>
      </c>
      <c r="C4025" s="18">
        <v>22552046192</v>
      </c>
      <c r="D4025" s="21">
        <f t="shared" si="9"/>
        <v>152723794394</v>
      </c>
    </row>
    <row r="4026" spans="1:4" ht="14">
      <c r="A4026" s="16">
        <v>44401</v>
      </c>
      <c r="B4026" s="17">
        <v>34166.910000000003</v>
      </c>
      <c r="C4026" s="18">
        <v>21664706865</v>
      </c>
      <c r="D4026" s="21">
        <f t="shared" si="9"/>
        <v>151576363668</v>
      </c>
    </row>
    <row r="4027" spans="1:4" ht="14">
      <c r="A4027" s="16">
        <v>44402</v>
      </c>
      <c r="B4027" s="17">
        <v>35119.94</v>
      </c>
      <c r="C4027" s="18">
        <v>20856685287</v>
      </c>
      <c r="D4027" s="21">
        <f t="shared" si="9"/>
        <v>154346051591</v>
      </c>
    </row>
    <row r="4028" spans="1:4" ht="14">
      <c r="A4028" s="16">
        <v>44403</v>
      </c>
      <c r="B4028" s="17">
        <v>37444.78</v>
      </c>
      <c r="C4028" s="18">
        <v>51022126212</v>
      </c>
      <c r="D4028" s="21">
        <f t="shared" si="9"/>
        <v>156414750211</v>
      </c>
    </row>
    <row r="4029" spans="1:4" ht="14">
      <c r="A4029" s="16">
        <v>44404</v>
      </c>
      <c r="B4029" s="17">
        <v>39126.54</v>
      </c>
      <c r="C4029" s="18">
        <v>35097370560</v>
      </c>
      <c r="D4029" s="21">
        <f t="shared" si="9"/>
        <v>187002086878</v>
      </c>
    </row>
    <row r="4030" spans="1:4" ht="14">
      <c r="A4030" s="16">
        <v>44405</v>
      </c>
      <c r="B4030" s="17">
        <v>39939.19</v>
      </c>
      <c r="C4030" s="18">
        <v>38702404695</v>
      </c>
      <c r="D4030" s="21">
        <f t="shared" si="9"/>
        <v>198951190193</v>
      </c>
    </row>
    <row r="4031" spans="1:4" ht="14">
      <c r="A4031" s="16">
        <v>44406</v>
      </c>
      <c r="B4031" s="17">
        <v>40086.160000000003</v>
      </c>
      <c r="C4031" s="18">
        <v>27167146027</v>
      </c>
      <c r="D4031" s="21">
        <f t="shared" si="9"/>
        <v>209450570329</v>
      </c>
    </row>
    <row r="4032" spans="1:4" ht="14">
      <c r="A4032" s="16">
        <v>44407</v>
      </c>
      <c r="B4032" s="17">
        <v>41789.67</v>
      </c>
      <c r="C4032" s="18">
        <v>33072782960</v>
      </c>
      <c r="D4032" s="21">
        <f t="shared" si="9"/>
        <v>217062485838</v>
      </c>
    </row>
    <row r="4033" spans="1:4" ht="14">
      <c r="A4033" s="16">
        <v>44408</v>
      </c>
      <c r="B4033" s="17">
        <v>41793.31</v>
      </c>
      <c r="C4033" s="18">
        <v>25802845343</v>
      </c>
      <c r="D4033" s="21">
        <f t="shared" si="9"/>
        <v>227583222606</v>
      </c>
    </row>
    <row r="4034" spans="1:4" ht="14">
      <c r="A4034" s="16">
        <v>44409</v>
      </c>
      <c r="B4034" s="17">
        <v>39968.97</v>
      </c>
      <c r="C4034" s="18">
        <v>26688438115</v>
      </c>
      <c r="D4034" s="21">
        <f t="shared" si="9"/>
        <v>231721361084</v>
      </c>
    </row>
    <row r="4035" spans="1:4" ht="14">
      <c r="A4035" s="16">
        <v>44410</v>
      </c>
      <c r="B4035" s="17">
        <v>39304.19</v>
      </c>
      <c r="C4035" s="18">
        <v>25595265436</v>
      </c>
      <c r="D4035" s="21">
        <f t="shared" si="9"/>
        <v>237553113912</v>
      </c>
    </row>
    <row r="4036" spans="1:4" ht="14">
      <c r="A4036" s="16">
        <v>44411</v>
      </c>
      <c r="B4036" s="17">
        <v>38288.83</v>
      </c>
      <c r="C4036" s="18">
        <v>26189830450</v>
      </c>
      <c r="D4036" s="21">
        <f t="shared" si="9"/>
        <v>212126253136</v>
      </c>
    </row>
    <row r="4037" spans="1:4" ht="14">
      <c r="A4037" s="16">
        <v>44412</v>
      </c>
      <c r="B4037" s="17">
        <v>39773.910000000003</v>
      </c>
      <c r="C4037" s="18">
        <v>25372562724</v>
      </c>
      <c r="D4037" s="21">
        <f t="shared" si="9"/>
        <v>203218713026</v>
      </c>
    </row>
    <row r="4038" spans="1:4" ht="14">
      <c r="A4038" s="16">
        <v>44413</v>
      </c>
      <c r="B4038" s="17">
        <v>40941.65</v>
      </c>
      <c r="C4038" s="18">
        <v>35185031017</v>
      </c>
      <c r="D4038" s="21">
        <f t="shared" si="9"/>
        <v>189888871055</v>
      </c>
    </row>
    <row r="4039" spans="1:4" ht="14">
      <c r="A4039" s="16">
        <v>44414</v>
      </c>
      <c r="B4039" s="17">
        <v>42790.36</v>
      </c>
      <c r="C4039" s="18">
        <v>38226483046</v>
      </c>
      <c r="D4039" s="21">
        <f t="shared" si="9"/>
        <v>197906756045</v>
      </c>
    </row>
    <row r="4040" spans="1:4" ht="14">
      <c r="A4040" s="16">
        <v>44415</v>
      </c>
      <c r="B4040" s="17">
        <v>44484.9</v>
      </c>
      <c r="C4040" s="18">
        <v>40030862141</v>
      </c>
      <c r="D4040" s="21">
        <f t="shared" si="9"/>
        <v>203060456131</v>
      </c>
    </row>
    <row r="4041" spans="1:4" ht="14">
      <c r="A4041" s="16">
        <v>44416</v>
      </c>
      <c r="B4041" s="17">
        <v>43972.3</v>
      </c>
      <c r="C4041" s="18">
        <v>36302664750</v>
      </c>
      <c r="D4041" s="21">
        <f t="shared" si="9"/>
        <v>217288472929</v>
      </c>
    </row>
    <row r="4042" spans="1:4" ht="14">
      <c r="A4042" s="16">
        <v>44417</v>
      </c>
      <c r="B4042" s="17">
        <v>46265.64</v>
      </c>
      <c r="C4042" s="18">
        <v>38734079049</v>
      </c>
      <c r="D4042" s="21">
        <f t="shared" si="9"/>
        <v>226902699564</v>
      </c>
    </row>
    <row r="4043" spans="1:4" ht="14">
      <c r="A4043" s="16">
        <v>44418</v>
      </c>
      <c r="B4043" s="17">
        <v>45488.79</v>
      </c>
      <c r="C4043" s="18">
        <v>33546019517</v>
      </c>
      <c r="D4043" s="21">
        <f t="shared" si="9"/>
        <v>240041513177</v>
      </c>
    </row>
    <row r="4044" spans="1:4" ht="14">
      <c r="A4044" s="16">
        <v>44419</v>
      </c>
      <c r="B4044" s="17">
        <v>45676.33</v>
      </c>
      <c r="C4044" s="18">
        <v>34319709073</v>
      </c>
      <c r="D4044" s="21">
        <f t="shared" si="9"/>
        <v>247397702244</v>
      </c>
    </row>
    <row r="4045" spans="1:4" ht="14">
      <c r="A4045" s="16">
        <v>44420</v>
      </c>
      <c r="B4045" s="17">
        <v>44405.75</v>
      </c>
      <c r="C4045" s="18">
        <v>33723620826</v>
      </c>
      <c r="D4045" s="21">
        <f t="shared" si="9"/>
        <v>256344848593</v>
      </c>
    </row>
    <row r="4046" spans="1:4" ht="14">
      <c r="A4046" s="16">
        <v>44421</v>
      </c>
      <c r="B4046" s="17">
        <v>47717.49</v>
      </c>
      <c r="C4046" s="18">
        <v>31744259539</v>
      </c>
      <c r="D4046" s="21">
        <f t="shared" si="9"/>
        <v>254883438402</v>
      </c>
    </row>
    <row r="4047" spans="1:4" ht="14">
      <c r="A4047" s="16">
        <v>44422</v>
      </c>
      <c r="B4047" s="17">
        <v>47124.21</v>
      </c>
      <c r="C4047" s="18">
        <v>31211354442</v>
      </c>
      <c r="D4047" s="21">
        <f t="shared" si="9"/>
        <v>248401214895</v>
      </c>
    </row>
    <row r="4048" spans="1:4" ht="14">
      <c r="A4048" s="16">
        <v>44423</v>
      </c>
      <c r="B4048" s="17">
        <v>47074.37</v>
      </c>
      <c r="C4048" s="18">
        <v>30988958446</v>
      </c>
      <c r="D4048" s="21">
        <f t="shared" si="9"/>
        <v>239581707196</v>
      </c>
    </row>
    <row r="4049" spans="1:4" ht="14">
      <c r="A4049" s="16">
        <v>44424</v>
      </c>
      <c r="B4049" s="17">
        <v>45984.72</v>
      </c>
      <c r="C4049" s="18">
        <v>32776876610</v>
      </c>
      <c r="D4049" s="21">
        <f t="shared" si="9"/>
        <v>234268000892</v>
      </c>
    </row>
    <row r="4050" spans="1:4" ht="14">
      <c r="A4050" s="16">
        <v>44425</v>
      </c>
      <c r="B4050" s="17">
        <v>44714.1</v>
      </c>
      <c r="C4050" s="18">
        <v>33451362600</v>
      </c>
      <c r="D4050" s="21">
        <f t="shared" si="9"/>
        <v>228310798453</v>
      </c>
    </row>
    <row r="4051" spans="1:4" ht="14">
      <c r="A4051" s="16">
        <v>44426</v>
      </c>
      <c r="B4051" s="17">
        <v>44954.36</v>
      </c>
      <c r="C4051" s="18">
        <v>32194123075</v>
      </c>
      <c r="D4051" s="21">
        <f t="shared" si="9"/>
        <v>228216141536</v>
      </c>
    </row>
    <row r="4052" spans="1:4" ht="14">
      <c r="A4052" s="16">
        <v>44427</v>
      </c>
      <c r="B4052" s="17">
        <v>46646.86</v>
      </c>
      <c r="C4052" s="18">
        <v>37204312299</v>
      </c>
      <c r="D4052" s="21">
        <f t="shared" si="9"/>
        <v>226090555538</v>
      </c>
    </row>
    <row r="4053" spans="1:4" ht="14">
      <c r="A4053" s="16">
        <v>44428</v>
      </c>
      <c r="B4053" s="17">
        <v>49240.84</v>
      </c>
      <c r="C4053" s="18">
        <v>34706867452</v>
      </c>
      <c r="D4053" s="21">
        <f t="shared" si="9"/>
        <v>229571247011</v>
      </c>
    </row>
    <row r="4054" spans="1:4" ht="14">
      <c r="A4054" s="16">
        <v>44429</v>
      </c>
      <c r="B4054" s="17">
        <v>49070.239999999998</v>
      </c>
      <c r="C4054" s="18">
        <v>40585205312</v>
      </c>
      <c r="D4054" s="21">
        <f t="shared" si="9"/>
        <v>232533854924</v>
      </c>
    </row>
    <row r="4055" spans="1:4" ht="14">
      <c r="A4055" s="16">
        <v>44430</v>
      </c>
      <c r="B4055" s="17">
        <v>49363.32</v>
      </c>
      <c r="C4055" s="18">
        <v>25370975378</v>
      </c>
      <c r="D4055" s="21">
        <f t="shared" si="9"/>
        <v>241907705794</v>
      </c>
    </row>
    <row r="4056" spans="1:4" ht="14">
      <c r="A4056" s="16">
        <v>44431</v>
      </c>
      <c r="B4056" s="17">
        <v>49590.879999999997</v>
      </c>
      <c r="C4056" s="18">
        <v>34305053719</v>
      </c>
      <c r="D4056" s="21">
        <f t="shared" si="9"/>
        <v>236289722726</v>
      </c>
    </row>
    <row r="4057" spans="1:4" ht="14">
      <c r="A4057" s="16">
        <v>44432</v>
      </c>
      <c r="B4057" s="17">
        <v>47925.86</v>
      </c>
      <c r="C4057" s="18">
        <v>35361168834</v>
      </c>
      <c r="D4057" s="21">
        <f t="shared" si="9"/>
        <v>237817899835</v>
      </c>
    </row>
    <row r="4058" spans="1:4" ht="14">
      <c r="A4058" s="16">
        <v>44433</v>
      </c>
      <c r="B4058" s="17">
        <v>49002.32</v>
      </c>
      <c r="C4058" s="18">
        <v>32646349931</v>
      </c>
      <c r="D4058" s="21">
        <f t="shared" si="9"/>
        <v>239727706069</v>
      </c>
    </row>
    <row r="4059" spans="1:4" ht="14">
      <c r="A4059" s="16">
        <v>44434</v>
      </c>
      <c r="B4059" s="17">
        <v>47190.34</v>
      </c>
      <c r="C4059" s="18">
        <v>32666549568</v>
      </c>
      <c r="D4059" s="21">
        <f t="shared" si="9"/>
        <v>240179932925</v>
      </c>
    </row>
    <row r="4060" spans="1:4" ht="14">
      <c r="A4060" s="16">
        <v>44435</v>
      </c>
      <c r="B4060" s="17">
        <v>49048.480000000003</v>
      </c>
      <c r="C4060" s="18">
        <v>34511076995</v>
      </c>
      <c r="D4060" s="21">
        <f t="shared" si="9"/>
        <v>235642170194</v>
      </c>
    </row>
    <row r="4061" spans="1:4" ht="14">
      <c r="A4061" s="16">
        <v>44436</v>
      </c>
      <c r="B4061" s="17">
        <v>48852.47</v>
      </c>
      <c r="C4061" s="18">
        <v>28568103401</v>
      </c>
      <c r="D4061" s="21">
        <f t="shared" si="9"/>
        <v>235446379737</v>
      </c>
    </row>
    <row r="4062" spans="1:4" ht="14">
      <c r="A4062" s="16">
        <v>44437</v>
      </c>
      <c r="B4062" s="17">
        <v>48948.35</v>
      </c>
      <c r="C4062" s="18">
        <v>25889650240</v>
      </c>
      <c r="D4062" s="21">
        <f t="shared" si="9"/>
        <v>223429277826</v>
      </c>
    </row>
    <row r="4063" spans="1:4" ht="14">
      <c r="A4063" s="16">
        <v>44438</v>
      </c>
      <c r="B4063" s="17">
        <v>47125.77</v>
      </c>
      <c r="C4063" s="18">
        <v>31847007016</v>
      </c>
      <c r="D4063" s="21">
        <f t="shared" si="9"/>
        <v>223947952688</v>
      </c>
    </row>
    <row r="4064" spans="1:4" ht="14">
      <c r="A4064" s="16">
        <v>44439</v>
      </c>
      <c r="B4064" s="17">
        <v>47219.24</v>
      </c>
      <c r="C4064" s="18">
        <v>34730363427</v>
      </c>
      <c r="D4064" s="21">
        <f t="shared" si="9"/>
        <v>221489905985</v>
      </c>
    </row>
    <row r="4065" spans="1:4" ht="14">
      <c r="A4065" s="16">
        <v>44440</v>
      </c>
      <c r="B4065" s="17">
        <v>48688.54</v>
      </c>
      <c r="C4065" s="18">
        <v>39139399125</v>
      </c>
      <c r="D4065" s="21">
        <f t="shared" si="9"/>
        <v>220859100578</v>
      </c>
    </row>
    <row r="4066" spans="1:4" ht="14">
      <c r="A4066" s="16">
        <v>44441</v>
      </c>
      <c r="B4066" s="17">
        <v>49369.59</v>
      </c>
      <c r="C4066" s="18">
        <v>39508070319</v>
      </c>
      <c r="D4066" s="21">
        <f t="shared" si="9"/>
        <v>227352149772</v>
      </c>
    </row>
    <row r="4067" spans="1:4" ht="14">
      <c r="A4067" s="16">
        <v>44442</v>
      </c>
      <c r="B4067" s="17">
        <v>49860.53</v>
      </c>
      <c r="C4067" s="18">
        <v>43206179619</v>
      </c>
      <c r="D4067" s="21">
        <f t="shared" si="9"/>
        <v>234193670523</v>
      </c>
    </row>
    <row r="4068" spans="1:4" ht="14">
      <c r="A4068" s="16">
        <v>44443</v>
      </c>
      <c r="B4068" s="17">
        <v>49919.58</v>
      </c>
      <c r="C4068" s="18">
        <v>37471327794</v>
      </c>
      <c r="D4068" s="21">
        <f t="shared" si="9"/>
        <v>242888773147</v>
      </c>
    </row>
    <row r="4069" spans="1:4" ht="14">
      <c r="A4069" s="16">
        <v>44444</v>
      </c>
      <c r="B4069" s="17">
        <v>51747.64</v>
      </c>
      <c r="C4069" s="18">
        <v>30322676319</v>
      </c>
      <c r="D4069" s="21">
        <f t="shared" si="9"/>
        <v>251791997540</v>
      </c>
    </row>
    <row r="4070" spans="1:4" ht="14">
      <c r="A4070" s="16">
        <v>44445</v>
      </c>
      <c r="B4070" s="17">
        <v>52640.59</v>
      </c>
      <c r="C4070" s="18">
        <v>38884105426</v>
      </c>
      <c r="D4070" s="21">
        <f t="shared" si="9"/>
        <v>256225023619</v>
      </c>
    </row>
    <row r="4071" spans="1:4" ht="14">
      <c r="A4071" s="16">
        <v>44446</v>
      </c>
      <c r="B4071" s="17">
        <v>46854.400000000001</v>
      </c>
      <c r="C4071" s="18">
        <v>65210059683</v>
      </c>
      <c r="D4071" s="21">
        <f t="shared" si="9"/>
        <v>263262122029</v>
      </c>
    </row>
    <row r="4072" spans="1:4" ht="14">
      <c r="A4072" s="16">
        <v>44447</v>
      </c>
      <c r="B4072" s="17">
        <v>46187.98</v>
      </c>
      <c r="C4072" s="18">
        <v>49007762488</v>
      </c>
      <c r="D4072" s="21">
        <f t="shared" si="9"/>
        <v>293741818285</v>
      </c>
    </row>
    <row r="4073" spans="1:4" ht="14">
      <c r="A4073" s="16">
        <v>44448</v>
      </c>
      <c r="B4073" s="17">
        <v>46448.77</v>
      </c>
      <c r="C4073" s="18">
        <v>38672657013</v>
      </c>
      <c r="D4073" s="21">
        <f t="shared" si="9"/>
        <v>303610181648</v>
      </c>
    </row>
    <row r="4074" spans="1:4" ht="14">
      <c r="A4074" s="16">
        <v>44449</v>
      </c>
      <c r="B4074" s="17">
        <v>44765.279999999999</v>
      </c>
      <c r="C4074" s="18">
        <v>39154666597</v>
      </c>
      <c r="D4074" s="21">
        <f t="shared" ref="D4074:D4328" si="10">IF(C4067&lt;&gt;"",SUM(C4067:C4073),"")</f>
        <v>302774768342</v>
      </c>
    </row>
    <row r="4075" spans="1:4" ht="14">
      <c r="A4075" s="16">
        <v>44450</v>
      </c>
      <c r="B4075" s="17">
        <v>45098.59</v>
      </c>
      <c r="C4075" s="18">
        <v>34499835245</v>
      </c>
      <c r="D4075" s="21">
        <f t="shared" si="10"/>
        <v>298723255320</v>
      </c>
    </row>
    <row r="4076" spans="1:4" ht="14">
      <c r="A4076" s="16">
        <v>44451</v>
      </c>
      <c r="B4076" s="17">
        <v>46180.61</v>
      </c>
      <c r="C4076" s="18">
        <v>27881980161</v>
      </c>
      <c r="D4076" s="21">
        <f t="shared" si="10"/>
        <v>295751762771</v>
      </c>
    </row>
    <row r="4077" spans="1:4" ht="14">
      <c r="A4077" s="16">
        <v>44452</v>
      </c>
      <c r="B4077" s="17">
        <v>44991.519999999997</v>
      </c>
      <c r="C4077" s="18">
        <v>40969943253</v>
      </c>
      <c r="D4077" s="21">
        <f t="shared" si="10"/>
        <v>293311066613</v>
      </c>
    </row>
    <row r="4078" spans="1:4" ht="14">
      <c r="A4078" s="16">
        <v>44453</v>
      </c>
      <c r="B4078" s="17">
        <v>47022.62</v>
      </c>
      <c r="C4078" s="18">
        <v>38652152880</v>
      </c>
      <c r="D4078" s="21">
        <f t="shared" si="10"/>
        <v>295396904440</v>
      </c>
    </row>
    <row r="4079" spans="1:4" ht="14">
      <c r="A4079" s="16">
        <v>44454</v>
      </c>
      <c r="B4079" s="17">
        <v>48167.19</v>
      </c>
      <c r="C4079" s="18">
        <v>30484496466</v>
      </c>
      <c r="D4079" s="21">
        <f t="shared" si="10"/>
        <v>268838997637</v>
      </c>
    </row>
    <row r="4080" spans="1:4" ht="14">
      <c r="A4080" s="16">
        <v>44455</v>
      </c>
      <c r="B4080" s="17">
        <v>47797.33</v>
      </c>
      <c r="C4080" s="18">
        <v>31764293754</v>
      </c>
      <c r="D4080" s="21">
        <f t="shared" si="10"/>
        <v>250315731615</v>
      </c>
    </row>
    <row r="4081" spans="1:4" ht="14">
      <c r="A4081" s="16">
        <v>44456</v>
      </c>
      <c r="B4081" s="17">
        <v>47213.79</v>
      </c>
      <c r="C4081" s="18">
        <v>28727713711</v>
      </c>
      <c r="D4081" s="21">
        <f t="shared" si="10"/>
        <v>243407368356</v>
      </c>
    </row>
    <row r="4082" spans="1:4" ht="14">
      <c r="A4082" s="16">
        <v>44457</v>
      </c>
      <c r="B4082" s="17">
        <v>48204.01</v>
      </c>
      <c r="C4082" s="18">
        <v>28575630451</v>
      </c>
      <c r="D4082" s="21">
        <f t="shared" si="10"/>
        <v>232980415470</v>
      </c>
    </row>
    <row r="4083" spans="1:4" ht="14">
      <c r="A4083" s="16">
        <v>44458</v>
      </c>
      <c r="B4083" s="17">
        <v>47218.47</v>
      </c>
      <c r="C4083" s="18">
        <v>26967722648</v>
      </c>
      <c r="D4083" s="21">
        <f t="shared" si="10"/>
        <v>227056210676</v>
      </c>
    </row>
    <row r="4084" spans="1:4" ht="14">
      <c r="A4084" s="16">
        <v>44459</v>
      </c>
      <c r="B4084" s="17">
        <v>42855.51</v>
      </c>
      <c r="C4084" s="18">
        <v>43909845642</v>
      </c>
      <c r="D4084" s="21">
        <f t="shared" si="10"/>
        <v>226141953163</v>
      </c>
    </row>
    <row r="4085" spans="1:4" ht="14">
      <c r="A4085" s="16">
        <v>44460</v>
      </c>
      <c r="B4085" s="17">
        <v>40526.49</v>
      </c>
      <c r="C4085" s="18">
        <v>48701090088</v>
      </c>
      <c r="D4085" s="21">
        <f t="shared" si="10"/>
        <v>229081855552</v>
      </c>
    </row>
    <row r="4086" spans="1:4" ht="14">
      <c r="A4086" s="16">
        <v>44461</v>
      </c>
      <c r="B4086" s="17">
        <v>43577.57</v>
      </c>
      <c r="C4086" s="18">
        <v>38139709246</v>
      </c>
      <c r="D4086" s="21">
        <f t="shared" si="10"/>
        <v>239130792760</v>
      </c>
    </row>
    <row r="4087" spans="1:4" ht="14">
      <c r="A4087" s="16">
        <v>44462</v>
      </c>
      <c r="B4087" s="17">
        <v>44861.3</v>
      </c>
      <c r="C4087" s="18">
        <v>34244064430</v>
      </c>
      <c r="D4087" s="21">
        <f t="shared" si="10"/>
        <v>246786005540</v>
      </c>
    </row>
    <row r="4088" spans="1:4" ht="14">
      <c r="A4088" s="16">
        <v>44463</v>
      </c>
      <c r="B4088" s="17">
        <v>42803.31</v>
      </c>
      <c r="C4088" s="18">
        <v>42839345714</v>
      </c>
      <c r="D4088" s="21">
        <f t="shared" si="10"/>
        <v>249265776216</v>
      </c>
    </row>
    <row r="4089" spans="1:4" ht="14">
      <c r="A4089" s="16">
        <v>44464</v>
      </c>
      <c r="B4089" s="17">
        <v>42735.27</v>
      </c>
      <c r="C4089" s="18">
        <v>31604717236</v>
      </c>
      <c r="D4089" s="21">
        <f t="shared" si="10"/>
        <v>263377408219</v>
      </c>
    </row>
    <row r="4090" spans="1:4" ht="14">
      <c r="A4090" s="16">
        <v>44465</v>
      </c>
      <c r="B4090" s="17">
        <v>43131.29</v>
      </c>
      <c r="C4090" s="18">
        <v>30661222077</v>
      </c>
      <c r="D4090" s="21">
        <f t="shared" si="10"/>
        <v>266406495004</v>
      </c>
    </row>
    <row r="4091" spans="1:4" ht="14">
      <c r="A4091" s="16">
        <v>44466</v>
      </c>
      <c r="B4091" s="17">
        <v>42496.79</v>
      </c>
      <c r="C4091" s="18">
        <v>30980029059</v>
      </c>
      <c r="D4091" s="21">
        <f t="shared" si="10"/>
        <v>270099994433</v>
      </c>
    </row>
    <row r="4092" spans="1:4" ht="14">
      <c r="A4092" s="16">
        <v>44467</v>
      </c>
      <c r="B4092" s="17">
        <v>41223.79</v>
      </c>
      <c r="C4092" s="18">
        <v>30214940550</v>
      </c>
      <c r="D4092" s="21">
        <f t="shared" si="10"/>
        <v>257170177850</v>
      </c>
    </row>
    <row r="4093" spans="1:4" ht="14">
      <c r="A4093" s="16">
        <v>44468</v>
      </c>
      <c r="B4093" s="17">
        <v>41453.949999999997</v>
      </c>
      <c r="C4093" s="18">
        <v>30602359905</v>
      </c>
      <c r="D4093" s="21">
        <f t="shared" si="10"/>
        <v>238684028312</v>
      </c>
    </row>
    <row r="4094" spans="1:4" ht="14">
      <c r="A4094" s="16">
        <v>44469</v>
      </c>
      <c r="B4094" s="17">
        <v>43781.55</v>
      </c>
      <c r="C4094" s="18">
        <v>31141681925</v>
      </c>
      <c r="D4094" s="21">
        <f t="shared" si="10"/>
        <v>231146678971</v>
      </c>
    </row>
    <row r="4095" spans="1:4" ht="14">
      <c r="A4095" s="16">
        <v>44470</v>
      </c>
      <c r="B4095" s="17">
        <v>48078.13</v>
      </c>
      <c r="C4095" s="18">
        <v>42850641582</v>
      </c>
      <c r="D4095" s="21">
        <f t="shared" si="10"/>
        <v>228044296466</v>
      </c>
    </row>
    <row r="4096" spans="1:4" ht="14">
      <c r="A4096" s="16">
        <v>44471</v>
      </c>
      <c r="B4096" s="17">
        <v>47792.44</v>
      </c>
      <c r="C4096" s="18">
        <v>30614346492</v>
      </c>
      <c r="D4096" s="21">
        <f t="shared" si="10"/>
        <v>228055592334</v>
      </c>
    </row>
    <row r="4097" spans="1:4" ht="14">
      <c r="A4097" s="16">
        <v>44472</v>
      </c>
      <c r="B4097" s="17">
        <v>48202.62</v>
      </c>
      <c r="C4097" s="18">
        <v>26638115879</v>
      </c>
      <c r="D4097" s="21">
        <f t="shared" si="10"/>
        <v>227065221590</v>
      </c>
    </row>
    <row r="4098" spans="1:4" ht="14">
      <c r="A4098" s="16">
        <v>44473</v>
      </c>
      <c r="B4098" s="17">
        <v>49288.5</v>
      </c>
      <c r="C4098" s="18">
        <v>33383173002</v>
      </c>
      <c r="D4098" s="21">
        <f t="shared" si="10"/>
        <v>223042115392</v>
      </c>
    </row>
    <row r="4099" spans="1:4" ht="14">
      <c r="A4099" s="16">
        <v>44474</v>
      </c>
      <c r="B4099" s="17">
        <v>51558.05</v>
      </c>
      <c r="C4099" s="18">
        <v>35873904236</v>
      </c>
      <c r="D4099" s="21">
        <f t="shared" si="10"/>
        <v>225445259335</v>
      </c>
    </row>
    <row r="4100" spans="1:4" ht="14">
      <c r="A4100" s="16">
        <v>44475</v>
      </c>
      <c r="B4100" s="17">
        <v>55419.8</v>
      </c>
      <c r="C4100" s="18">
        <v>49034730168</v>
      </c>
      <c r="D4100" s="21">
        <f t="shared" si="10"/>
        <v>231104223021</v>
      </c>
    </row>
    <row r="4101" spans="1:4" ht="14">
      <c r="A4101" s="16">
        <v>44476</v>
      </c>
      <c r="B4101" s="17">
        <v>53805.16</v>
      </c>
      <c r="C4101" s="18">
        <v>36807860413</v>
      </c>
      <c r="D4101" s="21">
        <f t="shared" si="10"/>
        <v>249536593284</v>
      </c>
    </row>
    <row r="4102" spans="1:4" ht="14">
      <c r="A4102" s="16">
        <v>44477</v>
      </c>
      <c r="B4102" s="17">
        <v>53933.53</v>
      </c>
      <c r="C4102" s="18">
        <v>34800873924</v>
      </c>
      <c r="D4102" s="21">
        <f t="shared" si="10"/>
        <v>255202771772</v>
      </c>
    </row>
    <row r="4103" spans="1:4" ht="14">
      <c r="A4103" s="16">
        <v>44478</v>
      </c>
      <c r="B4103" s="17">
        <v>55010.92</v>
      </c>
      <c r="C4103" s="18">
        <v>32491211414</v>
      </c>
      <c r="D4103" s="21">
        <f t="shared" si="10"/>
        <v>247153004114</v>
      </c>
    </row>
    <row r="4104" spans="1:4" ht="14">
      <c r="A4104" s="16">
        <v>44479</v>
      </c>
      <c r="B4104" s="17">
        <v>54701.279999999999</v>
      </c>
      <c r="C4104" s="18">
        <v>39527792364</v>
      </c>
      <c r="D4104" s="21">
        <f t="shared" si="10"/>
        <v>249029869036</v>
      </c>
    </row>
    <row r="4105" spans="1:4" ht="14">
      <c r="A4105" s="16">
        <v>44480</v>
      </c>
      <c r="B4105" s="17">
        <v>57289.19</v>
      </c>
      <c r="C4105" s="18">
        <v>42637331698</v>
      </c>
      <c r="D4105" s="21">
        <f t="shared" si="10"/>
        <v>261919545521</v>
      </c>
    </row>
    <row r="4106" spans="1:4" ht="14">
      <c r="A4106" s="16">
        <v>44481</v>
      </c>
      <c r="B4106" s="17">
        <v>56196.18</v>
      </c>
      <c r="C4106" s="18">
        <v>41083758949</v>
      </c>
      <c r="D4106" s="21">
        <f t="shared" si="10"/>
        <v>271173704217</v>
      </c>
    </row>
    <row r="4107" spans="1:4" ht="14">
      <c r="A4107" s="16">
        <v>44482</v>
      </c>
      <c r="B4107" s="17">
        <v>57348.89</v>
      </c>
      <c r="C4107" s="18">
        <v>41684252783</v>
      </c>
      <c r="D4107" s="21">
        <f t="shared" si="10"/>
        <v>276383558930</v>
      </c>
    </row>
    <row r="4108" spans="1:4" ht="14">
      <c r="A4108" s="16">
        <v>44483</v>
      </c>
      <c r="B4108" s="17">
        <v>57384.04</v>
      </c>
      <c r="C4108" s="18">
        <v>36615791366</v>
      </c>
      <c r="D4108" s="21">
        <f t="shared" si="10"/>
        <v>269033081545</v>
      </c>
    </row>
    <row r="4109" spans="1:4" ht="14">
      <c r="A4109" s="16">
        <v>44484</v>
      </c>
      <c r="B4109" s="17">
        <v>61446.080000000002</v>
      </c>
      <c r="C4109" s="18">
        <v>51780081801</v>
      </c>
      <c r="D4109" s="21">
        <f t="shared" si="10"/>
        <v>268841012498</v>
      </c>
    </row>
    <row r="4110" spans="1:4" ht="14">
      <c r="A4110" s="16">
        <v>44485</v>
      </c>
      <c r="B4110" s="17">
        <v>60932.06</v>
      </c>
      <c r="C4110" s="18">
        <v>34250964237</v>
      </c>
      <c r="D4110" s="21">
        <f t="shared" si="10"/>
        <v>285820220375</v>
      </c>
    </row>
    <row r="4111" spans="1:4" ht="14">
      <c r="A4111" s="16">
        <v>44486</v>
      </c>
      <c r="B4111" s="17">
        <v>61462.22</v>
      </c>
      <c r="C4111" s="18">
        <v>29032367511</v>
      </c>
      <c r="D4111" s="21">
        <f t="shared" si="10"/>
        <v>287579973198</v>
      </c>
    </row>
    <row r="4112" spans="1:4" ht="14">
      <c r="A4112" s="16">
        <v>44487</v>
      </c>
      <c r="B4112" s="17">
        <v>61977.06</v>
      </c>
      <c r="C4112" s="18">
        <v>38055562075</v>
      </c>
      <c r="D4112" s="21">
        <f t="shared" si="10"/>
        <v>277084548345</v>
      </c>
    </row>
    <row r="4113" spans="1:4" ht="14">
      <c r="A4113" s="16">
        <v>44488</v>
      </c>
      <c r="B4113" s="17">
        <v>64290.9</v>
      </c>
      <c r="C4113" s="18">
        <v>40471196346</v>
      </c>
      <c r="D4113" s="21">
        <f t="shared" si="10"/>
        <v>272502778722</v>
      </c>
    </row>
    <row r="4114" spans="1:4" ht="14">
      <c r="A4114" s="16">
        <v>44489</v>
      </c>
      <c r="B4114" s="17">
        <v>66061.8</v>
      </c>
      <c r="C4114" s="18">
        <v>40788955582</v>
      </c>
      <c r="D4114" s="21">
        <f t="shared" si="10"/>
        <v>271890216119</v>
      </c>
    </row>
    <row r="4115" spans="1:4" ht="14">
      <c r="A4115" s="16">
        <v>44490</v>
      </c>
      <c r="B4115" s="17">
        <v>62373.89</v>
      </c>
      <c r="C4115" s="18">
        <v>45908121370</v>
      </c>
      <c r="D4115" s="21">
        <f t="shared" si="10"/>
        <v>270994918918</v>
      </c>
    </row>
    <row r="4116" spans="1:4" ht="14">
      <c r="A4116" s="16">
        <v>44491</v>
      </c>
      <c r="B4116" s="17">
        <v>60750.97</v>
      </c>
      <c r="C4116" s="18">
        <v>38434082775</v>
      </c>
      <c r="D4116" s="21">
        <f t="shared" si="10"/>
        <v>280287248922</v>
      </c>
    </row>
    <row r="4117" spans="1:4" ht="14">
      <c r="A4117" s="16">
        <v>44492</v>
      </c>
      <c r="B4117" s="17">
        <v>61250.080000000002</v>
      </c>
      <c r="C4117" s="18">
        <v>26882546034</v>
      </c>
      <c r="D4117" s="21">
        <f t="shared" si="10"/>
        <v>266941249896</v>
      </c>
    </row>
    <row r="4118" spans="1:4" ht="14">
      <c r="A4118" s="16">
        <v>44493</v>
      </c>
      <c r="B4118" s="17">
        <v>60865.45</v>
      </c>
      <c r="C4118" s="18">
        <v>27316183882</v>
      </c>
      <c r="D4118" s="21">
        <f t="shared" si="10"/>
        <v>259572831693</v>
      </c>
    </row>
    <row r="4119" spans="1:4" ht="14">
      <c r="A4119" s="16">
        <v>44494</v>
      </c>
      <c r="B4119" s="17">
        <v>63031.67</v>
      </c>
      <c r="C4119" s="18">
        <v>31064911614</v>
      </c>
      <c r="D4119" s="21">
        <f t="shared" si="10"/>
        <v>257856648064</v>
      </c>
    </row>
    <row r="4120" spans="1:4" ht="14">
      <c r="A4120" s="16">
        <v>44495</v>
      </c>
      <c r="B4120" s="17">
        <v>60393.98</v>
      </c>
      <c r="C4120" s="18">
        <v>34878965587</v>
      </c>
      <c r="D4120" s="21">
        <f t="shared" si="10"/>
        <v>250865997603</v>
      </c>
    </row>
    <row r="4121" spans="1:4" ht="14">
      <c r="A4121" s="16">
        <v>44496</v>
      </c>
      <c r="B4121" s="17">
        <v>58563.34</v>
      </c>
      <c r="C4121" s="18">
        <v>43657076893</v>
      </c>
      <c r="D4121" s="21">
        <f t="shared" si="10"/>
        <v>245273766844</v>
      </c>
    </row>
    <row r="4122" spans="1:4" ht="14">
      <c r="A4122" s="16">
        <v>44497</v>
      </c>
      <c r="B4122" s="17">
        <v>60564.57</v>
      </c>
      <c r="C4122" s="18">
        <v>45257083247</v>
      </c>
      <c r="D4122" s="21">
        <f t="shared" si="10"/>
        <v>248141888155</v>
      </c>
    </row>
    <row r="4123" spans="1:4" ht="14">
      <c r="A4123" s="16">
        <v>44498</v>
      </c>
      <c r="B4123" s="17">
        <v>62230.81</v>
      </c>
      <c r="C4123" s="18">
        <v>36856881767</v>
      </c>
      <c r="D4123" s="21">
        <f t="shared" si="10"/>
        <v>247490850032</v>
      </c>
    </row>
    <row r="4124" spans="1:4" ht="14">
      <c r="A4124" s="16">
        <v>44499</v>
      </c>
      <c r="B4124" s="17">
        <v>61742.92</v>
      </c>
      <c r="C4124" s="18">
        <v>32157938616</v>
      </c>
      <c r="D4124" s="21">
        <f t="shared" si="10"/>
        <v>245913649024</v>
      </c>
    </row>
    <row r="4125" spans="1:4" ht="14">
      <c r="A4125" s="16">
        <v>44500</v>
      </c>
      <c r="B4125" s="17">
        <v>61432.97</v>
      </c>
      <c r="C4125" s="18">
        <v>32241199927</v>
      </c>
      <c r="D4125" s="21">
        <f t="shared" si="10"/>
        <v>251189041606</v>
      </c>
    </row>
    <row r="4126" spans="1:4" ht="14">
      <c r="A4126" s="16">
        <v>44501</v>
      </c>
      <c r="B4126" s="17">
        <v>61092.1</v>
      </c>
      <c r="C4126" s="18">
        <v>36150572843</v>
      </c>
      <c r="D4126" s="21">
        <f t="shared" si="10"/>
        <v>256114057651</v>
      </c>
    </row>
    <row r="4127" spans="1:4" ht="14">
      <c r="A4127" s="16">
        <v>44502</v>
      </c>
      <c r="B4127" s="17">
        <v>63024.75</v>
      </c>
      <c r="C4127" s="18">
        <v>37746665647</v>
      </c>
      <c r="D4127" s="21">
        <f t="shared" si="10"/>
        <v>261199718880</v>
      </c>
    </row>
    <row r="4128" spans="1:4" ht="14">
      <c r="A4128" s="16">
        <v>44503</v>
      </c>
      <c r="B4128" s="17">
        <v>62955.98</v>
      </c>
      <c r="C4128" s="18">
        <v>36124731509</v>
      </c>
      <c r="D4128" s="21">
        <f t="shared" si="10"/>
        <v>264067418940</v>
      </c>
    </row>
    <row r="4129" spans="1:4" ht="14">
      <c r="A4129" s="16">
        <v>44504</v>
      </c>
      <c r="B4129" s="17">
        <v>61393.89</v>
      </c>
      <c r="C4129" s="18">
        <v>32615846901</v>
      </c>
      <c r="D4129" s="21">
        <f t="shared" si="10"/>
        <v>256535073556</v>
      </c>
    </row>
    <row r="4130" spans="1:4" ht="14">
      <c r="A4130" s="16">
        <v>44505</v>
      </c>
      <c r="B4130" s="17">
        <v>61005.84</v>
      </c>
      <c r="C4130" s="18">
        <v>30605102446</v>
      </c>
      <c r="D4130" s="21">
        <f t="shared" si="10"/>
        <v>243893837210</v>
      </c>
    </row>
    <row r="4131" spans="1:4" ht="14">
      <c r="A4131" s="16">
        <v>44506</v>
      </c>
      <c r="B4131" s="17">
        <v>61455.05</v>
      </c>
      <c r="C4131" s="18">
        <v>29094934221</v>
      </c>
      <c r="D4131" s="21">
        <f t="shared" si="10"/>
        <v>237642057889</v>
      </c>
    </row>
    <row r="4132" spans="1:4" ht="14">
      <c r="A4132" s="16">
        <v>44507</v>
      </c>
      <c r="B4132" s="17">
        <v>63043.83</v>
      </c>
      <c r="C4132" s="18">
        <v>24726754302</v>
      </c>
      <c r="D4132" s="21">
        <f t="shared" si="10"/>
        <v>234579053494</v>
      </c>
    </row>
    <row r="4133" spans="1:4" ht="14">
      <c r="A4133" s="16">
        <v>44508</v>
      </c>
      <c r="B4133" s="17">
        <v>67541.759999999995</v>
      </c>
      <c r="C4133" s="18">
        <v>41125608330</v>
      </c>
      <c r="D4133" s="21">
        <f t="shared" si="10"/>
        <v>227064607869</v>
      </c>
    </row>
    <row r="4134" spans="1:4" ht="14">
      <c r="A4134" s="16">
        <v>44509</v>
      </c>
      <c r="B4134" s="17">
        <v>67095.59</v>
      </c>
      <c r="C4134" s="18">
        <v>42357991721</v>
      </c>
      <c r="D4134" s="21">
        <f t="shared" si="10"/>
        <v>232039643356</v>
      </c>
    </row>
    <row r="4135" spans="1:4" ht="14">
      <c r="A4135" s="16">
        <v>44510</v>
      </c>
      <c r="B4135" s="17">
        <v>64756.08</v>
      </c>
      <c r="C4135" s="18">
        <v>48730828378</v>
      </c>
      <c r="D4135" s="21">
        <f t="shared" si="10"/>
        <v>236650969430</v>
      </c>
    </row>
    <row r="4136" spans="1:4" ht="14">
      <c r="A4136" s="16">
        <v>44511</v>
      </c>
      <c r="B4136" s="17">
        <v>64962.93</v>
      </c>
      <c r="C4136" s="18">
        <v>35880633236</v>
      </c>
      <c r="D4136" s="21">
        <f t="shared" si="10"/>
        <v>249257066299</v>
      </c>
    </row>
    <row r="4137" spans="1:4" ht="14">
      <c r="A4137" s="16">
        <v>44512</v>
      </c>
      <c r="B4137" s="17">
        <v>64078.97</v>
      </c>
      <c r="C4137" s="18">
        <v>36084893887</v>
      </c>
      <c r="D4137" s="21">
        <f t="shared" si="10"/>
        <v>252521852634</v>
      </c>
    </row>
    <row r="4138" spans="1:4" ht="14">
      <c r="A4138" s="16">
        <v>44513</v>
      </c>
      <c r="B4138" s="17">
        <v>64397.79</v>
      </c>
      <c r="C4138" s="18">
        <v>30474228777</v>
      </c>
      <c r="D4138" s="21">
        <f t="shared" si="10"/>
        <v>258001644075</v>
      </c>
    </row>
    <row r="4139" spans="1:4" ht="14">
      <c r="A4139" s="16">
        <v>44514</v>
      </c>
      <c r="B4139" s="17">
        <v>65032.23</v>
      </c>
      <c r="C4139" s="18">
        <v>25122092191</v>
      </c>
      <c r="D4139" s="21">
        <f t="shared" si="10"/>
        <v>259380938631</v>
      </c>
    </row>
    <row r="4140" spans="1:4" ht="14">
      <c r="A4140" s="16">
        <v>44515</v>
      </c>
      <c r="B4140" s="17">
        <v>63753.5</v>
      </c>
      <c r="C4140" s="18">
        <v>30558763548</v>
      </c>
      <c r="D4140" s="21">
        <f t="shared" si="10"/>
        <v>259776276520</v>
      </c>
    </row>
    <row r="4141" spans="1:4" ht="14">
      <c r="A4141" s="16">
        <v>44516</v>
      </c>
      <c r="B4141" s="17">
        <v>60322.5</v>
      </c>
      <c r="C4141" s="18">
        <v>46844335592</v>
      </c>
      <c r="D4141" s="21">
        <f t="shared" si="10"/>
        <v>249209431738</v>
      </c>
    </row>
    <row r="4142" spans="1:4" ht="14">
      <c r="A4142" s="16">
        <v>44517</v>
      </c>
      <c r="B4142" s="17">
        <v>60154.31</v>
      </c>
      <c r="C4142" s="18">
        <v>39178392930</v>
      </c>
      <c r="D4142" s="21">
        <f t="shared" si="10"/>
        <v>253695775609</v>
      </c>
    </row>
    <row r="4143" spans="1:4" ht="14">
      <c r="A4143" s="16">
        <v>44518</v>
      </c>
      <c r="B4143" s="17">
        <v>56794.16</v>
      </c>
      <c r="C4143" s="18">
        <v>41388338699</v>
      </c>
      <c r="D4143" s="21">
        <f t="shared" si="10"/>
        <v>244143340161</v>
      </c>
    </row>
    <row r="4144" spans="1:4" ht="14">
      <c r="A4144" s="16">
        <v>44519</v>
      </c>
      <c r="B4144" s="17">
        <v>58014.07</v>
      </c>
      <c r="C4144" s="18">
        <v>38702407772</v>
      </c>
      <c r="D4144" s="21">
        <f t="shared" si="10"/>
        <v>249651045624</v>
      </c>
    </row>
    <row r="4145" spans="1:4" ht="14">
      <c r="A4145" s="16">
        <v>44520</v>
      </c>
      <c r="B4145" s="17">
        <v>59749.47</v>
      </c>
      <c r="C4145" s="18">
        <v>30624264863</v>
      </c>
      <c r="D4145" s="21">
        <f t="shared" si="10"/>
        <v>252268559509</v>
      </c>
    </row>
    <row r="4146" spans="1:4" ht="14">
      <c r="A4146" s="16">
        <v>44521</v>
      </c>
      <c r="B4146" s="17">
        <v>59032.62</v>
      </c>
      <c r="C4146" s="18">
        <v>26123447605</v>
      </c>
      <c r="D4146" s="21">
        <f t="shared" si="10"/>
        <v>252418595595</v>
      </c>
    </row>
    <row r="4147" spans="1:4" ht="14">
      <c r="A4147" s="16">
        <v>44522</v>
      </c>
      <c r="B4147" s="17">
        <v>56383.57</v>
      </c>
      <c r="C4147" s="18">
        <v>35036121783</v>
      </c>
      <c r="D4147" s="21">
        <f t="shared" si="10"/>
        <v>253419951009</v>
      </c>
    </row>
    <row r="4148" spans="1:4" ht="14">
      <c r="A4148" s="16">
        <v>44523</v>
      </c>
      <c r="B4148" s="17">
        <v>57642.27</v>
      </c>
      <c r="C4148" s="18">
        <v>37485803899</v>
      </c>
      <c r="D4148" s="21">
        <f t="shared" si="10"/>
        <v>257897309244</v>
      </c>
    </row>
    <row r="4149" spans="1:4" ht="14">
      <c r="A4149" s="16">
        <v>44524</v>
      </c>
      <c r="B4149" s="17">
        <v>57141.83</v>
      </c>
      <c r="C4149" s="18">
        <v>36635566789</v>
      </c>
      <c r="D4149" s="21">
        <f t="shared" si="10"/>
        <v>248538777551</v>
      </c>
    </row>
    <row r="4150" spans="1:4" ht="14">
      <c r="A4150" s="16">
        <v>44525</v>
      </c>
      <c r="B4150" s="17">
        <v>59008.66</v>
      </c>
      <c r="C4150" s="18">
        <v>34284016248</v>
      </c>
      <c r="D4150" s="21">
        <f t="shared" si="10"/>
        <v>245995951410</v>
      </c>
    </row>
    <row r="4151" spans="1:4" ht="14">
      <c r="A4151" s="16">
        <v>44526</v>
      </c>
      <c r="B4151" s="17">
        <v>53800.62</v>
      </c>
      <c r="C4151" s="18">
        <v>41810748221</v>
      </c>
      <c r="D4151" s="21">
        <f t="shared" si="10"/>
        <v>238891628959</v>
      </c>
    </row>
    <row r="4152" spans="1:4" ht="14">
      <c r="A4152" s="16">
        <v>44527</v>
      </c>
      <c r="B4152" s="17">
        <v>54635.88</v>
      </c>
      <c r="C4152" s="18">
        <v>30560857714</v>
      </c>
      <c r="D4152" s="21">
        <f t="shared" si="10"/>
        <v>241999969408</v>
      </c>
    </row>
    <row r="4153" spans="1:4" ht="14">
      <c r="A4153" s="16">
        <v>44528</v>
      </c>
      <c r="B4153" s="17">
        <v>57248.57</v>
      </c>
      <c r="C4153" s="18">
        <v>28116886357</v>
      </c>
      <c r="D4153" s="21">
        <f t="shared" si="10"/>
        <v>241936562259</v>
      </c>
    </row>
    <row r="4154" spans="1:4" ht="14">
      <c r="A4154" s="16">
        <v>44529</v>
      </c>
      <c r="B4154" s="17">
        <v>57920.71</v>
      </c>
      <c r="C4154" s="18">
        <v>32370840356</v>
      </c>
      <c r="D4154" s="21">
        <f t="shared" si="10"/>
        <v>243930001011</v>
      </c>
    </row>
    <row r="4155" spans="1:4" ht="14">
      <c r="A4155" s="16">
        <v>44530</v>
      </c>
      <c r="B4155" s="17">
        <v>57097.01</v>
      </c>
      <c r="C4155" s="18">
        <v>36708594618</v>
      </c>
      <c r="D4155" s="21">
        <f t="shared" si="10"/>
        <v>241264719584</v>
      </c>
    </row>
    <row r="4156" spans="1:4" ht="14">
      <c r="A4156" s="16">
        <v>44531</v>
      </c>
      <c r="B4156" s="17">
        <v>57180.61</v>
      </c>
      <c r="C4156" s="18">
        <v>36858195307</v>
      </c>
      <c r="D4156" s="21">
        <f t="shared" si="10"/>
        <v>240487510303</v>
      </c>
    </row>
    <row r="4157" spans="1:4" ht="14">
      <c r="A4157" s="16">
        <v>44532</v>
      </c>
      <c r="B4157" s="17">
        <v>56582.89</v>
      </c>
      <c r="C4157" s="18">
        <v>32379968686</v>
      </c>
      <c r="D4157" s="21">
        <f t="shared" si="10"/>
        <v>240710138821</v>
      </c>
    </row>
    <row r="4158" spans="1:4" ht="14">
      <c r="A4158" s="16">
        <v>44533</v>
      </c>
      <c r="B4158" s="17">
        <v>53671.62</v>
      </c>
      <c r="C4158" s="18">
        <v>39789134215</v>
      </c>
      <c r="D4158" s="21">
        <f t="shared" si="10"/>
        <v>238806091259</v>
      </c>
    </row>
    <row r="4159" spans="1:4" ht="14">
      <c r="A4159" s="16">
        <v>44534</v>
      </c>
      <c r="B4159" s="17">
        <v>49159.74</v>
      </c>
      <c r="C4159" s="18">
        <v>61385677469</v>
      </c>
      <c r="D4159" s="21">
        <f t="shared" si="10"/>
        <v>236784477253</v>
      </c>
    </row>
    <row r="4160" spans="1:4" ht="14">
      <c r="A4160" s="16">
        <v>44535</v>
      </c>
      <c r="B4160" s="17">
        <v>49327.09</v>
      </c>
      <c r="C4160" s="18">
        <v>37198201161</v>
      </c>
      <c r="D4160" s="21">
        <f t="shared" si="10"/>
        <v>267609297008</v>
      </c>
    </row>
    <row r="4161" spans="1:4" ht="14">
      <c r="A4161" s="16">
        <v>44536</v>
      </c>
      <c r="B4161" s="17">
        <v>50535.43</v>
      </c>
      <c r="C4161" s="18">
        <v>37707308001</v>
      </c>
      <c r="D4161" s="21">
        <f t="shared" si="10"/>
        <v>276690611812</v>
      </c>
    </row>
    <row r="4162" spans="1:4" ht="14">
      <c r="A4162" s="16">
        <v>44537</v>
      </c>
      <c r="B4162" s="17">
        <v>50574.47</v>
      </c>
      <c r="C4162" s="18">
        <v>33676814852</v>
      </c>
      <c r="D4162" s="21">
        <f t="shared" si="10"/>
        <v>282027079457</v>
      </c>
    </row>
    <row r="4163" spans="1:4" ht="14">
      <c r="A4163" s="16">
        <v>44538</v>
      </c>
      <c r="B4163" s="17">
        <v>50500.65</v>
      </c>
      <c r="C4163" s="18">
        <v>28479699446</v>
      </c>
      <c r="D4163" s="21">
        <f t="shared" si="10"/>
        <v>278995299691</v>
      </c>
    </row>
    <row r="4164" spans="1:4" ht="14">
      <c r="A4164" s="16">
        <v>44539</v>
      </c>
      <c r="B4164" s="17">
        <v>47937.82</v>
      </c>
      <c r="C4164" s="18">
        <v>29603577251</v>
      </c>
      <c r="D4164" s="21">
        <f t="shared" si="10"/>
        <v>270616803830</v>
      </c>
    </row>
    <row r="4165" spans="1:4" ht="14">
      <c r="A4165" s="16">
        <v>44540</v>
      </c>
      <c r="B4165" s="17">
        <v>47437.23</v>
      </c>
      <c r="C4165" s="18">
        <v>30966005122</v>
      </c>
      <c r="D4165" s="21">
        <f t="shared" si="10"/>
        <v>267840412395</v>
      </c>
    </row>
    <row r="4166" spans="1:4" ht="14">
      <c r="A4166" s="16">
        <v>44541</v>
      </c>
      <c r="B4166" s="17">
        <v>49321.77</v>
      </c>
      <c r="C4166" s="18">
        <v>25775869261</v>
      </c>
      <c r="D4166" s="21">
        <f t="shared" si="10"/>
        <v>259017283302</v>
      </c>
    </row>
    <row r="4167" spans="1:4" ht="14">
      <c r="A4167" s="16">
        <v>44542</v>
      </c>
      <c r="B4167" s="17">
        <v>50136.57</v>
      </c>
      <c r="C4167" s="18">
        <v>21939223599</v>
      </c>
      <c r="D4167" s="21">
        <f t="shared" si="10"/>
        <v>223407475094</v>
      </c>
    </row>
    <row r="4168" spans="1:4" ht="14">
      <c r="A4168" s="16">
        <v>44543</v>
      </c>
      <c r="B4168" s="17">
        <v>46785.33</v>
      </c>
      <c r="C4168" s="18">
        <v>32166727776</v>
      </c>
      <c r="D4168" s="21">
        <f t="shared" si="10"/>
        <v>208148497532</v>
      </c>
    </row>
    <row r="4169" spans="1:4" ht="14">
      <c r="A4169" s="16">
        <v>44544</v>
      </c>
      <c r="B4169" s="17">
        <v>48292.68</v>
      </c>
      <c r="C4169" s="18">
        <v>34638619079</v>
      </c>
      <c r="D4169" s="21">
        <f t="shared" si="10"/>
        <v>202607917307</v>
      </c>
    </row>
    <row r="4170" spans="1:4" ht="14">
      <c r="A4170" s="16">
        <v>44545</v>
      </c>
      <c r="B4170" s="17">
        <v>48830.62</v>
      </c>
      <c r="C4170" s="18">
        <v>36541828520</v>
      </c>
      <c r="D4170" s="21">
        <f t="shared" si="10"/>
        <v>203569721534</v>
      </c>
    </row>
    <row r="4171" spans="1:4" ht="14">
      <c r="A4171" s="16">
        <v>44546</v>
      </c>
      <c r="B4171" s="17">
        <v>47663.47</v>
      </c>
      <c r="C4171" s="18">
        <v>27268150947</v>
      </c>
      <c r="D4171" s="21">
        <f t="shared" si="10"/>
        <v>211631850608</v>
      </c>
    </row>
    <row r="4172" spans="1:4" ht="14">
      <c r="A4172" s="16">
        <v>44547</v>
      </c>
      <c r="B4172" s="17">
        <v>46334.48</v>
      </c>
      <c r="C4172" s="18">
        <v>32902725329</v>
      </c>
      <c r="D4172" s="21">
        <f t="shared" si="10"/>
        <v>209296424304</v>
      </c>
    </row>
    <row r="4173" spans="1:4" ht="14">
      <c r="A4173" s="16">
        <v>44548</v>
      </c>
      <c r="B4173" s="17">
        <v>46904.87</v>
      </c>
      <c r="C4173" s="18">
        <v>26098292690</v>
      </c>
      <c r="D4173" s="21">
        <f t="shared" si="10"/>
        <v>211233144511</v>
      </c>
    </row>
    <row r="4174" spans="1:4" ht="14">
      <c r="A4174" s="16">
        <v>44549</v>
      </c>
      <c r="B4174" s="17">
        <v>46876.43</v>
      </c>
      <c r="C4174" s="18">
        <v>25154053861</v>
      </c>
      <c r="D4174" s="21">
        <f t="shared" si="10"/>
        <v>211555567940</v>
      </c>
    </row>
    <row r="4175" spans="1:4" ht="14">
      <c r="A4175" s="16">
        <v>44550</v>
      </c>
      <c r="B4175" s="17">
        <v>46954.76</v>
      </c>
      <c r="C4175" s="18">
        <v>30961902129</v>
      </c>
      <c r="D4175" s="21">
        <f t="shared" si="10"/>
        <v>214770398202</v>
      </c>
    </row>
    <row r="4176" spans="1:4" ht="14">
      <c r="A4176" s="16">
        <v>44551</v>
      </c>
      <c r="B4176" s="17">
        <v>48902</v>
      </c>
      <c r="C4176" s="18">
        <v>27055803928</v>
      </c>
      <c r="D4176" s="21">
        <f t="shared" si="10"/>
        <v>213565572555</v>
      </c>
    </row>
    <row r="4177" spans="1:4" ht="14">
      <c r="A4177" s="16">
        <v>44552</v>
      </c>
      <c r="B4177" s="17">
        <v>48756</v>
      </c>
      <c r="C4177" s="18">
        <v>24447979559</v>
      </c>
      <c r="D4177" s="21">
        <f t="shared" si="10"/>
        <v>205982757404</v>
      </c>
    </row>
    <row r="4178" spans="1:4" ht="14">
      <c r="A4178" s="16">
        <v>44553</v>
      </c>
      <c r="B4178" s="17">
        <v>50901</v>
      </c>
      <c r="C4178" s="18">
        <v>28223878108</v>
      </c>
      <c r="D4178" s="21">
        <f t="shared" si="10"/>
        <v>193888908443</v>
      </c>
    </row>
    <row r="4179" spans="1:4" ht="14">
      <c r="A4179" s="16">
        <v>44554</v>
      </c>
      <c r="B4179" s="17">
        <v>50889</v>
      </c>
      <c r="C4179" s="18">
        <v>24367912228</v>
      </c>
      <c r="D4179" s="21">
        <f t="shared" si="10"/>
        <v>194844635604</v>
      </c>
    </row>
    <row r="4180" spans="1:4" ht="14">
      <c r="A4180" s="16">
        <v>44555</v>
      </c>
      <c r="B4180" s="17">
        <v>50663</v>
      </c>
      <c r="C4180" s="18">
        <v>19030650914</v>
      </c>
      <c r="D4180" s="21">
        <f t="shared" si="10"/>
        <v>186309822503</v>
      </c>
    </row>
    <row r="4181" spans="1:4" ht="14">
      <c r="A4181" s="16">
        <v>44556</v>
      </c>
      <c r="B4181" s="17">
        <v>50853</v>
      </c>
      <c r="C4181" s="18">
        <v>20964372926</v>
      </c>
      <c r="D4181" s="21">
        <f t="shared" si="10"/>
        <v>179242180727</v>
      </c>
    </row>
    <row r="4182" spans="1:4" ht="14">
      <c r="A4182" s="16">
        <v>44557</v>
      </c>
      <c r="B4182" s="17">
        <v>50774</v>
      </c>
      <c r="C4182" s="18">
        <v>24324345758</v>
      </c>
      <c r="D4182" s="21">
        <f t="shared" si="10"/>
        <v>175052499792</v>
      </c>
    </row>
    <row r="4183" spans="1:4" ht="14">
      <c r="A4183" s="16">
        <v>44558</v>
      </c>
      <c r="B4183" s="17">
        <v>47673.04</v>
      </c>
      <c r="C4183" s="18">
        <v>33430376883</v>
      </c>
      <c r="D4183" s="21">
        <f t="shared" si="10"/>
        <v>168414943421</v>
      </c>
    </row>
    <row r="4184" spans="1:4" ht="14">
      <c r="A4184" s="16">
        <v>44559</v>
      </c>
      <c r="B4184" s="17">
        <v>46470</v>
      </c>
      <c r="C4184" s="18">
        <v>30049226299</v>
      </c>
      <c r="D4184" s="21">
        <f t="shared" si="10"/>
        <v>174789516376</v>
      </c>
    </row>
    <row r="4185" spans="1:4" ht="14">
      <c r="A4185" s="16">
        <v>44560</v>
      </c>
      <c r="B4185" s="17">
        <v>47102</v>
      </c>
      <c r="C4185" s="18">
        <v>26686491018</v>
      </c>
      <c r="D4185" s="21">
        <f t="shared" si="10"/>
        <v>180390763116</v>
      </c>
    </row>
    <row r="4186" spans="1:4" ht="14">
      <c r="A4186" s="16">
        <v>44561</v>
      </c>
      <c r="B4186" s="17">
        <v>46355.12</v>
      </c>
      <c r="C4186" s="18">
        <v>36974172400</v>
      </c>
      <c r="D4186" s="21">
        <f t="shared" si="10"/>
        <v>178853376026</v>
      </c>
    </row>
    <row r="4187" spans="1:4" ht="14">
      <c r="A4187" s="16">
        <v>44562</v>
      </c>
      <c r="B4187" s="17">
        <v>47560.01</v>
      </c>
      <c r="C4187" s="18">
        <v>24582667004</v>
      </c>
      <c r="D4187" s="21">
        <f t="shared" si="10"/>
        <v>191459636198</v>
      </c>
    </row>
    <row r="4188" spans="1:4" ht="14">
      <c r="A4188" s="16">
        <v>44563</v>
      </c>
      <c r="B4188" s="17">
        <v>47352.56</v>
      </c>
      <c r="C4188" s="18">
        <v>27951569547</v>
      </c>
      <c r="D4188" s="21">
        <f t="shared" si="10"/>
        <v>197011652288</v>
      </c>
    </row>
    <row r="4189" spans="1:4" ht="14">
      <c r="A4189" s="16">
        <v>44564</v>
      </c>
      <c r="B4189" s="17">
        <v>46453.43</v>
      </c>
      <c r="C4189" s="18">
        <v>33071628362</v>
      </c>
      <c r="D4189" s="21">
        <f t="shared" si="10"/>
        <v>203998848909</v>
      </c>
    </row>
    <row r="4190" spans="1:4" ht="14">
      <c r="A4190" s="16">
        <v>44565</v>
      </c>
      <c r="B4190" s="17">
        <v>45906</v>
      </c>
      <c r="C4190" s="18">
        <v>42494677905</v>
      </c>
      <c r="D4190" s="21">
        <f t="shared" si="10"/>
        <v>212746131513</v>
      </c>
    </row>
    <row r="4191" spans="1:4" ht="14">
      <c r="A4191" s="16">
        <v>44566</v>
      </c>
      <c r="B4191" s="17">
        <v>43530.94</v>
      </c>
      <c r="C4191" s="18">
        <v>36851084859</v>
      </c>
      <c r="D4191" s="21">
        <f t="shared" si="10"/>
        <v>221810432535</v>
      </c>
    </row>
    <row r="4192" spans="1:4" ht="14">
      <c r="A4192" s="16">
        <v>44567</v>
      </c>
      <c r="B4192" s="17">
        <v>43144.97</v>
      </c>
      <c r="C4192" s="18">
        <v>30208048289</v>
      </c>
      <c r="D4192" s="21">
        <f t="shared" si="10"/>
        <v>228612291095</v>
      </c>
    </row>
    <row r="4193" spans="1:4" ht="14">
      <c r="A4193" s="16">
        <v>44568</v>
      </c>
      <c r="B4193" s="17">
        <v>41512.78</v>
      </c>
      <c r="C4193" s="18">
        <v>84196607520</v>
      </c>
      <c r="D4193" s="21">
        <f t="shared" si="10"/>
        <v>232133848366</v>
      </c>
    </row>
    <row r="4194" spans="1:4" ht="14">
      <c r="A4194" s="16">
        <v>44569</v>
      </c>
      <c r="B4194" s="17">
        <v>41690.769999999997</v>
      </c>
      <c r="C4194" s="18">
        <v>28066355845</v>
      </c>
      <c r="D4194" s="21">
        <f t="shared" si="10"/>
        <v>279356283486</v>
      </c>
    </row>
    <row r="4195" spans="1:4" ht="14">
      <c r="A4195" s="16">
        <v>44570</v>
      </c>
      <c r="B4195" s="17">
        <v>41886.5</v>
      </c>
      <c r="C4195" s="18">
        <v>21294384372</v>
      </c>
      <c r="D4195" s="21">
        <f t="shared" si="10"/>
        <v>282839972327</v>
      </c>
    </row>
    <row r="4196" spans="1:4" ht="14">
      <c r="A4196" s="16">
        <v>44571</v>
      </c>
      <c r="B4196" s="17">
        <v>41817</v>
      </c>
      <c r="C4196" s="18">
        <v>32104232331</v>
      </c>
      <c r="D4196" s="21">
        <f t="shared" si="10"/>
        <v>276182787152</v>
      </c>
    </row>
    <row r="4197" spans="1:4" ht="14">
      <c r="A4197" s="16">
        <v>44572</v>
      </c>
      <c r="B4197" s="17">
        <v>42768.18</v>
      </c>
      <c r="C4197" s="18">
        <v>26327648900</v>
      </c>
      <c r="D4197" s="21">
        <f t="shared" si="10"/>
        <v>275215391121</v>
      </c>
    </row>
    <row r="4198" spans="1:4" ht="14">
      <c r="A4198" s="16">
        <v>44573</v>
      </c>
      <c r="B4198" s="17">
        <v>43961</v>
      </c>
      <c r="C4198" s="18">
        <v>33499938689</v>
      </c>
      <c r="D4198" s="21">
        <f t="shared" si="10"/>
        <v>259048362116</v>
      </c>
    </row>
    <row r="4199" spans="1:4" ht="14">
      <c r="A4199" s="16">
        <v>44574</v>
      </c>
      <c r="B4199" s="17">
        <v>42626.87</v>
      </c>
      <c r="C4199" s="18">
        <v>47691135082</v>
      </c>
      <c r="D4199" s="21">
        <f t="shared" si="10"/>
        <v>255697215946</v>
      </c>
    </row>
    <row r="4200" spans="1:4" ht="14">
      <c r="A4200" s="16">
        <v>44575</v>
      </c>
      <c r="B4200" s="17">
        <v>43102.65</v>
      </c>
      <c r="C4200" s="18">
        <v>23577403399</v>
      </c>
      <c r="D4200" s="21">
        <f t="shared" si="10"/>
        <v>273180302739</v>
      </c>
    </row>
    <row r="4201" spans="1:4" ht="14">
      <c r="A4201" s="16">
        <v>44576</v>
      </c>
      <c r="B4201" s="17">
        <v>43206.67</v>
      </c>
      <c r="C4201" s="18">
        <v>18371348298</v>
      </c>
      <c r="D4201" s="21">
        <f t="shared" si="10"/>
        <v>212561098618</v>
      </c>
    </row>
    <row r="4202" spans="1:4" ht="14">
      <c r="A4202" s="16">
        <v>44577</v>
      </c>
      <c r="B4202" s="17">
        <v>43168.86</v>
      </c>
      <c r="C4202" s="18">
        <v>17902097845</v>
      </c>
      <c r="D4202" s="21">
        <f t="shared" si="10"/>
        <v>202866091071</v>
      </c>
    </row>
    <row r="4203" spans="1:4" ht="14">
      <c r="A4203" s="16">
        <v>44578</v>
      </c>
      <c r="B4203" s="17">
        <v>42211.27</v>
      </c>
      <c r="C4203" s="18">
        <v>21692352512</v>
      </c>
      <c r="D4203" s="21">
        <f t="shared" si="10"/>
        <v>199473804544</v>
      </c>
    </row>
    <row r="4204" spans="1:4" ht="14">
      <c r="A4204" s="16">
        <v>44579</v>
      </c>
      <c r="B4204" s="17">
        <v>42372</v>
      </c>
      <c r="C4204" s="18">
        <v>22417209227</v>
      </c>
      <c r="D4204" s="21">
        <f t="shared" si="10"/>
        <v>189061924725</v>
      </c>
    </row>
    <row r="4205" spans="1:4" ht="14">
      <c r="A4205" s="16">
        <v>44580</v>
      </c>
      <c r="B4205" s="17">
        <v>41787.72</v>
      </c>
      <c r="C4205" s="18">
        <v>23091543258</v>
      </c>
      <c r="D4205" s="21">
        <f t="shared" si="10"/>
        <v>185151485052</v>
      </c>
    </row>
    <row r="4206" spans="1:4" ht="14">
      <c r="A4206" s="16">
        <v>44581</v>
      </c>
      <c r="B4206" s="17">
        <v>40756</v>
      </c>
      <c r="C4206" s="18">
        <v>20382033940</v>
      </c>
      <c r="D4206" s="21">
        <f t="shared" si="10"/>
        <v>174743089621</v>
      </c>
    </row>
    <row r="4207" spans="1:4" ht="14">
      <c r="A4207" s="16">
        <v>44582</v>
      </c>
      <c r="B4207" s="17">
        <v>36492</v>
      </c>
      <c r="C4207" s="18">
        <v>43011992031</v>
      </c>
      <c r="D4207" s="21">
        <f t="shared" si="10"/>
        <v>147433988479</v>
      </c>
    </row>
    <row r="4208" spans="1:4" ht="14">
      <c r="A4208" s="16">
        <v>44583</v>
      </c>
      <c r="B4208" s="17">
        <v>34996</v>
      </c>
      <c r="C4208" s="18">
        <v>39714385405</v>
      </c>
      <c r="D4208" s="21">
        <f t="shared" si="10"/>
        <v>166868577111</v>
      </c>
    </row>
    <row r="4209" spans="1:4" ht="14">
      <c r="A4209" s="16">
        <v>44584</v>
      </c>
      <c r="B4209" s="17">
        <v>36271</v>
      </c>
      <c r="C4209" s="18">
        <v>26017975951</v>
      </c>
      <c r="D4209" s="21">
        <f t="shared" si="10"/>
        <v>188211614218</v>
      </c>
    </row>
    <row r="4210" spans="1:4" ht="14">
      <c r="A4210" s="16">
        <v>44585</v>
      </c>
      <c r="B4210" s="17">
        <v>36660</v>
      </c>
      <c r="C4210" s="18">
        <v>41856658597</v>
      </c>
      <c r="D4210" s="21">
        <f t="shared" si="10"/>
        <v>196327492324</v>
      </c>
    </row>
    <row r="4211" spans="1:4" ht="14">
      <c r="A4211" s="16">
        <v>44586</v>
      </c>
      <c r="B4211" s="17">
        <v>36952.589999999997</v>
      </c>
      <c r="C4211" s="18">
        <v>26428189594</v>
      </c>
      <c r="D4211" s="21">
        <f t="shared" si="10"/>
        <v>216491798409</v>
      </c>
    </row>
    <row r="4212" spans="1:4" ht="14">
      <c r="A4212" s="16">
        <v>44587</v>
      </c>
      <c r="B4212" s="17">
        <v>36826</v>
      </c>
      <c r="C4212" s="18">
        <v>31324598034</v>
      </c>
      <c r="D4212" s="21">
        <f t="shared" si="10"/>
        <v>220502778776</v>
      </c>
    </row>
    <row r="4213" spans="1:4" ht="14">
      <c r="A4213" s="16">
        <v>44588</v>
      </c>
      <c r="B4213" s="17">
        <v>37021.94</v>
      </c>
      <c r="C4213" s="18">
        <v>25041426629</v>
      </c>
      <c r="D4213" s="21">
        <f t="shared" si="10"/>
        <v>228735833552</v>
      </c>
    </row>
    <row r="4214" spans="1:4" ht="14">
      <c r="A4214" s="16">
        <v>44589</v>
      </c>
      <c r="B4214" s="17">
        <v>37768.85</v>
      </c>
      <c r="C4214" s="18">
        <v>22238830523</v>
      </c>
      <c r="D4214" s="21">
        <f t="shared" si="10"/>
        <v>233395226241</v>
      </c>
    </row>
    <row r="4215" spans="1:4" ht="14">
      <c r="A4215" s="16">
        <v>44590</v>
      </c>
      <c r="B4215" s="17">
        <v>38088</v>
      </c>
      <c r="C4215" s="18">
        <v>17194183075</v>
      </c>
      <c r="D4215" s="21">
        <f t="shared" si="10"/>
        <v>212622064733</v>
      </c>
    </row>
    <row r="4216" spans="1:4" ht="14">
      <c r="A4216" s="16">
        <v>44591</v>
      </c>
      <c r="B4216" s="17">
        <v>37984</v>
      </c>
      <c r="C4216" s="18">
        <v>14643548444</v>
      </c>
      <c r="D4216" s="21">
        <f t="shared" si="10"/>
        <v>190101862403</v>
      </c>
    </row>
    <row r="4217" spans="1:4" ht="14">
      <c r="A4217" s="16">
        <v>44592</v>
      </c>
      <c r="B4217" s="17">
        <v>38463</v>
      </c>
      <c r="C4217" s="18">
        <v>20734730465</v>
      </c>
      <c r="D4217" s="21">
        <f t="shared" si="10"/>
        <v>178727434896</v>
      </c>
    </row>
    <row r="4218" spans="1:4" ht="14">
      <c r="A4218" s="16">
        <v>44593</v>
      </c>
      <c r="B4218" s="17">
        <v>38788</v>
      </c>
      <c r="C4218" s="18">
        <v>20288500328</v>
      </c>
      <c r="D4218" s="21">
        <f t="shared" si="10"/>
        <v>157605506764</v>
      </c>
    </row>
    <row r="4219" spans="1:4" ht="14">
      <c r="A4219" s="16">
        <v>44594</v>
      </c>
      <c r="B4219" s="17">
        <v>36942</v>
      </c>
      <c r="C4219" s="18">
        <v>19155189416</v>
      </c>
      <c r="D4219" s="21">
        <f t="shared" si="10"/>
        <v>151465817498</v>
      </c>
    </row>
    <row r="4220" spans="1:4" ht="14">
      <c r="A4220" s="16">
        <v>44595</v>
      </c>
      <c r="B4220" s="17">
        <v>37057.65</v>
      </c>
      <c r="C4220" s="18">
        <v>18591534769</v>
      </c>
      <c r="D4220" s="21">
        <f t="shared" si="10"/>
        <v>139296408880</v>
      </c>
    </row>
    <row r="4221" spans="1:4" ht="14">
      <c r="A4221" s="16">
        <v>44596</v>
      </c>
      <c r="B4221" s="17">
        <v>41080</v>
      </c>
      <c r="C4221" s="18">
        <v>29412210792</v>
      </c>
      <c r="D4221" s="21">
        <f t="shared" si="10"/>
        <v>132846517020</v>
      </c>
    </row>
    <row r="4222" spans="1:4" ht="14">
      <c r="A4222" s="16">
        <v>44597</v>
      </c>
      <c r="B4222" s="17">
        <v>41509</v>
      </c>
      <c r="C4222" s="18">
        <v>19652846215</v>
      </c>
      <c r="D4222" s="21">
        <f t="shared" si="10"/>
        <v>140019897289</v>
      </c>
    </row>
    <row r="4223" spans="1:4" ht="14">
      <c r="A4223" s="16">
        <v>44598</v>
      </c>
      <c r="B4223" s="17">
        <v>42358.23</v>
      </c>
      <c r="C4223" s="18">
        <v>16142097334</v>
      </c>
      <c r="D4223" s="21">
        <f t="shared" si="10"/>
        <v>142478560429</v>
      </c>
    </row>
    <row r="4224" spans="1:4" ht="14">
      <c r="A4224" s="16">
        <v>44599</v>
      </c>
      <c r="B4224" s="17">
        <v>43869.04</v>
      </c>
      <c r="C4224" s="18">
        <v>28641855926</v>
      </c>
      <c r="D4224" s="21">
        <f t="shared" si="10"/>
        <v>143977109319</v>
      </c>
    </row>
    <row r="4225" spans="1:4" ht="14">
      <c r="A4225" s="16">
        <v>44600</v>
      </c>
      <c r="B4225" s="17">
        <v>44167.44</v>
      </c>
      <c r="C4225" s="18">
        <v>33079398868</v>
      </c>
      <c r="D4225" s="21">
        <f t="shared" si="10"/>
        <v>151884234780</v>
      </c>
    </row>
    <row r="4226" spans="1:4" ht="14">
      <c r="A4226" s="16">
        <v>44601</v>
      </c>
      <c r="B4226" s="17">
        <v>44405.07</v>
      </c>
      <c r="C4226" s="18">
        <v>23245887300</v>
      </c>
      <c r="D4226" s="21">
        <f t="shared" si="10"/>
        <v>164675133320</v>
      </c>
    </row>
    <row r="4227" spans="1:4" ht="14">
      <c r="A4227" s="16">
        <v>44602</v>
      </c>
      <c r="B4227" s="17">
        <v>43614.34</v>
      </c>
      <c r="C4227" s="18">
        <v>32142048537</v>
      </c>
      <c r="D4227" s="21">
        <f t="shared" si="10"/>
        <v>168765831204</v>
      </c>
    </row>
    <row r="4228" spans="1:4" ht="14">
      <c r="A4228" s="16">
        <v>44603</v>
      </c>
      <c r="B4228" s="17">
        <v>42357.32</v>
      </c>
      <c r="C4228" s="18">
        <v>26811269120</v>
      </c>
      <c r="D4228" s="21">
        <f t="shared" si="10"/>
        <v>182316344972</v>
      </c>
    </row>
    <row r="4229" spans="1:4" ht="14">
      <c r="A4229" s="16">
        <v>44604</v>
      </c>
      <c r="B4229" s="17">
        <v>42173.46</v>
      </c>
      <c r="C4229" s="18">
        <v>18152390304</v>
      </c>
      <c r="D4229" s="21">
        <f t="shared" si="10"/>
        <v>179715403300</v>
      </c>
    </row>
    <row r="4230" spans="1:4" ht="14">
      <c r="A4230" s="16">
        <v>44605</v>
      </c>
      <c r="B4230" s="17">
        <v>42195.59</v>
      </c>
      <c r="C4230" s="18">
        <v>14741589015</v>
      </c>
      <c r="D4230" s="21">
        <f t="shared" si="10"/>
        <v>178214947389</v>
      </c>
    </row>
    <row r="4231" spans="1:4" ht="14">
      <c r="A4231" s="16">
        <v>44606</v>
      </c>
      <c r="B4231" s="17">
        <v>42540.3</v>
      </c>
      <c r="C4231" s="18">
        <v>20827783012</v>
      </c>
      <c r="D4231" s="21">
        <f t="shared" si="10"/>
        <v>176814439070</v>
      </c>
    </row>
    <row r="4232" spans="1:4" ht="14">
      <c r="A4232" s="16">
        <v>44607</v>
      </c>
      <c r="B4232" s="17">
        <v>44511.91</v>
      </c>
      <c r="C4232" s="18">
        <v>22721659051</v>
      </c>
      <c r="D4232" s="21">
        <f t="shared" si="10"/>
        <v>169000366156</v>
      </c>
    </row>
    <row r="4233" spans="1:4" ht="14">
      <c r="A4233" s="16">
        <v>44608</v>
      </c>
      <c r="B4233" s="17">
        <v>44065.71</v>
      </c>
      <c r="C4233" s="18">
        <v>19792547657</v>
      </c>
      <c r="D4233" s="21">
        <f t="shared" si="10"/>
        <v>158642626339</v>
      </c>
    </row>
    <row r="4234" spans="1:4" ht="14">
      <c r="A4234" s="16">
        <v>44609</v>
      </c>
      <c r="B4234" s="17">
        <v>40610.019999999997</v>
      </c>
      <c r="C4234" s="18">
        <v>26246662813</v>
      </c>
      <c r="D4234" s="21">
        <f t="shared" si="10"/>
        <v>155189286696</v>
      </c>
    </row>
    <row r="4235" spans="1:4" ht="14">
      <c r="A4235" s="16">
        <v>44610</v>
      </c>
      <c r="B4235" s="17">
        <v>40044.22</v>
      </c>
      <c r="C4235" s="18">
        <v>23310007704</v>
      </c>
      <c r="D4235" s="21">
        <f t="shared" si="10"/>
        <v>149293900972</v>
      </c>
    </row>
    <row r="4236" spans="1:4" ht="14">
      <c r="A4236" s="16">
        <v>44611</v>
      </c>
      <c r="B4236" s="17">
        <v>40109.019999999997</v>
      </c>
      <c r="C4236" s="18">
        <v>13945558016</v>
      </c>
      <c r="D4236" s="21">
        <f t="shared" si="10"/>
        <v>145792639556</v>
      </c>
    </row>
    <row r="4237" spans="1:4" ht="14">
      <c r="A4237" s="16">
        <v>44612</v>
      </c>
      <c r="B4237" s="17">
        <v>38373.9</v>
      </c>
      <c r="C4237" s="18">
        <v>18340576452</v>
      </c>
      <c r="D4237" s="21">
        <f t="shared" si="10"/>
        <v>141585807268</v>
      </c>
    </row>
    <row r="4238" spans="1:4" ht="14">
      <c r="A4238" s="16">
        <v>44613</v>
      </c>
      <c r="B4238" s="17">
        <v>37076.6</v>
      </c>
      <c r="C4238" s="18">
        <v>29280402798</v>
      </c>
      <c r="D4238" s="21">
        <f t="shared" si="10"/>
        <v>145184794705</v>
      </c>
    </row>
    <row r="4239" spans="1:4" ht="14">
      <c r="A4239" s="16">
        <v>44614</v>
      </c>
      <c r="B4239" s="17">
        <v>38202.589999999997</v>
      </c>
      <c r="C4239" s="18">
        <v>25493150450</v>
      </c>
      <c r="D4239" s="21">
        <f t="shared" si="10"/>
        <v>153637414491</v>
      </c>
    </row>
    <row r="4240" spans="1:4" ht="14">
      <c r="A4240" s="16">
        <v>44615</v>
      </c>
      <c r="B4240" s="17">
        <v>37308.269999999997</v>
      </c>
      <c r="C4240" s="18">
        <v>21849073843</v>
      </c>
      <c r="D4240" s="21">
        <f t="shared" si="10"/>
        <v>156408905890</v>
      </c>
    </row>
    <row r="4241" spans="1:4" ht="14">
      <c r="A4241" s="16">
        <v>44616</v>
      </c>
      <c r="B4241" s="17">
        <v>38283.79</v>
      </c>
      <c r="C4241" s="18">
        <v>46383802093</v>
      </c>
      <c r="D4241" s="21">
        <f t="shared" si="10"/>
        <v>158465432076</v>
      </c>
    </row>
    <row r="4242" spans="1:4" ht="14">
      <c r="A4242" s="16">
        <v>44617</v>
      </c>
      <c r="B4242" s="17">
        <v>39323.769999999997</v>
      </c>
      <c r="C4242" s="18">
        <v>26545599159</v>
      </c>
      <c r="D4242" s="21">
        <f t="shared" si="10"/>
        <v>178602571356</v>
      </c>
    </row>
    <row r="4243" spans="1:4" ht="14">
      <c r="A4243" s="16">
        <v>44618</v>
      </c>
      <c r="B4243" s="17">
        <v>39056.58</v>
      </c>
      <c r="C4243" s="18">
        <v>17467554129</v>
      </c>
      <c r="D4243" s="21">
        <f t="shared" si="10"/>
        <v>181838162811</v>
      </c>
    </row>
    <row r="4244" spans="1:4" ht="14">
      <c r="A4244" s="16">
        <v>44619</v>
      </c>
      <c r="B4244" s="17">
        <v>37664.78</v>
      </c>
      <c r="C4244" s="18">
        <v>23450127612</v>
      </c>
      <c r="D4244" s="21">
        <f t="shared" si="10"/>
        <v>185360158924</v>
      </c>
    </row>
    <row r="4245" spans="1:4" ht="14">
      <c r="A4245" s="16">
        <v>44620</v>
      </c>
      <c r="B4245" s="17">
        <v>43179.25</v>
      </c>
      <c r="C4245" s="18">
        <v>35690014104</v>
      </c>
      <c r="D4245" s="21">
        <f t="shared" si="10"/>
        <v>190469710084</v>
      </c>
    </row>
    <row r="4246" spans="1:4" ht="14">
      <c r="A4246" s="16">
        <v>44621</v>
      </c>
      <c r="B4246" s="17">
        <v>44334.46</v>
      </c>
      <c r="C4246" s="18">
        <v>32479047645</v>
      </c>
      <c r="D4246" s="21">
        <f t="shared" si="10"/>
        <v>196879321390</v>
      </c>
    </row>
    <row r="4247" spans="1:4" ht="14">
      <c r="A4247" s="16">
        <v>44622</v>
      </c>
      <c r="B4247" s="17">
        <v>43984.58</v>
      </c>
      <c r="C4247" s="18">
        <v>29183112630</v>
      </c>
      <c r="D4247" s="21">
        <f t="shared" si="10"/>
        <v>203865218585</v>
      </c>
    </row>
    <row r="4248" spans="1:4" ht="14">
      <c r="A4248" s="16">
        <v>44623</v>
      </c>
      <c r="B4248" s="17">
        <v>42476.26</v>
      </c>
      <c r="C4248" s="18">
        <v>24967782593</v>
      </c>
      <c r="D4248" s="21">
        <f t="shared" si="10"/>
        <v>211199257372</v>
      </c>
    </row>
    <row r="4249" spans="1:4" ht="14">
      <c r="A4249" s="16">
        <v>44624</v>
      </c>
      <c r="B4249" s="17">
        <v>39148.660000000003</v>
      </c>
      <c r="C4249" s="18">
        <v>28516271427</v>
      </c>
      <c r="D4249" s="21">
        <f t="shared" si="10"/>
        <v>189783237872</v>
      </c>
    </row>
    <row r="4250" spans="1:4" ht="14">
      <c r="A4250" s="16">
        <v>44625</v>
      </c>
      <c r="B4250" s="17">
        <v>39416.79</v>
      </c>
      <c r="C4250" s="18">
        <v>16975917450</v>
      </c>
      <c r="D4250" s="21">
        <f t="shared" si="10"/>
        <v>191753910140</v>
      </c>
    </row>
    <row r="4251" spans="1:4" ht="14">
      <c r="A4251" s="16">
        <v>44626</v>
      </c>
      <c r="B4251" s="17">
        <v>38420.81</v>
      </c>
      <c r="C4251" s="18">
        <v>19745229902</v>
      </c>
      <c r="D4251" s="21">
        <f t="shared" si="10"/>
        <v>191262273461</v>
      </c>
    </row>
    <row r="4252" spans="1:4" ht="14">
      <c r="A4252" s="16">
        <v>44627</v>
      </c>
      <c r="B4252" s="17">
        <v>38001.050000000003</v>
      </c>
      <c r="C4252" s="18">
        <v>28546143503</v>
      </c>
      <c r="D4252" s="21">
        <f t="shared" si="10"/>
        <v>187557375751</v>
      </c>
    </row>
    <row r="4253" spans="1:4" ht="14">
      <c r="A4253" s="16">
        <v>44628</v>
      </c>
      <c r="B4253" s="17">
        <v>38725.480000000003</v>
      </c>
      <c r="C4253" s="18">
        <v>25776583476</v>
      </c>
      <c r="D4253" s="21">
        <f t="shared" si="10"/>
        <v>180413505150</v>
      </c>
    </row>
    <row r="4254" spans="1:4" ht="14">
      <c r="A4254" s="16">
        <v>44629</v>
      </c>
      <c r="B4254" s="17">
        <v>41989.4</v>
      </c>
      <c r="C4254" s="18">
        <v>32284121034</v>
      </c>
      <c r="D4254" s="21">
        <f t="shared" si="10"/>
        <v>173711040981</v>
      </c>
    </row>
    <row r="4255" spans="1:4" ht="14">
      <c r="A4255" s="16">
        <v>44630</v>
      </c>
      <c r="B4255" s="17">
        <v>39482.26</v>
      </c>
      <c r="C4255" s="18">
        <v>31078064711</v>
      </c>
      <c r="D4255" s="21">
        <f t="shared" si="10"/>
        <v>176812049385</v>
      </c>
    </row>
    <row r="4256" spans="1:4" ht="14">
      <c r="A4256" s="16">
        <v>44631</v>
      </c>
      <c r="B4256" s="17">
        <v>38825.360000000001</v>
      </c>
      <c r="C4256" s="18">
        <v>26364890465</v>
      </c>
      <c r="D4256" s="21">
        <f t="shared" si="10"/>
        <v>182922331503</v>
      </c>
    </row>
    <row r="4257" spans="1:4" ht="14">
      <c r="A4257" s="16">
        <v>44632</v>
      </c>
      <c r="B4257" s="17">
        <v>38951.129999999997</v>
      </c>
      <c r="C4257" s="18">
        <v>14616450657</v>
      </c>
      <c r="D4257" s="21">
        <f t="shared" si="10"/>
        <v>180770950541</v>
      </c>
    </row>
    <row r="4258" spans="1:4" ht="14">
      <c r="A4258" s="16">
        <v>44633</v>
      </c>
      <c r="B4258" s="17">
        <v>37808.32</v>
      </c>
      <c r="C4258" s="18">
        <v>17300745310</v>
      </c>
      <c r="D4258" s="21">
        <f t="shared" si="10"/>
        <v>178411483748</v>
      </c>
    </row>
    <row r="4259" spans="1:4" ht="14">
      <c r="A4259" s="16">
        <v>44634</v>
      </c>
      <c r="B4259" s="17">
        <v>39649.050000000003</v>
      </c>
      <c r="C4259" s="18">
        <v>24322159070</v>
      </c>
      <c r="D4259" s="21">
        <f t="shared" si="10"/>
        <v>175966999156</v>
      </c>
    </row>
    <row r="4260" spans="1:4" ht="14">
      <c r="A4260" s="16">
        <v>44635</v>
      </c>
      <c r="B4260" s="17">
        <v>39298.1</v>
      </c>
      <c r="C4260" s="18">
        <v>23934000868</v>
      </c>
      <c r="D4260" s="21">
        <f t="shared" si="10"/>
        <v>171743014723</v>
      </c>
    </row>
    <row r="4261" spans="1:4" ht="14">
      <c r="A4261" s="16">
        <v>44636</v>
      </c>
      <c r="B4261" s="17">
        <v>41101.769999999997</v>
      </c>
      <c r="C4261" s="18">
        <v>39616916192</v>
      </c>
      <c r="D4261" s="21">
        <f t="shared" si="10"/>
        <v>169900432115</v>
      </c>
    </row>
    <row r="4262" spans="1:4" ht="14">
      <c r="A4262" s="16">
        <v>44637</v>
      </c>
      <c r="B4262" s="17">
        <v>40917.9</v>
      </c>
      <c r="C4262" s="18">
        <v>22009601093</v>
      </c>
      <c r="D4262" s="21">
        <f t="shared" si="10"/>
        <v>177233227273</v>
      </c>
    </row>
    <row r="4263" spans="1:4" ht="14">
      <c r="A4263" s="16">
        <v>44638</v>
      </c>
      <c r="B4263" s="17">
        <v>41826.120000000003</v>
      </c>
      <c r="C4263" s="18">
        <v>34421564942</v>
      </c>
      <c r="D4263" s="21">
        <f t="shared" si="10"/>
        <v>168164763655</v>
      </c>
    </row>
    <row r="4264" spans="1:4" ht="14">
      <c r="A4264" s="16">
        <v>44639</v>
      </c>
      <c r="B4264" s="17">
        <v>42193.16</v>
      </c>
      <c r="C4264" s="18">
        <v>19664853187</v>
      </c>
      <c r="D4264" s="21">
        <f t="shared" si="10"/>
        <v>176221438132</v>
      </c>
    </row>
    <row r="4265" spans="1:4" ht="14">
      <c r="A4265" s="16">
        <v>44640</v>
      </c>
      <c r="B4265" s="17">
        <v>41294.720000000001</v>
      </c>
      <c r="C4265" s="18">
        <v>20127946682</v>
      </c>
      <c r="D4265" s="21">
        <f t="shared" si="10"/>
        <v>181269840662</v>
      </c>
    </row>
    <row r="4266" spans="1:4" ht="14">
      <c r="A4266" s="16">
        <v>44641</v>
      </c>
      <c r="B4266" s="17">
        <v>41078</v>
      </c>
      <c r="C4266" s="18">
        <v>24615543271</v>
      </c>
      <c r="D4266" s="21">
        <f t="shared" si="10"/>
        <v>184097042034</v>
      </c>
    </row>
    <row r="4267" spans="1:4" ht="14">
      <c r="A4267" s="16">
        <v>44642</v>
      </c>
      <c r="B4267" s="17">
        <v>42383.17</v>
      </c>
      <c r="C4267" s="18">
        <v>32004652376</v>
      </c>
      <c r="D4267" s="21">
        <f t="shared" si="10"/>
        <v>184390426235</v>
      </c>
    </row>
    <row r="4268" spans="1:4" ht="14">
      <c r="A4268" s="16">
        <v>44643</v>
      </c>
      <c r="B4268" s="17">
        <v>42882.87</v>
      </c>
      <c r="C4268" s="18">
        <v>25242943069</v>
      </c>
      <c r="D4268" s="21">
        <f t="shared" si="10"/>
        <v>192461077743</v>
      </c>
    </row>
    <row r="4269" spans="1:4" ht="14">
      <c r="A4269" s="16">
        <v>44644</v>
      </c>
      <c r="B4269" s="17">
        <v>43974.59</v>
      </c>
      <c r="C4269" s="18">
        <v>31042992291</v>
      </c>
      <c r="D4269" s="21">
        <f t="shared" si="10"/>
        <v>178087104620</v>
      </c>
    </row>
    <row r="4270" spans="1:4" ht="14">
      <c r="A4270" s="16">
        <v>44645</v>
      </c>
      <c r="B4270" s="17">
        <v>44347.03</v>
      </c>
      <c r="C4270" s="18">
        <v>30574413034</v>
      </c>
      <c r="D4270" s="21">
        <f t="shared" si="10"/>
        <v>187120495818</v>
      </c>
    </row>
    <row r="4271" spans="1:4" ht="14">
      <c r="A4271" s="16">
        <v>44646</v>
      </c>
      <c r="B4271" s="17">
        <v>44519.93</v>
      </c>
      <c r="C4271" s="18">
        <v>16950455995</v>
      </c>
      <c r="D4271" s="21">
        <f t="shared" si="10"/>
        <v>183273343910</v>
      </c>
    </row>
    <row r="4272" spans="1:4" ht="14">
      <c r="A4272" s="16">
        <v>44647</v>
      </c>
      <c r="B4272" s="17">
        <v>46777.21</v>
      </c>
      <c r="C4272" s="18">
        <v>28160889722</v>
      </c>
      <c r="D4272" s="21">
        <f t="shared" si="10"/>
        <v>180558946718</v>
      </c>
    </row>
    <row r="4273" spans="1:4" ht="14">
      <c r="A4273" s="16">
        <v>44648</v>
      </c>
      <c r="B4273" s="17">
        <v>47223.65</v>
      </c>
      <c r="C4273" s="18">
        <v>36362175703</v>
      </c>
      <c r="D4273" s="21">
        <f t="shared" si="10"/>
        <v>188591889758</v>
      </c>
    </row>
    <row r="4274" spans="1:4" ht="14">
      <c r="A4274" s="16">
        <v>44649</v>
      </c>
      <c r="B4274" s="17">
        <v>47434.8</v>
      </c>
      <c r="C4274" s="18">
        <v>31397059069</v>
      </c>
      <c r="D4274" s="21">
        <f t="shared" si="10"/>
        <v>200338522190</v>
      </c>
    </row>
    <row r="4275" spans="1:4" ht="14">
      <c r="A4275" s="16">
        <v>44650</v>
      </c>
      <c r="B4275" s="17">
        <v>47123.3</v>
      </c>
      <c r="C4275" s="18">
        <v>29333883962</v>
      </c>
      <c r="D4275" s="21">
        <f t="shared" si="10"/>
        <v>199730928883</v>
      </c>
    </row>
    <row r="4276" spans="1:4" ht="14">
      <c r="A4276" s="16">
        <v>44651</v>
      </c>
      <c r="B4276" s="17">
        <v>45562.21</v>
      </c>
      <c r="C4276" s="18">
        <v>33327427106</v>
      </c>
      <c r="D4276" s="21">
        <f t="shared" si="10"/>
        <v>203821869776</v>
      </c>
    </row>
    <row r="4277" spans="1:4" ht="14">
      <c r="A4277" s="16">
        <v>44652</v>
      </c>
      <c r="B4277" s="17">
        <v>46307.81</v>
      </c>
      <c r="C4277" s="18">
        <v>38162644287</v>
      </c>
      <c r="D4277" s="21">
        <f t="shared" si="10"/>
        <v>206106304591</v>
      </c>
    </row>
    <row r="4278" spans="1:4" ht="14">
      <c r="A4278" s="16">
        <v>44653</v>
      </c>
      <c r="B4278" s="17">
        <v>45939.9</v>
      </c>
      <c r="C4278" s="18">
        <v>29336594194</v>
      </c>
      <c r="D4278" s="21">
        <f t="shared" si="10"/>
        <v>213694535844</v>
      </c>
    </row>
    <row r="4279" spans="1:4" ht="14">
      <c r="A4279" s="16">
        <v>44654</v>
      </c>
      <c r="B4279" s="17">
        <v>46440.54</v>
      </c>
      <c r="C4279" s="18">
        <v>25414397610</v>
      </c>
      <c r="D4279" s="21">
        <f t="shared" si="10"/>
        <v>226080674043</v>
      </c>
    </row>
    <row r="4280" spans="1:4" ht="14">
      <c r="A4280" s="16">
        <v>44655</v>
      </c>
      <c r="B4280" s="17">
        <v>46663</v>
      </c>
      <c r="C4280" s="18">
        <v>32499785455</v>
      </c>
      <c r="D4280" s="21">
        <f t="shared" si="10"/>
        <v>223334181931</v>
      </c>
    </row>
    <row r="4281" spans="1:4" ht="14">
      <c r="A4281" s="16">
        <v>44656</v>
      </c>
      <c r="B4281" s="17">
        <v>45502.73</v>
      </c>
      <c r="C4281" s="18">
        <v>29640604055</v>
      </c>
      <c r="D4281" s="21">
        <f t="shared" si="10"/>
        <v>219471791683</v>
      </c>
    </row>
    <row r="4282" spans="1:4" ht="14">
      <c r="A4282" s="16">
        <v>44657</v>
      </c>
      <c r="B4282" s="17">
        <v>43304.94</v>
      </c>
      <c r="C4282" s="18">
        <v>39393395788</v>
      </c>
      <c r="D4282" s="21">
        <f t="shared" si="10"/>
        <v>217715336669</v>
      </c>
    </row>
    <row r="4283" spans="1:4" ht="14">
      <c r="A4283" s="16">
        <v>44658</v>
      </c>
      <c r="B4283" s="17">
        <v>43454.53</v>
      </c>
      <c r="C4283" s="18">
        <v>26101973106</v>
      </c>
      <c r="D4283" s="21">
        <f t="shared" si="10"/>
        <v>227774848495</v>
      </c>
    </row>
    <row r="4284" spans="1:4" ht="14">
      <c r="A4284" s="16">
        <v>44659</v>
      </c>
      <c r="B4284" s="17">
        <v>42222.07</v>
      </c>
      <c r="C4284" s="18">
        <v>27215995394</v>
      </c>
      <c r="D4284" s="21">
        <f t="shared" si="10"/>
        <v>220549394495</v>
      </c>
    </row>
    <row r="4285" spans="1:4" ht="14">
      <c r="A4285" s="16">
        <v>44660</v>
      </c>
      <c r="B4285" s="17">
        <v>42680.99</v>
      </c>
      <c r="C4285" s="18">
        <v>16050772496</v>
      </c>
      <c r="D4285" s="21">
        <f t="shared" si="10"/>
        <v>209602745602</v>
      </c>
    </row>
    <row r="4286" spans="1:4" ht="14">
      <c r="A4286" s="16">
        <v>44661</v>
      </c>
      <c r="B4286" s="17">
        <v>42264.46</v>
      </c>
      <c r="C4286" s="18">
        <v>17654475582</v>
      </c>
      <c r="D4286" s="21">
        <f t="shared" si="10"/>
        <v>196316923904</v>
      </c>
    </row>
    <row r="4287" spans="1:4" ht="14">
      <c r="A4287" s="16">
        <v>44662</v>
      </c>
      <c r="B4287" s="17">
        <v>39544.03</v>
      </c>
      <c r="C4287" s="18">
        <v>33949912166</v>
      </c>
      <c r="D4287" s="21">
        <f t="shared" si="10"/>
        <v>188557001876</v>
      </c>
    </row>
    <row r="4288" spans="1:4" ht="14">
      <c r="A4288" s="16">
        <v>44663</v>
      </c>
      <c r="B4288" s="17">
        <v>40074.94</v>
      </c>
      <c r="C4288" s="18">
        <v>30991500854</v>
      </c>
      <c r="D4288" s="21">
        <f t="shared" si="10"/>
        <v>190007128587</v>
      </c>
    </row>
    <row r="4289" spans="1:4" ht="14">
      <c r="A4289" s="16">
        <v>44664</v>
      </c>
      <c r="B4289" s="17">
        <v>41152.76</v>
      </c>
      <c r="C4289" s="18">
        <v>27691105228</v>
      </c>
      <c r="D4289" s="21">
        <f t="shared" si="10"/>
        <v>191358025386</v>
      </c>
    </row>
    <row r="4290" spans="1:4" ht="14">
      <c r="A4290" s="16">
        <v>44665</v>
      </c>
      <c r="B4290" s="17">
        <v>39916.5</v>
      </c>
      <c r="C4290" s="18">
        <v>24342001973</v>
      </c>
      <c r="D4290" s="21">
        <f t="shared" si="10"/>
        <v>179655734826</v>
      </c>
    </row>
    <row r="4291" spans="1:4" ht="14">
      <c r="A4291" s="16">
        <v>44666</v>
      </c>
      <c r="B4291" s="17">
        <v>40527.33</v>
      </c>
      <c r="C4291" s="18">
        <v>21756855753</v>
      </c>
      <c r="D4291" s="21">
        <f t="shared" si="10"/>
        <v>177895763693</v>
      </c>
    </row>
    <row r="4292" spans="1:4" ht="14">
      <c r="A4292" s="16">
        <v>44667</v>
      </c>
      <c r="B4292" s="17">
        <v>40439.589999999997</v>
      </c>
      <c r="C4292" s="18">
        <v>16833150693</v>
      </c>
      <c r="D4292" s="21">
        <f t="shared" si="10"/>
        <v>172436624052</v>
      </c>
    </row>
    <row r="4293" spans="1:4" ht="14">
      <c r="A4293" s="16">
        <v>44668</v>
      </c>
      <c r="B4293" s="17">
        <v>39704.78</v>
      </c>
      <c r="C4293" s="18">
        <v>19087633042</v>
      </c>
      <c r="D4293" s="21">
        <f t="shared" si="10"/>
        <v>173219002249</v>
      </c>
    </row>
    <row r="4294" spans="1:4" ht="14">
      <c r="A4294" s="16">
        <v>44669</v>
      </c>
      <c r="B4294" s="17">
        <v>40818.879999999997</v>
      </c>
      <c r="C4294" s="18">
        <v>33705182072</v>
      </c>
      <c r="D4294" s="21">
        <f t="shared" si="10"/>
        <v>174652159709</v>
      </c>
    </row>
    <row r="4295" spans="1:4" ht="14">
      <c r="A4295" s="16">
        <v>44670</v>
      </c>
      <c r="B4295" s="17">
        <v>41489.660000000003</v>
      </c>
      <c r="C4295" s="18">
        <v>25303206547</v>
      </c>
      <c r="D4295" s="21">
        <f t="shared" si="10"/>
        <v>174407429615</v>
      </c>
    </row>
    <row r="4296" spans="1:4" ht="14">
      <c r="A4296" s="16">
        <v>44671</v>
      </c>
      <c r="B4296" s="17">
        <v>41395.64</v>
      </c>
      <c r="C4296" s="18">
        <v>27819532341</v>
      </c>
      <c r="D4296" s="21">
        <f t="shared" si="10"/>
        <v>168719135308</v>
      </c>
    </row>
    <row r="4297" spans="1:4" ht="14">
      <c r="A4297" s="16">
        <v>44672</v>
      </c>
      <c r="B4297" s="17">
        <v>40457.5</v>
      </c>
      <c r="C4297" s="18">
        <v>35372786395</v>
      </c>
      <c r="D4297" s="21">
        <f t="shared" si="10"/>
        <v>168847562421</v>
      </c>
    </row>
    <row r="4298" spans="1:4" ht="14">
      <c r="A4298" s="16">
        <v>44673</v>
      </c>
      <c r="B4298" s="17">
        <v>39737.97</v>
      </c>
      <c r="C4298" s="18">
        <v>28011716745</v>
      </c>
      <c r="D4298" s="21">
        <f t="shared" si="10"/>
        <v>179878346843</v>
      </c>
    </row>
    <row r="4299" spans="1:4" ht="14">
      <c r="A4299" s="16">
        <v>44674</v>
      </c>
      <c r="B4299" s="17">
        <v>39582.449999999997</v>
      </c>
      <c r="C4299" s="18">
        <v>16138021249</v>
      </c>
      <c r="D4299" s="21">
        <f t="shared" si="10"/>
        <v>186133207835</v>
      </c>
    </row>
    <row r="4300" spans="1:4" ht="14">
      <c r="A4300" s="16">
        <v>44675</v>
      </c>
      <c r="B4300" s="17">
        <v>39511.65</v>
      </c>
      <c r="C4300" s="18">
        <v>17964398167</v>
      </c>
      <c r="D4300" s="21">
        <f t="shared" si="10"/>
        <v>185438078391</v>
      </c>
    </row>
    <row r="4301" spans="1:4" ht="14">
      <c r="A4301" s="16">
        <v>44676</v>
      </c>
      <c r="B4301" s="17">
        <v>40473.75</v>
      </c>
      <c r="C4301" s="18">
        <v>35445730570</v>
      </c>
      <c r="D4301" s="21">
        <f t="shared" si="10"/>
        <v>184314843516</v>
      </c>
    </row>
    <row r="4302" spans="1:4" ht="14">
      <c r="A4302" s="16">
        <v>44677</v>
      </c>
      <c r="B4302" s="17">
        <v>38072.800000000003</v>
      </c>
      <c r="C4302" s="18">
        <v>34569088416</v>
      </c>
      <c r="D4302" s="21">
        <f t="shared" si="10"/>
        <v>186055392014</v>
      </c>
    </row>
    <row r="4303" spans="1:4" ht="14">
      <c r="A4303" s="16">
        <v>44678</v>
      </c>
      <c r="B4303" s="17">
        <v>39218.54</v>
      </c>
      <c r="C4303" s="18">
        <v>30981015184</v>
      </c>
      <c r="D4303" s="21">
        <f t="shared" si="10"/>
        <v>195321273883</v>
      </c>
    </row>
    <row r="4304" spans="1:4" ht="14">
      <c r="A4304" s="16">
        <v>44679</v>
      </c>
      <c r="B4304" s="17">
        <v>39747.99</v>
      </c>
      <c r="C4304" s="18">
        <v>33903704907</v>
      </c>
      <c r="D4304" s="21">
        <f t="shared" si="10"/>
        <v>198482756726</v>
      </c>
    </row>
    <row r="4305" spans="1:4" ht="14">
      <c r="A4305" s="16">
        <v>44680</v>
      </c>
      <c r="B4305" s="17">
        <v>38609.51</v>
      </c>
      <c r="C4305" s="18">
        <v>30882994649</v>
      </c>
      <c r="D4305" s="21">
        <f t="shared" si="10"/>
        <v>197013675238</v>
      </c>
    </row>
    <row r="4306" spans="1:4" ht="14">
      <c r="A4306" s="16">
        <v>44681</v>
      </c>
      <c r="B4306" s="17">
        <v>37714.089999999997</v>
      </c>
      <c r="C4306" s="18">
        <v>23895713731</v>
      </c>
      <c r="D4306" s="21">
        <f t="shared" si="10"/>
        <v>199884953142</v>
      </c>
    </row>
    <row r="4307" spans="1:4" ht="14">
      <c r="A4307" s="16">
        <v>44682</v>
      </c>
      <c r="B4307" s="17">
        <v>38459.230000000003</v>
      </c>
      <c r="C4307" s="18">
        <v>27002760110</v>
      </c>
      <c r="D4307" s="21">
        <f t="shared" si="10"/>
        <v>207642645624</v>
      </c>
    </row>
    <row r="4308" spans="1:4" ht="14">
      <c r="A4308" s="16">
        <v>44683</v>
      </c>
      <c r="B4308" s="17">
        <v>38566.06</v>
      </c>
      <c r="C4308" s="18">
        <v>32922642426</v>
      </c>
      <c r="D4308" s="21">
        <f t="shared" si="10"/>
        <v>216681007567</v>
      </c>
    </row>
    <row r="4309" spans="1:4" ht="14">
      <c r="A4309" s="16">
        <v>44684</v>
      </c>
      <c r="B4309" s="17">
        <v>37704.410000000003</v>
      </c>
      <c r="C4309" s="18">
        <v>27326943244</v>
      </c>
      <c r="D4309" s="21">
        <f t="shared" si="10"/>
        <v>214157919423</v>
      </c>
    </row>
    <row r="4310" spans="1:4" ht="14">
      <c r="A4310" s="16">
        <v>44685</v>
      </c>
      <c r="B4310" s="17">
        <v>39641.85</v>
      </c>
      <c r="C4310" s="18">
        <v>36754404490</v>
      </c>
      <c r="D4310" s="21">
        <f t="shared" si="10"/>
        <v>206915774251</v>
      </c>
    </row>
    <row r="4311" spans="1:4" ht="14">
      <c r="A4311" s="16">
        <v>44686</v>
      </c>
      <c r="B4311" s="17">
        <v>36502.019999999997</v>
      </c>
      <c r="C4311" s="18">
        <v>43106256317</v>
      </c>
      <c r="D4311" s="21">
        <f t="shared" si="10"/>
        <v>212689163557</v>
      </c>
    </row>
    <row r="4312" spans="1:4" ht="14">
      <c r="A4312" s="16">
        <v>44687</v>
      </c>
      <c r="B4312" s="17">
        <v>35919.699999999997</v>
      </c>
      <c r="C4312" s="18">
        <v>37795577489</v>
      </c>
      <c r="D4312" s="21">
        <f t="shared" si="10"/>
        <v>221891714967</v>
      </c>
    </row>
    <row r="4313" spans="1:4" ht="14">
      <c r="A4313" s="16">
        <v>44688</v>
      </c>
      <c r="B4313" s="17">
        <v>35508.71</v>
      </c>
      <c r="C4313" s="18">
        <v>24375896406</v>
      </c>
      <c r="D4313" s="21">
        <f t="shared" si="10"/>
        <v>228804297807</v>
      </c>
    </row>
    <row r="4314" spans="1:4" ht="14">
      <c r="A4314" s="16">
        <v>44689</v>
      </c>
      <c r="B4314" s="17">
        <v>34058.910000000003</v>
      </c>
      <c r="C4314" s="18">
        <v>36763041910</v>
      </c>
      <c r="D4314" s="21">
        <f t="shared" si="10"/>
        <v>229284480482</v>
      </c>
    </row>
    <row r="4315" spans="1:4" ht="14">
      <c r="A4315" s="16">
        <v>44690</v>
      </c>
      <c r="B4315" s="17">
        <v>30076.31</v>
      </c>
      <c r="C4315" s="18">
        <v>63355494961</v>
      </c>
      <c r="D4315" s="21">
        <f t="shared" si="10"/>
        <v>239044762282</v>
      </c>
    </row>
    <row r="4316" spans="1:4" ht="14">
      <c r="A4316" s="16">
        <v>44691</v>
      </c>
      <c r="B4316" s="17">
        <v>30999.97</v>
      </c>
      <c r="C4316" s="18">
        <v>59811038817</v>
      </c>
      <c r="D4316" s="21">
        <f t="shared" si="10"/>
        <v>269477614817</v>
      </c>
    </row>
    <row r="4317" spans="1:4" ht="14">
      <c r="A4317" s="16">
        <v>44692</v>
      </c>
      <c r="B4317" s="17">
        <v>28796.560000000001</v>
      </c>
      <c r="C4317" s="18">
        <v>70388855818</v>
      </c>
      <c r="D4317" s="21">
        <f t="shared" si="10"/>
        <v>301961710390</v>
      </c>
    </row>
    <row r="4318" spans="1:4" ht="14">
      <c r="A4318" s="16">
        <v>44693</v>
      </c>
      <c r="B4318" s="17">
        <v>29030.71</v>
      </c>
      <c r="C4318" s="18">
        <v>66989173272</v>
      </c>
      <c r="D4318" s="21">
        <f t="shared" si="10"/>
        <v>335596161718</v>
      </c>
    </row>
    <row r="4319" spans="1:4" ht="14">
      <c r="A4319" s="16">
        <v>44694</v>
      </c>
      <c r="B4319" s="17">
        <v>29285.93</v>
      </c>
      <c r="C4319" s="18">
        <v>42841124537</v>
      </c>
      <c r="D4319" s="21">
        <f t="shared" si="10"/>
        <v>359479078673</v>
      </c>
    </row>
    <row r="4320" spans="1:4" ht="14">
      <c r="A4320" s="16">
        <v>44695</v>
      </c>
      <c r="B4320" s="17">
        <v>30051.94</v>
      </c>
      <c r="C4320" s="18">
        <v>28579868620</v>
      </c>
      <c r="D4320" s="21">
        <f t="shared" si="10"/>
        <v>364524625721</v>
      </c>
    </row>
    <row r="4321" spans="1:4" ht="14">
      <c r="A4321" s="16">
        <v>44696</v>
      </c>
      <c r="B4321" s="17">
        <v>31182.62</v>
      </c>
      <c r="C4321" s="18">
        <v>25835372065</v>
      </c>
      <c r="D4321" s="21">
        <f t="shared" si="10"/>
        <v>368728597935</v>
      </c>
    </row>
    <row r="4322" spans="1:4" ht="14">
      <c r="A4322" s="16">
        <v>44697</v>
      </c>
      <c r="B4322" s="17">
        <v>29889.61</v>
      </c>
      <c r="C4322" s="18">
        <v>32613897286</v>
      </c>
      <c r="D4322" s="21">
        <f t="shared" si="10"/>
        <v>357800928090</v>
      </c>
    </row>
    <row r="4323" spans="1:4" ht="14">
      <c r="A4323" s="16">
        <v>44698</v>
      </c>
      <c r="B4323" s="17">
        <v>30438.19</v>
      </c>
      <c r="C4323" s="18">
        <v>29101473475</v>
      </c>
      <c r="D4323" s="21">
        <f t="shared" si="10"/>
        <v>327059330415</v>
      </c>
    </row>
    <row r="4324" spans="1:4" ht="14">
      <c r="A4324" s="16">
        <v>44699</v>
      </c>
      <c r="B4324" s="17">
        <v>28771.22</v>
      </c>
      <c r="C4324" s="18">
        <v>31285268319</v>
      </c>
      <c r="D4324" s="21">
        <f t="shared" si="10"/>
        <v>296349765073</v>
      </c>
    </row>
    <row r="4325" spans="1:4" ht="14">
      <c r="A4325" s="16">
        <v>44700</v>
      </c>
      <c r="B4325" s="17">
        <v>30257.89</v>
      </c>
      <c r="C4325" s="18">
        <v>33773447707</v>
      </c>
      <c r="D4325" s="21">
        <f t="shared" si="10"/>
        <v>257246177574</v>
      </c>
    </row>
    <row r="4326" spans="1:4" ht="14">
      <c r="A4326" s="16">
        <v>44701</v>
      </c>
      <c r="B4326" s="17">
        <v>29224.25</v>
      </c>
      <c r="C4326" s="18">
        <v>30749382605</v>
      </c>
      <c r="D4326" s="21">
        <f t="shared" si="10"/>
        <v>224030452009</v>
      </c>
    </row>
    <row r="4327" spans="1:4" ht="14">
      <c r="A4327" s="16">
        <v>44702</v>
      </c>
      <c r="B4327" s="17">
        <v>29420.080000000002</v>
      </c>
      <c r="C4327" s="18">
        <v>17274840442</v>
      </c>
      <c r="D4327" s="21">
        <f t="shared" si="10"/>
        <v>211938710077</v>
      </c>
    </row>
    <row r="4328" spans="1:4" ht="14">
      <c r="A4328" s="16">
        <v>44703</v>
      </c>
      <c r="B4328" s="17">
        <v>30331.88</v>
      </c>
      <c r="C4328" s="18">
        <v>21631532270</v>
      </c>
      <c r="D4328" s="21">
        <f t="shared" si="10"/>
        <v>200633681899</v>
      </c>
    </row>
    <row r="4329" spans="1:4" ht="14">
      <c r="A4329" s="16">
        <v>44704</v>
      </c>
      <c r="B4329" s="17">
        <v>29088.25</v>
      </c>
      <c r="C4329" s="18">
        <v>31483454557</v>
      </c>
      <c r="D4329" s="21">
        <f t="shared" ref="D4329:D4583" si="11">IF(C4322&lt;&gt;"",SUM(C4322:C4328),"")</f>
        <v>196429842104</v>
      </c>
    </row>
    <row r="4330" spans="1:4" ht="14">
      <c r="A4330" s="16">
        <v>44705</v>
      </c>
      <c r="B4330" s="17">
        <v>29643.68</v>
      </c>
      <c r="C4330" s="18">
        <v>26616506245</v>
      </c>
      <c r="D4330" s="21">
        <f t="shared" si="11"/>
        <v>195299399375</v>
      </c>
    </row>
    <row r="4331" spans="1:4" ht="14">
      <c r="A4331" s="16">
        <v>44706</v>
      </c>
      <c r="B4331" s="17">
        <v>29577.26</v>
      </c>
      <c r="C4331" s="18">
        <v>27525063551</v>
      </c>
      <c r="D4331" s="21">
        <f t="shared" si="11"/>
        <v>192814432145</v>
      </c>
    </row>
    <row r="4332" spans="1:4" ht="14">
      <c r="A4332" s="16">
        <v>44707</v>
      </c>
      <c r="B4332" s="17">
        <v>29332.49</v>
      </c>
      <c r="C4332" s="18">
        <v>36774325352</v>
      </c>
      <c r="D4332" s="21">
        <f t="shared" si="11"/>
        <v>189054227377</v>
      </c>
    </row>
    <row r="4333" spans="1:4" ht="14">
      <c r="A4333" s="16">
        <v>44708</v>
      </c>
      <c r="B4333" s="17">
        <v>28612.04</v>
      </c>
      <c r="C4333" s="18">
        <v>36582005748</v>
      </c>
      <c r="D4333" s="21">
        <f t="shared" si="11"/>
        <v>192055105022</v>
      </c>
    </row>
    <row r="4334" spans="1:4" ht="14">
      <c r="A4334" s="16">
        <v>44709</v>
      </c>
      <c r="B4334" s="17">
        <v>29045.52</v>
      </c>
      <c r="C4334" s="18">
        <v>19252320708</v>
      </c>
      <c r="D4334" s="21">
        <f t="shared" si="11"/>
        <v>197887728165</v>
      </c>
    </row>
    <row r="4335" spans="1:4" ht="14">
      <c r="A4335" s="16">
        <v>44710</v>
      </c>
      <c r="B4335" s="17">
        <v>29430.07</v>
      </c>
      <c r="C4335" s="18">
        <v>18093886409</v>
      </c>
      <c r="D4335" s="21">
        <f t="shared" si="11"/>
        <v>199865208431</v>
      </c>
    </row>
    <row r="4336" spans="1:4" ht="14">
      <c r="A4336" s="16">
        <v>44711</v>
      </c>
      <c r="B4336" s="17">
        <v>31735.95</v>
      </c>
      <c r="C4336" s="18">
        <v>39277993274</v>
      </c>
      <c r="D4336" s="21">
        <f t="shared" si="11"/>
        <v>196327562570</v>
      </c>
    </row>
    <row r="4337" spans="1:4" ht="14">
      <c r="A4337" s="16">
        <v>44712</v>
      </c>
      <c r="B4337" s="17">
        <v>31831.41</v>
      </c>
      <c r="C4337" s="18">
        <v>33538210634</v>
      </c>
      <c r="D4337" s="21">
        <f t="shared" si="11"/>
        <v>204122101287</v>
      </c>
    </row>
    <row r="4338" spans="1:4" ht="14">
      <c r="A4338" s="16">
        <v>44713</v>
      </c>
      <c r="B4338" s="17">
        <v>29825.919999999998</v>
      </c>
      <c r="C4338" s="18">
        <v>41135817341</v>
      </c>
      <c r="D4338" s="21">
        <f t="shared" si="11"/>
        <v>211043805676</v>
      </c>
    </row>
    <row r="4339" spans="1:4" ht="14">
      <c r="A4339" s="16">
        <v>44714</v>
      </c>
      <c r="B4339" s="17">
        <v>30504.27</v>
      </c>
      <c r="C4339" s="18">
        <v>29083562061</v>
      </c>
      <c r="D4339" s="21">
        <f t="shared" si="11"/>
        <v>224654559466</v>
      </c>
    </row>
    <row r="4340" spans="1:4" ht="14">
      <c r="A4340" s="16">
        <v>44715</v>
      </c>
      <c r="B4340" s="17">
        <v>29662.67</v>
      </c>
      <c r="C4340" s="18">
        <v>26175547452</v>
      </c>
      <c r="D4340" s="21">
        <f t="shared" si="11"/>
        <v>216963796175</v>
      </c>
    </row>
    <row r="4341" spans="1:4" ht="14">
      <c r="A4341" s="16">
        <v>44716</v>
      </c>
      <c r="B4341" s="17">
        <v>29792.41</v>
      </c>
      <c r="C4341" s="18">
        <v>16588370958</v>
      </c>
      <c r="D4341" s="21">
        <f t="shared" si="11"/>
        <v>206557337879</v>
      </c>
    </row>
    <row r="4342" spans="1:4" ht="14">
      <c r="A4342" s="16">
        <v>44717</v>
      </c>
      <c r="B4342" s="17">
        <v>29915.41</v>
      </c>
      <c r="C4342" s="18">
        <v>17264085441</v>
      </c>
      <c r="D4342" s="21">
        <f t="shared" si="11"/>
        <v>203893388129</v>
      </c>
    </row>
    <row r="4343" spans="1:4" ht="14">
      <c r="A4343" s="16">
        <v>44718</v>
      </c>
      <c r="B4343" s="17">
        <v>31333.68</v>
      </c>
      <c r="C4343" s="18">
        <v>31947336829</v>
      </c>
      <c r="D4343" s="21">
        <f t="shared" si="11"/>
        <v>203063587161</v>
      </c>
    </row>
    <row r="4344" spans="1:4" ht="14">
      <c r="A4344" s="16">
        <v>44719</v>
      </c>
      <c r="B4344" s="17">
        <v>31175.03</v>
      </c>
      <c r="C4344" s="18">
        <v>40770974039</v>
      </c>
      <c r="D4344" s="21">
        <f t="shared" si="11"/>
        <v>195732930716</v>
      </c>
    </row>
    <row r="4345" spans="1:4" ht="14">
      <c r="A4345" s="16">
        <v>44720</v>
      </c>
      <c r="B4345" s="17">
        <v>30228.46</v>
      </c>
      <c r="C4345" s="18">
        <v>30242059107</v>
      </c>
      <c r="D4345" s="21">
        <f t="shared" si="11"/>
        <v>202965694121</v>
      </c>
    </row>
    <row r="4346" spans="1:4" ht="14">
      <c r="A4346" s="16">
        <v>44721</v>
      </c>
      <c r="B4346" s="17">
        <v>30064.49</v>
      </c>
      <c r="C4346" s="18">
        <v>21692004719</v>
      </c>
      <c r="D4346" s="21">
        <f t="shared" si="11"/>
        <v>192071935887</v>
      </c>
    </row>
    <row r="4347" spans="1:4" ht="14">
      <c r="A4347" s="16">
        <v>44722</v>
      </c>
      <c r="B4347" s="17">
        <v>29070.400000000001</v>
      </c>
      <c r="C4347" s="18">
        <v>29867476527</v>
      </c>
      <c r="D4347" s="21">
        <f t="shared" si="11"/>
        <v>184680378545</v>
      </c>
    </row>
    <row r="4348" spans="1:4" ht="14">
      <c r="A4348" s="16">
        <v>44723</v>
      </c>
      <c r="B4348" s="17">
        <v>28360.79</v>
      </c>
      <c r="C4348" s="18">
        <v>27246574439</v>
      </c>
      <c r="D4348" s="21">
        <f t="shared" si="11"/>
        <v>188372307620</v>
      </c>
    </row>
    <row r="4349" spans="1:4" ht="14">
      <c r="A4349" s="16">
        <v>44724</v>
      </c>
      <c r="B4349" s="17">
        <v>26830.28</v>
      </c>
      <c r="C4349" s="18">
        <v>34163220274</v>
      </c>
      <c r="D4349" s="21">
        <f t="shared" si="11"/>
        <v>199030511101</v>
      </c>
    </row>
    <row r="4350" spans="1:4" ht="14">
      <c r="A4350" s="16">
        <v>44725</v>
      </c>
      <c r="B4350" s="17">
        <v>22316.26</v>
      </c>
      <c r="C4350" s="18">
        <v>68204556440</v>
      </c>
      <c r="D4350" s="21">
        <f t="shared" si="11"/>
        <v>215929645934</v>
      </c>
    </row>
    <row r="4351" spans="1:4" ht="14">
      <c r="A4351" s="16">
        <v>44726</v>
      </c>
      <c r="B4351" s="17">
        <v>22072.87</v>
      </c>
      <c r="C4351" s="18">
        <v>50913575242</v>
      </c>
      <c r="D4351" s="21">
        <f t="shared" si="11"/>
        <v>252186865545</v>
      </c>
    </row>
    <row r="4352" spans="1:4" ht="14">
      <c r="A4352" s="16">
        <v>44727</v>
      </c>
      <c r="B4352" s="17">
        <v>22520.79</v>
      </c>
      <c r="C4352" s="18">
        <v>54912007015</v>
      </c>
      <c r="D4352" s="21">
        <f t="shared" si="11"/>
        <v>262329466748</v>
      </c>
    </row>
    <row r="4353" spans="1:4" ht="14">
      <c r="A4353" s="16">
        <v>44728</v>
      </c>
      <c r="B4353" s="17">
        <v>20310.18</v>
      </c>
      <c r="C4353" s="18">
        <v>31183975654</v>
      </c>
      <c r="D4353" s="21">
        <f t="shared" si="11"/>
        <v>286999414656</v>
      </c>
    </row>
    <row r="4354" spans="1:4" ht="14">
      <c r="A4354" s="16">
        <v>44729</v>
      </c>
      <c r="B4354" s="17">
        <v>20440.7</v>
      </c>
      <c r="C4354" s="18">
        <v>27132421514</v>
      </c>
      <c r="D4354" s="21">
        <f t="shared" si="11"/>
        <v>296491385591</v>
      </c>
    </row>
    <row r="4355" spans="1:4" ht="14">
      <c r="A4355" s="16">
        <v>44730</v>
      </c>
      <c r="B4355" s="17">
        <v>18970.79</v>
      </c>
      <c r="C4355" s="18">
        <v>42009436760</v>
      </c>
      <c r="D4355" s="21">
        <f t="shared" si="11"/>
        <v>293756330578</v>
      </c>
    </row>
    <row r="4356" spans="1:4" ht="14">
      <c r="A4356" s="16">
        <v>44731</v>
      </c>
      <c r="B4356" s="17">
        <v>20492.3</v>
      </c>
      <c r="C4356" s="18">
        <v>35329942625</v>
      </c>
      <c r="D4356" s="21">
        <f t="shared" si="11"/>
        <v>308519192899</v>
      </c>
    </row>
    <row r="4357" spans="1:4" ht="14">
      <c r="A4357" s="16">
        <v>44732</v>
      </c>
      <c r="B4357" s="17">
        <v>20571.63</v>
      </c>
      <c r="C4357" s="18">
        <v>30818458597</v>
      </c>
      <c r="D4357" s="21">
        <f t="shared" si="11"/>
        <v>309685915250</v>
      </c>
    </row>
    <row r="4358" spans="1:4" ht="14">
      <c r="A4358" s="16">
        <v>44733</v>
      </c>
      <c r="B4358" s="17">
        <v>20688.47</v>
      </c>
      <c r="C4358" s="18">
        <v>28970212744</v>
      </c>
      <c r="D4358" s="21">
        <f t="shared" si="11"/>
        <v>272299817407</v>
      </c>
    </row>
    <row r="4359" spans="1:4" ht="14">
      <c r="A4359" s="16">
        <v>44734</v>
      </c>
      <c r="B4359" s="17">
        <v>20003.169999999998</v>
      </c>
      <c r="C4359" s="18">
        <v>28574793478</v>
      </c>
      <c r="D4359" s="21">
        <f t="shared" si="11"/>
        <v>250356454909</v>
      </c>
    </row>
    <row r="4360" spans="1:4" ht="14">
      <c r="A4360" s="16">
        <v>44735</v>
      </c>
      <c r="B4360" s="17">
        <v>21097.1</v>
      </c>
      <c r="C4360" s="18">
        <v>26188097173</v>
      </c>
      <c r="D4360" s="21">
        <f t="shared" si="11"/>
        <v>224019241372</v>
      </c>
    </row>
    <row r="4361" spans="1:4" ht="14">
      <c r="A4361" s="16">
        <v>44736</v>
      </c>
      <c r="B4361" s="17">
        <v>21299.08</v>
      </c>
      <c r="C4361" s="18">
        <v>24957784918</v>
      </c>
      <c r="D4361" s="21">
        <f t="shared" si="11"/>
        <v>219023362891</v>
      </c>
    </row>
    <row r="4362" spans="1:4" ht="14">
      <c r="A4362" s="16">
        <v>44737</v>
      </c>
      <c r="B4362" s="17">
        <v>21468.34</v>
      </c>
      <c r="C4362" s="18">
        <v>18372538715</v>
      </c>
      <c r="D4362" s="21">
        <f t="shared" si="11"/>
        <v>216848726295</v>
      </c>
    </row>
    <row r="4363" spans="1:4" ht="14">
      <c r="A4363" s="16">
        <v>44738</v>
      </c>
      <c r="B4363" s="17">
        <v>21066.62</v>
      </c>
      <c r="C4363" s="18">
        <v>18027170497</v>
      </c>
      <c r="D4363" s="21">
        <f t="shared" si="11"/>
        <v>193211828250</v>
      </c>
    </row>
    <row r="4364" spans="1:4" ht="14">
      <c r="A4364" s="16">
        <v>44739</v>
      </c>
      <c r="B4364" s="17">
        <v>20751.05</v>
      </c>
      <c r="C4364" s="18">
        <v>20965695707</v>
      </c>
      <c r="D4364" s="21">
        <f t="shared" si="11"/>
        <v>175909056122</v>
      </c>
    </row>
    <row r="4365" spans="1:4" ht="14">
      <c r="A4365" s="16">
        <v>44740</v>
      </c>
      <c r="B4365" s="17">
        <v>20263.22</v>
      </c>
      <c r="C4365" s="18">
        <v>21381535161</v>
      </c>
      <c r="D4365" s="21">
        <f t="shared" si="11"/>
        <v>166056293232</v>
      </c>
    </row>
    <row r="4366" spans="1:4" ht="14">
      <c r="A4366" s="16">
        <v>44741</v>
      </c>
      <c r="B4366" s="17">
        <v>20080.95</v>
      </c>
      <c r="C4366" s="18">
        <v>23552740328</v>
      </c>
      <c r="D4366" s="21">
        <f t="shared" si="11"/>
        <v>158467615649</v>
      </c>
    </row>
    <row r="4367" spans="1:4" ht="14">
      <c r="A4367" s="16">
        <v>44742</v>
      </c>
      <c r="B4367" s="17">
        <v>19332.91</v>
      </c>
      <c r="C4367" s="18">
        <v>26267239923</v>
      </c>
      <c r="D4367" s="21">
        <f t="shared" si="11"/>
        <v>153445562499</v>
      </c>
    </row>
    <row r="4368" spans="1:4" ht="14">
      <c r="A4368" s="16">
        <v>44743</v>
      </c>
      <c r="B4368" s="17">
        <v>19341.86</v>
      </c>
      <c r="C4368" s="18">
        <v>30767551159</v>
      </c>
      <c r="D4368" s="21">
        <f t="shared" si="11"/>
        <v>153524705249</v>
      </c>
    </row>
    <row r="4369" spans="1:4" ht="14">
      <c r="A4369" s="16">
        <v>44744</v>
      </c>
      <c r="B4369" s="17">
        <v>19231.830000000002</v>
      </c>
      <c r="C4369" s="18">
        <v>18100418740</v>
      </c>
      <c r="D4369" s="21">
        <f t="shared" si="11"/>
        <v>159334471490</v>
      </c>
    </row>
    <row r="4370" spans="1:4" ht="14">
      <c r="A4370" s="16">
        <v>44745</v>
      </c>
      <c r="B4370" s="17">
        <v>19276.509999999998</v>
      </c>
      <c r="C4370" s="18">
        <v>16390821947</v>
      </c>
      <c r="D4370" s="21">
        <f t="shared" si="11"/>
        <v>159062351515</v>
      </c>
    </row>
    <row r="4371" spans="1:4" ht="14">
      <c r="A4371" s="16">
        <v>44746</v>
      </c>
      <c r="B4371" s="17">
        <v>20226.3</v>
      </c>
      <c r="C4371" s="18">
        <v>21594638208</v>
      </c>
      <c r="D4371" s="21">
        <f t="shared" si="11"/>
        <v>157426002965</v>
      </c>
    </row>
    <row r="4372" spans="1:4" ht="14">
      <c r="A4372" s="16">
        <v>44747</v>
      </c>
      <c r="B4372" s="17">
        <v>20193.34</v>
      </c>
      <c r="C4372" s="18">
        <v>26715546990</v>
      </c>
      <c r="D4372" s="21">
        <f t="shared" si="11"/>
        <v>158054945466</v>
      </c>
    </row>
    <row r="4373" spans="1:4" ht="14">
      <c r="A4373" s="16">
        <v>44748</v>
      </c>
      <c r="B4373" s="17">
        <v>20560.84</v>
      </c>
      <c r="C4373" s="18">
        <v>24598943708</v>
      </c>
      <c r="D4373" s="21">
        <f t="shared" si="11"/>
        <v>163388957295</v>
      </c>
    </row>
    <row r="4374" spans="1:4" ht="14">
      <c r="A4374" s="16">
        <v>44749</v>
      </c>
      <c r="B4374" s="17">
        <v>21651.42</v>
      </c>
      <c r="C4374" s="18">
        <v>25814972520</v>
      </c>
      <c r="D4374" s="21">
        <f t="shared" si="11"/>
        <v>164435160675</v>
      </c>
    </row>
    <row r="4375" spans="1:4" ht="14">
      <c r="A4375" s="16">
        <v>44750</v>
      </c>
      <c r="B4375" s="17">
        <v>21813.79</v>
      </c>
      <c r="C4375" s="18">
        <v>49899834488</v>
      </c>
      <c r="D4375" s="21">
        <f t="shared" si="11"/>
        <v>163982893272</v>
      </c>
    </row>
    <row r="4376" spans="1:4" ht="14">
      <c r="A4376" s="16">
        <v>44751</v>
      </c>
      <c r="B4376" s="17">
        <v>21585.13</v>
      </c>
      <c r="C4376" s="18">
        <v>29641127858</v>
      </c>
      <c r="D4376" s="21">
        <f t="shared" si="11"/>
        <v>183115176601</v>
      </c>
    </row>
    <row r="4377" spans="1:4" ht="14">
      <c r="A4377" s="16">
        <v>44752</v>
      </c>
      <c r="B4377" s="17">
        <v>20831.27</v>
      </c>
      <c r="C4377" s="18">
        <v>28688807249</v>
      </c>
      <c r="D4377" s="21">
        <f t="shared" si="11"/>
        <v>194655885719</v>
      </c>
    </row>
    <row r="4378" spans="1:4" ht="14">
      <c r="A4378" s="16">
        <v>44753</v>
      </c>
      <c r="B4378" s="17">
        <v>19971.330000000002</v>
      </c>
      <c r="C4378" s="18">
        <v>24150249025</v>
      </c>
      <c r="D4378" s="21">
        <f t="shared" si="11"/>
        <v>206953871021</v>
      </c>
    </row>
    <row r="4379" spans="1:4" ht="14">
      <c r="A4379" s="16">
        <v>44754</v>
      </c>
      <c r="B4379" s="17">
        <v>19339.150000000001</v>
      </c>
      <c r="C4379" s="18">
        <v>25810220018</v>
      </c>
      <c r="D4379" s="21">
        <f t="shared" si="11"/>
        <v>209509481838</v>
      </c>
    </row>
    <row r="4380" spans="1:4" ht="14">
      <c r="A4380" s="16">
        <v>44755</v>
      </c>
      <c r="B4380" s="17">
        <v>20155.53</v>
      </c>
      <c r="C4380" s="18">
        <v>33042430345</v>
      </c>
      <c r="D4380" s="21">
        <f t="shared" si="11"/>
        <v>208604154866</v>
      </c>
    </row>
    <row r="4381" spans="1:4" ht="14">
      <c r="A4381" s="16">
        <v>44756</v>
      </c>
      <c r="B4381" s="17">
        <v>20552.900000000001</v>
      </c>
      <c r="C4381" s="18">
        <v>31158743333</v>
      </c>
      <c r="D4381" s="21">
        <f t="shared" si="11"/>
        <v>217047641503</v>
      </c>
    </row>
    <row r="4382" spans="1:4" ht="14">
      <c r="A4382" s="16">
        <v>44757</v>
      </c>
      <c r="B4382" s="17">
        <v>20831.72</v>
      </c>
      <c r="C4382" s="18">
        <v>25905575359</v>
      </c>
      <c r="D4382" s="21">
        <f t="shared" si="11"/>
        <v>222391412316</v>
      </c>
    </row>
    <row r="4383" spans="1:4" ht="14">
      <c r="A4383" s="16">
        <v>44758</v>
      </c>
      <c r="B4383" s="17">
        <v>21196.51</v>
      </c>
      <c r="C4383" s="18">
        <v>24302954056</v>
      </c>
      <c r="D4383" s="21">
        <f t="shared" si="11"/>
        <v>198397153187</v>
      </c>
    </row>
    <row r="4384" spans="1:4" ht="14">
      <c r="A4384" s="16">
        <v>44759</v>
      </c>
      <c r="B4384" s="17">
        <v>20827.89</v>
      </c>
      <c r="C4384" s="18">
        <v>22927802083</v>
      </c>
      <c r="D4384" s="21">
        <f t="shared" si="11"/>
        <v>193058979385</v>
      </c>
    </row>
    <row r="4385" spans="1:4" ht="14">
      <c r="A4385" s="16">
        <v>44760</v>
      </c>
      <c r="B4385" s="17">
        <v>22305.71</v>
      </c>
      <c r="C4385" s="18">
        <v>39974475562</v>
      </c>
      <c r="D4385" s="21">
        <f t="shared" si="11"/>
        <v>187297974219</v>
      </c>
    </row>
    <row r="4386" spans="1:4" ht="14">
      <c r="A4386" s="16">
        <v>44761</v>
      </c>
      <c r="B4386" s="17">
        <v>23371.200000000001</v>
      </c>
      <c r="C4386" s="18">
        <v>48765202697</v>
      </c>
      <c r="D4386" s="21">
        <f t="shared" si="11"/>
        <v>203122200756</v>
      </c>
    </row>
    <row r="4387" spans="1:4" ht="14">
      <c r="A4387" s="16">
        <v>44762</v>
      </c>
      <c r="B4387" s="17">
        <v>23280.94</v>
      </c>
      <c r="C4387" s="18">
        <v>42932549127</v>
      </c>
      <c r="D4387" s="21">
        <f t="shared" si="11"/>
        <v>226077183435</v>
      </c>
    </row>
    <row r="4388" spans="1:4" ht="14">
      <c r="A4388" s="16">
        <v>44763</v>
      </c>
      <c r="B4388" s="17">
        <v>23152.41</v>
      </c>
      <c r="C4388" s="18">
        <v>33631012204</v>
      </c>
      <c r="D4388" s="21">
        <f t="shared" si="11"/>
        <v>235967302217</v>
      </c>
    </row>
    <row r="4389" spans="1:4" ht="14">
      <c r="A4389" s="16">
        <v>44764</v>
      </c>
      <c r="B4389" s="17">
        <v>22706.080000000002</v>
      </c>
      <c r="C4389" s="18">
        <v>31421555646</v>
      </c>
      <c r="D4389" s="21">
        <f t="shared" si="11"/>
        <v>238439571088</v>
      </c>
    </row>
    <row r="4390" spans="1:4" ht="14">
      <c r="A4390" s="16">
        <v>44765</v>
      </c>
      <c r="B4390" s="17">
        <v>22484.46</v>
      </c>
      <c r="C4390" s="18">
        <v>24021799169</v>
      </c>
      <c r="D4390" s="21">
        <f t="shared" si="11"/>
        <v>243955551375</v>
      </c>
    </row>
    <row r="4391" spans="1:4" ht="14">
      <c r="A4391" s="16">
        <v>44766</v>
      </c>
      <c r="B4391" s="17">
        <v>22653.360000000001</v>
      </c>
      <c r="C4391" s="18">
        <v>23565495303</v>
      </c>
      <c r="D4391" s="21">
        <f t="shared" si="11"/>
        <v>243674396488</v>
      </c>
    </row>
    <row r="4392" spans="1:4" ht="14">
      <c r="A4392" s="16">
        <v>44767</v>
      </c>
      <c r="B4392" s="17">
        <v>21510.13</v>
      </c>
      <c r="C4392" s="18">
        <v>35574561406</v>
      </c>
      <c r="D4392" s="21">
        <f t="shared" si="11"/>
        <v>244312089708</v>
      </c>
    </row>
    <row r="4393" spans="1:4" ht="14">
      <c r="A4393" s="16">
        <v>44768</v>
      </c>
      <c r="B4393" s="17">
        <v>21181.66</v>
      </c>
      <c r="C4393" s="18">
        <v>28624673855</v>
      </c>
      <c r="D4393" s="21">
        <f t="shared" si="11"/>
        <v>239912175552</v>
      </c>
    </row>
    <row r="4394" spans="1:4" ht="14">
      <c r="A4394" s="16">
        <v>44769</v>
      </c>
      <c r="B4394" s="17">
        <v>22898.42</v>
      </c>
      <c r="C4394" s="18">
        <v>31758955233</v>
      </c>
      <c r="D4394" s="21">
        <f t="shared" si="11"/>
        <v>219771646710</v>
      </c>
    </row>
    <row r="4395" spans="1:4" ht="14">
      <c r="A4395" s="16">
        <v>44770</v>
      </c>
      <c r="B4395" s="17">
        <v>23838.560000000001</v>
      </c>
      <c r="C4395" s="18">
        <v>40212386158</v>
      </c>
      <c r="D4395" s="21">
        <f t="shared" si="11"/>
        <v>208598052816</v>
      </c>
    </row>
    <row r="4396" spans="1:4" ht="14">
      <c r="A4396" s="16">
        <v>44771</v>
      </c>
      <c r="B4396" s="17">
        <v>23950.74</v>
      </c>
      <c r="C4396" s="18">
        <v>35887249746</v>
      </c>
      <c r="D4396" s="21">
        <f t="shared" si="11"/>
        <v>215179426770</v>
      </c>
    </row>
    <row r="4397" spans="1:4" ht="14">
      <c r="A4397" s="16">
        <v>44772</v>
      </c>
      <c r="B4397" s="17">
        <v>23623.43</v>
      </c>
      <c r="C4397" s="18">
        <v>28148218301</v>
      </c>
      <c r="D4397" s="21">
        <f t="shared" si="11"/>
        <v>219645120870</v>
      </c>
    </row>
    <row r="4398" spans="1:4" ht="14">
      <c r="A4398" s="16">
        <v>44773</v>
      </c>
      <c r="B4398" s="17">
        <v>23356.17</v>
      </c>
      <c r="C4398" s="18">
        <v>23553591896</v>
      </c>
      <c r="D4398" s="21">
        <f t="shared" si="11"/>
        <v>223771540002</v>
      </c>
    </row>
    <row r="4399" spans="1:4" ht="14">
      <c r="A4399" s="16">
        <v>44774</v>
      </c>
      <c r="B4399" s="17">
        <v>23331.439999999999</v>
      </c>
      <c r="C4399" s="18">
        <v>25849159141</v>
      </c>
      <c r="D4399" s="21">
        <f t="shared" si="11"/>
        <v>223759636595</v>
      </c>
    </row>
    <row r="4400" spans="1:4" ht="14">
      <c r="A4400" s="16">
        <v>44775</v>
      </c>
      <c r="B4400" s="17">
        <v>23031.43</v>
      </c>
      <c r="C4400" s="18">
        <v>28389250717</v>
      </c>
      <c r="D4400" s="21">
        <f t="shared" si="11"/>
        <v>214034234330</v>
      </c>
    </row>
    <row r="4401" spans="1:4" ht="14">
      <c r="A4401" s="16">
        <v>44776</v>
      </c>
      <c r="B4401" s="17">
        <v>22809.75</v>
      </c>
      <c r="C4401" s="18">
        <v>26288169966</v>
      </c>
      <c r="D4401" s="21">
        <f t="shared" si="11"/>
        <v>213798811192</v>
      </c>
    </row>
    <row r="4402" spans="1:4" ht="14">
      <c r="A4402" s="16">
        <v>44777</v>
      </c>
      <c r="B4402" s="17">
        <v>22628.33</v>
      </c>
      <c r="C4402" s="18">
        <v>25120229769</v>
      </c>
      <c r="D4402" s="21">
        <f t="shared" si="11"/>
        <v>208328025925</v>
      </c>
    </row>
    <row r="4403" spans="1:4" ht="14">
      <c r="A4403" s="16">
        <v>44778</v>
      </c>
      <c r="B4403" s="17">
        <v>23248.97</v>
      </c>
      <c r="C4403" s="18">
        <v>28881249043</v>
      </c>
      <c r="D4403" s="21">
        <f t="shared" si="11"/>
        <v>193235869536</v>
      </c>
    </row>
    <row r="4404" spans="1:4" ht="14">
      <c r="A4404" s="16">
        <v>44779</v>
      </c>
      <c r="B4404" s="17">
        <v>22996.28</v>
      </c>
      <c r="C4404" s="18">
        <v>15978259885</v>
      </c>
      <c r="D4404" s="21">
        <f t="shared" si="11"/>
        <v>186229868833</v>
      </c>
    </row>
    <row r="4405" spans="1:4" ht="14">
      <c r="A4405" s="16">
        <v>44780</v>
      </c>
      <c r="B4405" s="17">
        <v>23153.66</v>
      </c>
      <c r="C4405" s="18">
        <v>15886817043</v>
      </c>
      <c r="D4405" s="21">
        <f t="shared" si="11"/>
        <v>174059910417</v>
      </c>
    </row>
    <row r="4406" spans="1:4" ht="14">
      <c r="A4406" s="16">
        <v>44781</v>
      </c>
      <c r="B4406" s="17">
        <v>23803.65</v>
      </c>
      <c r="C4406" s="18">
        <v>28575544847</v>
      </c>
      <c r="D4406" s="21">
        <f t="shared" si="11"/>
        <v>166393135564</v>
      </c>
    </row>
    <row r="4407" spans="1:4" ht="14">
      <c r="A4407" s="16">
        <v>44782</v>
      </c>
      <c r="B4407" s="17">
        <v>23186.29</v>
      </c>
      <c r="C4407" s="18">
        <v>23555719219</v>
      </c>
      <c r="D4407" s="21">
        <f t="shared" si="11"/>
        <v>169119521270</v>
      </c>
    </row>
    <row r="4408" spans="1:4" ht="14">
      <c r="A4408" s="16">
        <v>44783</v>
      </c>
      <c r="B4408" s="17">
        <v>23923.06</v>
      </c>
      <c r="C4408" s="18">
        <v>32837431722</v>
      </c>
      <c r="D4408" s="21">
        <f t="shared" si="11"/>
        <v>164285989772</v>
      </c>
    </row>
    <row r="4409" spans="1:4" ht="14">
      <c r="A4409" s="16">
        <v>44784</v>
      </c>
      <c r="B4409" s="17">
        <v>23836.5</v>
      </c>
      <c r="C4409" s="18">
        <v>37127036580</v>
      </c>
      <c r="D4409" s="21">
        <f t="shared" si="11"/>
        <v>170835251528</v>
      </c>
    </row>
    <row r="4410" spans="1:4" ht="14">
      <c r="A4410" s="16">
        <v>44785</v>
      </c>
      <c r="B4410" s="17">
        <v>24396.31</v>
      </c>
      <c r="C4410" s="18">
        <v>27265804688</v>
      </c>
      <c r="D4410" s="21">
        <f t="shared" si="11"/>
        <v>182842058339</v>
      </c>
    </row>
    <row r="4411" spans="1:4" ht="14">
      <c r="A4411" s="16">
        <v>44786</v>
      </c>
      <c r="B4411" s="17">
        <v>24426.22</v>
      </c>
      <c r="C4411" s="18">
        <v>22987346289</v>
      </c>
      <c r="D4411" s="21">
        <f t="shared" si="11"/>
        <v>181226613984</v>
      </c>
    </row>
    <row r="4412" spans="1:4" ht="14">
      <c r="A4412" s="16">
        <v>44787</v>
      </c>
      <c r="B4412" s="17">
        <v>24314.2</v>
      </c>
      <c r="C4412" s="18">
        <v>22994133555</v>
      </c>
      <c r="D4412" s="21">
        <f t="shared" si="11"/>
        <v>188235700388</v>
      </c>
    </row>
    <row r="4413" spans="1:4" ht="14">
      <c r="A4413" s="16">
        <v>44788</v>
      </c>
      <c r="B4413" s="17">
        <v>24083.95</v>
      </c>
      <c r="C4413" s="18">
        <v>35123501685</v>
      </c>
      <c r="D4413" s="21">
        <f t="shared" si="11"/>
        <v>195343016900</v>
      </c>
    </row>
    <row r="4414" spans="1:4" ht="14">
      <c r="A4414" s="16">
        <v>44789</v>
      </c>
      <c r="B4414" s="17">
        <v>23868.82</v>
      </c>
      <c r="C4414" s="18">
        <v>27753685646</v>
      </c>
      <c r="D4414" s="21">
        <f t="shared" si="11"/>
        <v>201890973738</v>
      </c>
    </row>
    <row r="4415" spans="1:4" ht="14">
      <c r="A4415" s="16">
        <v>44790</v>
      </c>
      <c r="B4415" s="17">
        <v>23336.35</v>
      </c>
      <c r="C4415" s="18">
        <v>30931623076</v>
      </c>
      <c r="D4415" s="21">
        <f t="shared" si="11"/>
        <v>206088940165</v>
      </c>
    </row>
    <row r="4416" spans="1:4" ht="14">
      <c r="A4416" s="16">
        <v>44791</v>
      </c>
      <c r="B4416" s="17">
        <v>23221.17</v>
      </c>
      <c r="C4416" s="18">
        <v>23747613147</v>
      </c>
      <c r="D4416" s="21">
        <f t="shared" si="11"/>
        <v>204183131519</v>
      </c>
    </row>
    <row r="4417" spans="1:4" ht="14">
      <c r="A4417" s="16">
        <v>44792</v>
      </c>
      <c r="B4417" s="17">
        <v>20906.77</v>
      </c>
      <c r="C4417" s="18">
        <v>40509610260</v>
      </c>
      <c r="D4417" s="21">
        <f t="shared" si="11"/>
        <v>190803708086</v>
      </c>
    </row>
    <row r="4418" spans="1:4" ht="14">
      <c r="A4418" s="16">
        <v>44793</v>
      </c>
      <c r="B4418" s="17">
        <v>21146.65</v>
      </c>
      <c r="C4418" s="18">
        <v>27595671000</v>
      </c>
      <c r="D4418" s="21">
        <f t="shared" si="11"/>
        <v>204047513658</v>
      </c>
    </row>
    <row r="4419" spans="1:4" ht="14">
      <c r="A4419" s="16">
        <v>44794</v>
      </c>
      <c r="B4419" s="17">
        <v>21554</v>
      </c>
      <c r="C4419" s="18">
        <v>23102307723</v>
      </c>
      <c r="D4419" s="21">
        <f t="shared" si="11"/>
        <v>208655838369</v>
      </c>
    </row>
    <row r="4420" spans="1:4" ht="14">
      <c r="A4420" s="16">
        <v>44795</v>
      </c>
      <c r="B4420" s="17">
        <v>21301.08</v>
      </c>
      <c r="C4420" s="18">
        <v>31666498758</v>
      </c>
      <c r="D4420" s="21">
        <f t="shared" si="11"/>
        <v>208764012537</v>
      </c>
    </row>
    <row r="4421" spans="1:4" ht="14">
      <c r="A4421" s="16">
        <v>44796</v>
      </c>
      <c r="B4421" s="17">
        <v>21521.599999999999</v>
      </c>
      <c r="C4421" s="18">
        <v>31878280659</v>
      </c>
      <c r="D4421" s="21">
        <f t="shared" si="11"/>
        <v>205307009610</v>
      </c>
    </row>
    <row r="4422" spans="1:4" ht="14">
      <c r="A4422" s="16">
        <v>44797</v>
      </c>
      <c r="B4422" s="17">
        <v>21424.97</v>
      </c>
      <c r="C4422" s="18">
        <v>31962253368</v>
      </c>
      <c r="D4422" s="21">
        <f t="shared" si="11"/>
        <v>209431604623</v>
      </c>
    </row>
    <row r="4423" spans="1:4" ht="14">
      <c r="A4423" s="16">
        <v>44798</v>
      </c>
      <c r="B4423" s="17">
        <v>21587.84</v>
      </c>
      <c r="C4423" s="18">
        <v>31028679593</v>
      </c>
      <c r="D4423" s="21">
        <f t="shared" si="11"/>
        <v>210462234915</v>
      </c>
    </row>
    <row r="4424" spans="1:4" ht="14">
      <c r="A4424" s="16">
        <v>44799</v>
      </c>
      <c r="B4424" s="17">
        <v>20246.169999999998</v>
      </c>
      <c r="C4424" s="18">
        <v>42326789564</v>
      </c>
      <c r="D4424" s="21">
        <f t="shared" si="11"/>
        <v>217743301361</v>
      </c>
    </row>
    <row r="4425" spans="1:4" ht="14">
      <c r="A4425" s="16">
        <v>44800</v>
      </c>
      <c r="B4425" s="17">
        <v>20043.990000000002</v>
      </c>
      <c r="C4425" s="18">
        <v>30116729776</v>
      </c>
      <c r="D4425" s="21">
        <f t="shared" si="11"/>
        <v>219560480665</v>
      </c>
    </row>
    <row r="4426" spans="1:4" ht="14">
      <c r="A4426" s="16">
        <v>44801</v>
      </c>
      <c r="B4426" s="17">
        <v>19673.54</v>
      </c>
      <c r="C4426" s="18">
        <v>24366810591</v>
      </c>
      <c r="D4426" s="21">
        <f t="shared" si="11"/>
        <v>222081539441</v>
      </c>
    </row>
    <row r="4427" spans="1:4" ht="14">
      <c r="A4427" s="16">
        <v>44802</v>
      </c>
      <c r="B4427" s="17">
        <v>20270.96</v>
      </c>
      <c r="C4427" s="18">
        <v>32637854078</v>
      </c>
      <c r="D4427" s="21">
        <f t="shared" si="11"/>
        <v>223346042309</v>
      </c>
    </row>
    <row r="4428" spans="1:4" ht="14">
      <c r="A4428" s="16">
        <v>44803</v>
      </c>
      <c r="B4428" s="17">
        <v>19825.46</v>
      </c>
      <c r="C4428" s="18">
        <v>34483360283</v>
      </c>
      <c r="D4428" s="21">
        <f t="shared" si="11"/>
        <v>224317397629</v>
      </c>
    </row>
    <row r="4429" spans="1:4" ht="14">
      <c r="A4429" s="16">
        <v>44804</v>
      </c>
      <c r="B4429" s="17">
        <v>20024.669999999998</v>
      </c>
      <c r="C4429" s="18">
        <v>33225232872</v>
      </c>
      <c r="D4429" s="21">
        <f t="shared" si="11"/>
        <v>226922477253</v>
      </c>
    </row>
    <row r="4430" spans="1:4" ht="14">
      <c r="A4430" s="16">
        <v>44805</v>
      </c>
      <c r="B4430" s="17">
        <v>20105.46</v>
      </c>
      <c r="C4430" s="18">
        <v>30182031010</v>
      </c>
      <c r="D4430" s="21">
        <f t="shared" si="11"/>
        <v>228185456757</v>
      </c>
    </row>
    <row r="4431" spans="1:4" ht="14">
      <c r="A4431" s="16">
        <v>44806</v>
      </c>
      <c r="B4431" s="17">
        <v>19948.86</v>
      </c>
      <c r="C4431" s="18">
        <v>29123998928</v>
      </c>
      <c r="D4431" s="21">
        <f t="shared" si="11"/>
        <v>227338808174</v>
      </c>
    </row>
    <row r="4432" spans="1:4" ht="14">
      <c r="A4432" s="16">
        <v>44807</v>
      </c>
      <c r="B4432" s="17">
        <v>19803.830000000002</v>
      </c>
      <c r="C4432" s="18">
        <v>23613051457</v>
      </c>
      <c r="D4432" s="21">
        <f t="shared" si="11"/>
        <v>214136017538</v>
      </c>
    </row>
    <row r="4433" spans="1:4" ht="14">
      <c r="A4433" s="16">
        <v>44808</v>
      </c>
      <c r="B4433" s="17">
        <v>19961.91</v>
      </c>
      <c r="C4433" s="18">
        <v>25245861652</v>
      </c>
      <c r="D4433" s="21">
        <f t="shared" si="11"/>
        <v>207632339219</v>
      </c>
    </row>
    <row r="4434" spans="1:4" ht="14">
      <c r="A4434" s="16">
        <v>44809</v>
      </c>
      <c r="B4434" s="17">
        <v>19797.8</v>
      </c>
      <c r="C4434" s="18">
        <v>28813460025</v>
      </c>
      <c r="D4434" s="21">
        <f t="shared" si="11"/>
        <v>208511390280</v>
      </c>
    </row>
    <row r="4435" spans="1:4" ht="14">
      <c r="A4435" s="16">
        <v>44810</v>
      </c>
      <c r="B4435" s="17">
        <v>18846.150000000001</v>
      </c>
      <c r="C4435" s="18">
        <v>43403978910</v>
      </c>
      <c r="D4435" s="21">
        <f t="shared" si="11"/>
        <v>204686996227</v>
      </c>
    </row>
    <row r="4436" spans="1:4" ht="14">
      <c r="A4436" s="16">
        <v>44811</v>
      </c>
      <c r="B4436" s="17">
        <v>19292.91</v>
      </c>
      <c r="C4436" s="18">
        <v>35239757134</v>
      </c>
      <c r="D4436" s="21">
        <f t="shared" si="11"/>
        <v>213607614854</v>
      </c>
    </row>
    <row r="4437" spans="1:4" ht="14">
      <c r="A4437" s="16">
        <v>44812</v>
      </c>
      <c r="B4437" s="17">
        <v>19319.12</v>
      </c>
      <c r="C4437" s="18">
        <v>32194477850</v>
      </c>
      <c r="D4437" s="21">
        <f t="shared" si="11"/>
        <v>215622139116</v>
      </c>
    </row>
    <row r="4438" spans="1:4" ht="14">
      <c r="A4438" s="16">
        <v>44813</v>
      </c>
      <c r="B4438" s="17">
        <v>21363.19</v>
      </c>
      <c r="C4438" s="18">
        <v>48469528171</v>
      </c>
      <c r="D4438" s="21">
        <f t="shared" si="11"/>
        <v>217634585956</v>
      </c>
    </row>
    <row r="4439" spans="1:4" ht="14">
      <c r="A4439" s="16">
        <v>44814</v>
      </c>
      <c r="B4439" s="17">
        <v>21715.599999999999</v>
      </c>
      <c r="C4439" s="18">
        <v>36913738894</v>
      </c>
      <c r="D4439" s="21">
        <f t="shared" si="11"/>
        <v>236980115199</v>
      </c>
    </row>
    <row r="4440" spans="1:4" ht="14">
      <c r="A4440" s="16">
        <v>44815</v>
      </c>
      <c r="B4440" s="17">
        <v>21732.86</v>
      </c>
      <c r="C4440" s="18">
        <v>34493951963</v>
      </c>
      <c r="D4440" s="21">
        <f t="shared" si="11"/>
        <v>250280802636</v>
      </c>
    </row>
    <row r="4441" spans="1:4" ht="14">
      <c r="A4441" s="16">
        <v>44816</v>
      </c>
      <c r="B4441" s="17">
        <v>22364.720000000001</v>
      </c>
      <c r="C4441" s="18">
        <v>50212088965</v>
      </c>
      <c r="D4441" s="21">
        <f t="shared" si="11"/>
        <v>259528892947</v>
      </c>
    </row>
    <row r="4442" spans="1:4" ht="14">
      <c r="A4442" s="16">
        <v>44817</v>
      </c>
      <c r="B4442" s="17">
        <v>20165.04</v>
      </c>
      <c r="C4442" s="18">
        <v>51091116622</v>
      </c>
      <c r="D4442" s="21">
        <f t="shared" si="11"/>
        <v>280927521887</v>
      </c>
    </row>
    <row r="4443" spans="1:4" ht="14">
      <c r="A4443" s="16">
        <v>44818</v>
      </c>
      <c r="B4443" s="17">
        <v>20246.37</v>
      </c>
      <c r="C4443" s="18">
        <v>37872380889</v>
      </c>
      <c r="D4443" s="21">
        <f t="shared" si="11"/>
        <v>288614659599</v>
      </c>
    </row>
    <row r="4444" spans="1:4" ht="14">
      <c r="A4444" s="16">
        <v>44819</v>
      </c>
      <c r="B4444" s="17">
        <v>19696.87</v>
      </c>
      <c r="C4444" s="18">
        <v>36389011503</v>
      </c>
      <c r="D4444" s="21">
        <f t="shared" si="11"/>
        <v>291247283354</v>
      </c>
    </row>
    <row r="4445" spans="1:4" ht="14">
      <c r="A4445" s="16">
        <v>44820</v>
      </c>
      <c r="B4445" s="17">
        <v>19741.580000000002</v>
      </c>
      <c r="C4445" s="18">
        <v>30123362273</v>
      </c>
      <c r="D4445" s="21">
        <f t="shared" si="11"/>
        <v>295441817007</v>
      </c>
    </row>
    <row r="4446" spans="1:4" ht="14">
      <c r="A4446" s="16">
        <v>44821</v>
      </c>
      <c r="B4446" s="17">
        <v>20120.7</v>
      </c>
      <c r="C4446" s="18">
        <v>24957448100</v>
      </c>
      <c r="D4446" s="21">
        <f t="shared" si="11"/>
        <v>277095651109</v>
      </c>
    </row>
    <row r="4447" spans="1:4" ht="14">
      <c r="A4447" s="16">
        <v>44822</v>
      </c>
      <c r="B4447" s="17">
        <v>19427.099999999999</v>
      </c>
      <c r="C4447" s="18">
        <v>31254779144</v>
      </c>
      <c r="D4447" s="21">
        <f t="shared" si="11"/>
        <v>265139360315</v>
      </c>
    </row>
    <row r="4448" spans="1:4" ht="14">
      <c r="A4448" s="16">
        <v>44823</v>
      </c>
      <c r="B4448" s="17">
        <v>19557.98</v>
      </c>
      <c r="C4448" s="18">
        <v>40177002624</v>
      </c>
      <c r="D4448" s="21">
        <f t="shared" si="11"/>
        <v>261900187496</v>
      </c>
    </row>
    <row r="4449" spans="1:4" ht="14">
      <c r="A4449" s="16">
        <v>44824</v>
      </c>
      <c r="B4449" s="17">
        <v>18872.95</v>
      </c>
      <c r="C4449" s="18">
        <v>36791346508</v>
      </c>
      <c r="D4449" s="21">
        <f t="shared" si="11"/>
        <v>251865101155</v>
      </c>
    </row>
    <row r="4450" spans="1:4" ht="14">
      <c r="A4450" s="16">
        <v>44825</v>
      </c>
      <c r="B4450" s="17">
        <v>18506.759999999998</v>
      </c>
      <c r="C4450" s="18">
        <v>46363793975</v>
      </c>
      <c r="D4450" s="21">
        <f t="shared" si="11"/>
        <v>237565331041</v>
      </c>
    </row>
    <row r="4451" spans="1:4" ht="14">
      <c r="A4451" s="16">
        <v>44826</v>
      </c>
      <c r="B4451" s="17">
        <v>19414.54</v>
      </c>
      <c r="C4451" s="18">
        <v>41135767926</v>
      </c>
      <c r="D4451" s="21">
        <f t="shared" si="11"/>
        <v>246056744127</v>
      </c>
    </row>
    <row r="4452" spans="1:4" ht="14">
      <c r="A4452" s="16">
        <v>44827</v>
      </c>
      <c r="B4452" s="17">
        <v>19326.86</v>
      </c>
      <c r="C4452" s="18">
        <v>38896078052</v>
      </c>
      <c r="D4452" s="21">
        <f t="shared" si="11"/>
        <v>250803500550</v>
      </c>
    </row>
    <row r="4453" spans="1:4" ht="14">
      <c r="A4453" s="16">
        <v>44828</v>
      </c>
      <c r="B4453" s="17">
        <v>18924.77</v>
      </c>
      <c r="C4453" s="18">
        <v>26149643168</v>
      </c>
      <c r="D4453" s="21">
        <f t="shared" si="11"/>
        <v>259576216329</v>
      </c>
    </row>
    <row r="4454" spans="1:4" ht="14">
      <c r="A4454" s="16">
        <v>44829</v>
      </c>
      <c r="B4454" s="17">
        <v>18793.16</v>
      </c>
      <c r="C4454" s="18">
        <v>23359966112</v>
      </c>
      <c r="D4454" s="21">
        <f t="shared" si="11"/>
        <v>260768411397</v>
      </c>
    </row>
    <row r="4455" spans="1:4" ht="14">
      <c r="A4455" s="16">
        <v>44830</v>
      </c>
      <c r="B4455" s="17">
        <v>19201.13</v>
      </c>
      <c r="C4455" s="18">
        <v>44148798321</v>
      </c>
      <c r="D4455" s="21">
        <f t="shared" si="11"/>
        <v>252873598365</v>
      </c>
    </row>
    <row r="4456" spans="1:4" ht="14">
      <c r="A4456" s="16">
        <v>44831</v>
      </c>
      <c r="B4456" s="17">
        <v>19106.740000000002</v>
      </c>
      <c r="C4456" s="18">
        <v>58571439619</v>
      </c>
      <c r="D4456" s="21">
        <f t="shared" si="11"/>
        <v>256845394062</v>
      </c>
    </row>
    <row r="4457" spans="1:4" ht="14">
      <c r="A4457" s="16">
        <v>44832</v>
      </c>
      <c r="B4457" s="17">
        <v>19454.939999999999</v>
      </c>
      <c r="C4457" s="18">
        <v>53071298734</v>
      </c>
      <c r="D4457" s="21">
        <f t="shared" si="11"/>
        <v>278625487173</v>
      </c>
    </row>
    <row r="4458" spans="1:4" ht="14">
      <c r="A4458" s="16">
        <v>44833</v>
      </c>
      <c r="B4458" s="17">
        <v>19540.87</v>
      </c>
      <c r="C4458" s="18">
        <v>41037843771</v>
      </c>
      <c r="D4458" s="21">
        <f t="shared" si="11"/>
        <v>285332991932</v>
      </c>
    </row>
    <row r="4459" spans="1:4" ht="14">
      <c r="A4459" s="16">
        <v>44834</v>
      </c>
      <c r="B4459" s="17">
        <v>19435.189999999999</v>
      </c>
      <c r="C4459" s="18">
        <v>43975248085</v>
      </c>
      <c r="D4459" s="21">
        <f t="shared" si="11"/>
        <v>285235067777</v>
      </c>
    </row>
    <row r="4460" spans="1:4" ht="14">
      <c r="A4460" s="16">
        <v>44835</v>
      </c>
      <c r="B4460" s="17">
        <v>19311.86</v>
      </c>
      <c r="C4460" s="18">
        <v>18719537670</v>
      </c>
      <c r="D4460" s="21">
        <f t="shared" si="11"/>
        <v>290314237810</v>
      </c>
    </row>
    <row r="4461" spans="1:4" ht="14">
      <c r="A4461" s="16">
        <v>44836</v>
      </c>
      <c r="B4461" s="17">
        <v>19015.29</v>
      </c>
      <c r="C4461" s="18">
        <v>20765955327</v>
      </c>
      <c r="D4461" s="21">
        <f t="shared" si="11"/>
        <v>282884132312</v>
      </c>
    </row>
    <row r="4462" spans="1:4" ht="14">
      <c r="A4462" s="16">
        <v>44837</v>
      </c>
      <c r="B4462" s="17">
        <v>19633.43</v>
      </c>
      <c r="C4462" s="18">
        <v>30484729489</v>
      </c>
      <c r="D4462" s="21">
        <f t="shared" si="11"/>
        <v>280290121527</v>
      </c>
    </row>
    <row r="4463" spans="1:4" ht="14">
      <c r="A4463" s="16">
        <v>44838</v>
      </c>
      <c r="B4463" s="17">
        <v>20339.97</v>
      </c>
      <c r="C4463" s="18">
        <v>35887278685</v>
      </c>
      <c r="D4463" s="21">
        <f t="shared" si="11"/>
        <v>266626052695</v>
      </c>
    </row>
    <row r="4464" spans="1:4" ht="14">
      <c r="A4464" s="16">
        <v>44839</v>
      </c>
      <c r="B4464" s="17">
        <v>20155.099999999999</v>
      </c>
      <c r="C4464" s="18">
        <v>33223790572</v>
      </c>
      <c r="D4464" s="21">
        <f t="shared" si="11"/>
        <v>243941891761</v>
      </c>
    </row>
    <row r="4465" spans="1:4" ht="14">
      <c r="A4465" s="16">
        <v>44840</v>
      </c>
      <c r="B4465" s="17">
        <v>19950.55</v>
      </c>
      <c r="C4465" s="18">
        <v>34711412966</v>
      </c>
      <c r="D4465" s="21">
        <f t="shared" si="11"/>
        <v>224094383599</v>
      </c>
    </row>
    <row r="4466" spans="1:4" ht="14">
      <c r="A4466" s="16">
        <v>44841</v>
      </c>
      <c r="B4466" s="17">
        <v>19539.14</v>
      </c>
      <c r="C4466" s="18">
        <v>29227315390</v>
      </c>
      <c r="D4466" s="21">
        <f t="shared" si="11"/>
        <v>217767952794</v>
      </c>
    </row>
    <row r="4467" spans="1:4" ht="14">
      <c r="A4467" s="16">
        <v>44842</v>
      </c>
      <c r="B4467" s="17">
        <v>19416.18</v>
      </c>
      <c r="C4467" s="18">
        <v>16437423167</v>
      </c>
      <c r="D4467" s="21">
        <f t="shared" si="11"/>
        <v>203020020099</v>
      </c>
    </row>
    <row r="4468" spans="1:4" ht="14">
      <c r="A4468" s="16">
        <v>44843</v>
      </c>
      <c r="B4468" s="17">
        <v>19428.37</v>
      </c>
      <c r="C4468" s="18">
        <v>16837262532</v>
      </c>
      <c r="D4468" s="21">
        <f t="shared" si="11"/>
        <v>200737905596</v>
      </c>
    </row>
    <row r="4469" spans="1:4" ht="14">
      <c r="A4469" s="16">
        <v>44844</v>
      </c>
      <c r="B4469" s="17">
        <v>19154.400000000001</v>
      </c>
      <c r="C4469" s="18">
        <v>27425022774</v>
      </c>
      <c r="D4469" s="21">
        <f t="shared" si="11"/>
        <v>196809212801</v>
      </c>
    </row>
    <row r="4470" spans="1:4" ht="14">
      <c r="A4470" s="16">
        <v>44845</v>
      </c>
      <c r="B4470" s="17">
        <v>19039.28</v>
      </c>
      <c r="C4470" s="18">
        <v>28711532910</v>
      </c>
      <c r="D4470" s="21">
        <f t="shared" si="11"/>
        <v>193749506086</v>
      </c>
    </row>
    <row r="4471" spans="1:4" ht="14">
      <c r="A4471" s="16">
        <v>44846</v>
      </c>
      <c r="B4471" s="17">
        <v>19156.91</v>
      </c>
      <c r="C4471" s="18">
        <v>24950173846</v>
      </c>
      <c r="D4471" s="21">
        <f t="shared" si="11"/>
        <v>186573760311</v>
      </c>
    </row>
    <row r="4472" spans="1:4" ht="14">
      <c r="A4472" s="16">
        <v>44847</v>
      </c>
      <c r="B4472" s="17">
        <v>19387.830000000002</v>
      </c>
      <c r="C4472" s="18">
        <v>44219840004</v>
      </c>
      <c r="D4472" s="21">
        <f t="shared" si="11"/>
        <v>178300143585</v>
      </c>
    </row>
    <row r="4473" spans="1:4" ht="14">
      <c r="A4473" s="16">
        <v>44848</v>
      </c>
      <c r="B4473" s="17">
        <v>19177.689999999999</v>
      </c>
      <c r="C4473" s="18">
        <v>38452356727</v>
      </c>
      <c r="D4473" s="21">
        <f t="shared" si="11"/>
        <v>187808570623</v>
      </c>
    </row>
    <row r="4474" spans="1:4" ht="14">
      <c r="A4474" s="16">
        <v>44849</v>
      </c>
      <c r="B4474" s="17">
        <v>19069.87</v>
      </c>
      <c r="C4474" s="18">
        <v>16192235532</v>
      </c>
      <c r="D4474" s="21">
        <f t="shared" si="11"/>
        <v>197033611960</v>
      </c>
    </row>
    <row r="4475" spans="1:4" ht="14">
      <c r="A4475" s="16">
        <v>44850</v>
      </c>
      <c r="B4475" s="17">
        <v>19261.75</v>
      </c>
      <c r="C4475" s="18">
        <v>17988916650</v>
      </c>
      <c r="D4475" s="21">
        <f t="shared" si="11"/>
        <v>196788424325</v>
      </c>
    </row>
    <row r="4476" spans="1:4" ht="14">
      <c r="A4476" s="16">
        <v>44851</v>
      </c>
      <c r="B4476" s="17">
        <v>19557.02</v>
      </c>
      <c r="C4476" s="18">
        <v>27472552998</v>
      </c>
      <c r="D4476" s="21">
        <f t="shared" si="11"/>
        <v>197940078443</v>
      </c>
    </row>
    <row r="4477" spans="1:4" ht="14">
      <c r="A4477" s="16">
        <v>44852</v>
      </c>
      <c r="B4477" s="17">
        <v>19341.41</v>
      </c>
      <c r="C4477" s="18">
        <v>30580012344</v>
      </c>
      <c r="D4477" s="21">
        <f t="shared" si="11"/>
        <v>197987608667</v>
      </c>
    </row>
    <row r="4478" spans="1:4" ht="14">
      <c r="A4478" s="16">
        <v>44853</v>
      </c>
      <c r="B4478" s="17">
        <v>19132.150000000001</v>
      </c>
      <c r="C4478" s="18">
        <v>22425387184</v>
      </c>
      <c r="D4478" s="21">
        <f t="shared" si="11"/>
        <v>199856088101</v>
      </c>
    </row>
    <row r="4479" spans="1:4" ht="14">
      <c r="A4479" s="16">
        <v>44854</v>
      </c>
      <c r="B4479" s="17">
        <v>19033.38</v>
      </c>
      <c r="C4479" s="18">
        <v>24493974420</v>
      </c>
      <c r="D4479" s="21">
        <f t="shared" si="11"/>
        <v>197331301439</v>
      </c>
    </row>
    <row r="4480" spans="1:4" ht="14">
      <c r="A4480" s="16">
        <v>44855</v>
      </c>
      <c r="B4480" s="17">
        <v>19174.88</v>
      </c>
      <c r="C4480" s="18">
        <v>32459287866</v>
      </c>
      <c r="D4480" s="21">
        <f t="shared" si="11"/>
        <v>177605435855</v>
      </c>
    </row>
    <row r="4481" spans="1:4" ht="14">
      <c r="A4481" s="16">
        <v>44856</v>
      </c>
      <c r="B4481" s="17">
        <v>19207.63</v>
      </c>
      <c r="C4481" s="18">
        <v>16104440957</v>
      </c>
      <c r="D4481" s="21">
        <f t="shared" si="11"/>
        <v>171612366994</v>
      </c>
    </row>
    <row r="4482" spans="1:4" ht="14">
      <c r="A4482" s="16">
        <v>44857</v>
      </c>
      <c r="B4482" s="17">
        <v>19565.41</v>
      </c>
      <c r="C4482" s="18">
        <v>22128794335</v>
      </c>
      <c r="D4482" s="21">
        <f t="shared" si="11"/>
        <v>171524572419</v>
      </c>
    </row>
    <row r="4483" spans="1:4" ht="14">
      <c r="A4483" s="16">
        <v>44858</v>
      </c>
      <c r="B4483" s="17">
        <v>19341.46</v>
      </c>
      <c r="C4483" s="18">
        <v>30202235805</v>
      </c>
      <c r="D4483" s="21">
        <f t="shared" si="11"/>
        <v>175664450104</v>
      </c>
    </row>
    <row r="4484" spans="1:4" ht="14">
      <c r="A4484" s="16">
        <v>44859</v>
      </c>
      <c r="B4484" s="17">
        <v>20094.96</v>
      </c>
      <c r="C4484" s="18">
        <v>47761524910</v>
      </c>
      <c r="D4484" s="21">
        <f t="shared" si="11"/>
        <v>178394132911</v>
      </c>
    </row>
    <row r="4485" spans="1:4" ht="14">
      <c r="A4485" s="16">
        <v>44860</v>
      </c>
      <c r="B4485" s="17">
        <v>20797.03</v>
      </c>
      <c r="C4485" s="18">
        <v>58895950537</v>
      </c>
      <c r="D4485" s="21">
        <f t="shared" si="11"/>
        <v>195575645477</v>
      </c>
    </row>
    <row r="4486" spans="1:4" ht="14">
      <c r="A4486" s="16">
        <v>44861</v>
      </c>
      <c r="B4486" s="17">
        <v>20280.18</v>
      </c>
      <c r="C4486" s="18">
        <v>49625110402</v>
      </c>
      <c r="D4486" s="21">
        <f t="shared" si="11"/>
        <v>232046208830</v>
      </c>
    </row>
    <row r="4487" spans="1:4" ht="14">
      <c r="A4487" s="16">
        <v>44862</v>
      </c>
      <c r="B4487" s="17">
        <v>20604.61</v>
      </c>
      <c r="C4487" s="18">
        <v>43994715910</v>
      </c>
      <c r="D4487" s="21">
        <f t="shared" si="11"/>
        <v>257177344812</v>
      </c>
    </row>
    <row r="4488" spans="1:4" ht="14">
      <c r="A4488" s="16">
        <v>44863</v>
      </c>
      <c r="B4488" s="17">
        <v>20803.900000000001</v>
      </c>
      <c r="C4488" s="18">
        <v>40369840645</v>
      </c>
      <c r="D4488" s="21">
        <f t="shared" si="11"/>
        <v>268712772856</v>
      </c>
    </row>
    <row r="4489" spans="1:4" ht="14">
      <c r="A4489" s="16">
        <v>44864</v>
      </c>
      <c r="B4489" s="17">
        <v>20616.7</v>
      </c>
      <c r="C4489" s="18">
        <v>31486345556</v>
      </c>
      <c r="D4489" s="21">
        <f t="shared" si="11"/>
        <v>292978172544</v>
      </c>
    </row>
    <row r="4490" spans="1:4" ht="14">
      <c r="A4490" s="16">
        <v>44865</v>
      </c>
      <c r="B4490" s="17">
        <v>20490.86</v>
      </c>
      <c r="C4490" s="18">
        <v>45668466815</v>
      </c>
      <c r="D4490" s="21">
        <f t="shared" si="11"/>
        <v>302335723765</v>
      </c>
    </row>
    <row r="4491" spans="1:4" ht="14">
      <c r="A4491" s="16">
        <v>44866</v>
      </c>
      <c r="B4491" s="17">
        <v>20483.97</v>
      </c>
      <c r="C4491" s="18">
        <v>39819303159</v>
      </c>
      <c r="D4491" s="21">
        <f t="shared" si="11"/>
        <v>317801954775</v>
      </c>
    </row>
    <row r="4492" spans="1:4" ht="14">
      <c r="A4492" s="16">
        <v>44867</v>
      </c>
      <c r="B4492" s="17">
        <v>20148.28</v>
      </c>
      <c r="C4492" s="18">
        <v>55552169483</v>
      </c>
      <c r="D4492" s="21">
        <f t="shared" si="11"/>
        <v>309859733024</v>
      </c>
    </row>
    <row r="4493" spans="1:4" ht="14">
      <c r="A4493" s="16">
        <v>44868</v>
      </c>
      <c r="B4493" s="17">
        <v>20198.11</v>
      </c>
      <c r="C4493" s="18">
        <v>43228750179</v>
      </c>
      <c r="D4493" s="21">
        <f t="shared" si="11"/>
        <v>306515951970</v>
      </c>
    </row>
    <row r="4494" spans="1:4" ht="14">
      <c r="A4494" s="16">
        <v>44869</v>
      </c>
      <c r="B4494" s="17">
        <v>21157.24</v>
      </c>
      <c r="C4494" s="18">
        <v>64072727950</v>
      </c>
      <c r="D4494" s="21">
        <f t="shared" si="11"/>
        <v>300119591747</v>
      </c>
    </row>
    <row r="4495" spans="1:4" ht="14">
      <c r="A4495" s="16">
        <v>44870</v>
      </c>
      <c r="B4495" s="17">
        <v>21283.47</v>
      </c>
      <c r="C4495" s="18">
        <v>37846047609</v>
      </c>
      <c r="D4495" s="21">
        <f t="shared" si="11"/>
        <v>320197603787</v>
      </c>
    </row>
    <row r="4496" spans="1:4" ht="14">
      <c r="A4496" s="16">
        <v>44871</v>
      </c>
      <c r="B4496" s="17">
        <v>20946.8</v>
      </c>
      <c r="C4496" s="18">
        <v>35082693210</v>
      </c>
      <c r="D4496" s="21">
        <f t="shared" si="11"/>
        <v>317673810751</v>
      </c>
    </row>
    <row r="4497" spans="1:4" ht="14">
      <c r="A4497" s="16">
        <v>44872</v>
      </c>
      <c r="B4497" s="17">
        <v>20568.57</v>
      </c>
      <c r="C4497" s="18">
        <v>53510852236</v>
      </c>
      <c r="D4497" s="21">
        <f t="shared" si="11"/>
        <v>321270158405</v>
      </c>
    </row>
    <row r="4498" spans="1:4" ht="14">
      <c r="A4498" s="16">
        <v>44873</v>
      </c>
      <c r="B4498" s="17">
        <v>18520.97</v>
      </c>
      <c r="C4498" s="18">
        <v>118992465607</v>
      </c>
      <c r="D4498" s="21">
        <f t="shared" si="11"/>
        <v>329112543826</v>
      </c>
    </row>
    <row r="4499" spans="1:4" ht="14">
      <c r="A4499" s="16">
        <v>44874</v>
      </c>
      <c r="B4499" s="17">
        <v>15758.29</v>
      </c>
      <c r="C4499" s="18">
        <v>102905151606</v>
      </c>
      <c r="D4499" s="21">
        <f t="shared" si="11"/>
        <v>408285706274</v>
      </c>
    </row>
    <row r="4500" spans="1:4" ht="14">
      <c r="A4500" s="16">
        <v>44875</v>
      </c>
      <c r="B4500" s="17">
        <v>17541.560000000001</v>
      </c>
      <c r="C4500" s="18">
        <v>83202283721</v>
      </c>
      <c r="D4500" s="21">
        <f t="shared" si="11"/>
        <v>455638688397</v>
      </c>
    </row>
    <row r="4501" spans="1:4" ht="14">
      <c r="A4501" s="16">
        <v>44876</v>
      </c>
      <c r="B4501" s="17">
        <v>16916.849999999999</v>
      </c>
      <c r="C4501" s="18">
        <v>55871616488</v>
      </c>
      <c r="D4501" s="21">
        <f t="shared" si="11"/>
        <v>495612221939</v>
      </c>
    </row>
    <row r="4502" spans="1:4" ht="14">
      <c r="A4502" s="16">
        <v>44877</v>
      </c>
      <c r="B4502" s="17">
        <v>16771.240000000002</v>
      </c>
      <c r="C4502" s="18">
        <v>29717699419</v>
      </c>
      <c r="D4502" s="21">
        <f t="shared" si="11"/>
        <v>487411110477</v>
      </c>
    </row>
    <row r="4503" spans="1:4" ht="14">
      <c r="A4503" s="16">
        <v>44878</v>
      </c>
      <c r="B4503" s="17">
        <v>16320.5</v>
      </c>
      <c r="C4503" s="18">
        <v>27209183682</v>
      </c>
      <c r="D4503" s="21">
        <f t="shared" si="11"/>
        <v>479282762287</v>
      </c>
    </row>
    <row r="4504" spans="1:4" ht="14">
      <c r="A4504" s="16">
        <v>44879</v>
      </c>
      <c r="B4504" s="17">
        <v>16629.48</v>
      </c>
      <c r="C4504" s="18">
        <v>49630243054</v>
      </c>
      <c r="D4504" s="21">
        <f t="shared" si="11"/>
        <v>471409252759</v>
      </c>
    </row>
    <row r="4505" spans="1:4" ht="14">
      <c r="A4505" s="16">
        <v>44880</v>
      </c>
      <c r="B4505" s="17">
        <v>16855.59</v>
      </c>
      <c r="C4505" s="18">
        <v>36599436183</v>
      </c>
      <c r="D4505" s="21">
        <f t="shared" si="11"/>
        <v>467528643577</v>
      </c>
    </row>
    <row r="4506" spans="1:4" ht="14">
      <c r="A4506" s="16">
        <v>44881</v>
      </c>
      <c r="B4506" s="17">
        <v>16659.61</v>
      </c>
      <c r="C4506" s="18">
        <v>33925512989</v>
      </c>
      <c r="D4506" s="21">
        <f t="shared" si="11"/>
        <v>385135614153</v>
      </c>
    </row>
    <row r="4507" spans="1:4" ht="14">
      <c r="A4507" s="16">
        <v>44882</v>
      </c>
      <c r="B4507" s="17">
        <v>16675.18</v>
      </c>
      <c r="C4507" s="18">
        <v>27868914022</v>
      </c>
      <c r="D4507" s="21">
        <f t="shared" si="11"/>
        <v>316155975536</v>
      </c>
    </row>
    <row r="4508" spans="1:4" ht="14">
      <c r="A4508" s="16">
        <v>44883</v>
      </c>
      <c r="B4508" s="17">
        <v>16661.52</v>
      </c>
      <c r="C4508" s="18">
        <v>26862218609</v>
      </c>
      <c r="D4508" s="21">
        <f t="shared" si="11"/>
        <v>260822605837</v>
      </c>
    </row>
    <row r="4509" spans="1:4" ht="14">
      <c r="A4509" s="16">
        <v>44884</v>
      </c>
      <c r="B4509" s="17">
        <v>16696</v>
      </c>
      <c r="C4509" s="18">
        <v>16106223492</v>
      </c>
      <c r="D4509" s="21">
        <f t="shared" si="11"/>
        <v>231813207958</v>
      </c>
    </row>
    <row r="4510" spans="1:4" ht="14">
      <c r="A4510" s="16">
        <v>44885</v>
      </c>
      <c r="B4510" s="17">
        <v>16246.84</v>
      </c>
      <c r="C4510" s="18">
        <v>21313378652</v>
      </c>
      <c r="D4510" s="21">
        <f t="shared" si="11"/>
        <v>218201732031</v>
      </c>
    </row>
    <row r="4511" spans="1:4" ht="14">
      <c r="A4511" s="16">
        <v>44886</v>
      </c>
      <c r="B4511" s="17">
        <v>15778.02</v>
      </c>
      <c r="C4511" s="18">
        <v>37429485518</v>
      </c>
      <c r="D4511" s="21">
        <f t="shared" si="11"/>
        <v>212305927001</v>
      </c>
    </row>
    <row r="4512" spans="1:4" ht="14">
      <c r="A4512" s="16">
        <v>44887</v>
      </c>
      <c r="B4512" s="17">
        <v>16172.89</v>
      </c>
      <c r="C4512" s="18">
        <v>30726828760</v>
      </c>
      <c r="D4512" s="21">
        <f t="shared" si="11"/>
        <v>200105169465</v>
      </c>
    </row>
    <row r="4513" spans="1:4" ht="14">
      <c r="A4513" s="16">
        <v>44888</v>
      </c>
      <c r="B4513" s="17">
        <v>16574.060000000001</v>
      </c>
      <c r="C4513" s="18">
        <v>32958875628</v>
      </c>
      <c r="D4513" s="21">
        <f t="shared" si="11"/>
        <v>194232562042</v>
      </c>
    </row>
    <row r="4514" spans="1:4" ht="14">
      <c r="A4514" s="16">
        <v>44889</v>
      </c>
      <c r="B4514" s="17">
        <v>16583.52</v>
      </c>
      <c r="C4514" s="18">
        <v>26129037414</v>
      </c>
      <c r="D4514" s="21">
        <f t="shared" si="11"/>
        <v>193265924681</v>
      </c>
    </row>
    <row r="4515" spans="1:4" ht="14">
      <c r="A4515" s="16">
        <v>44890</v>
      </c>
      <c r="B4515" s="17">
        <v>16522.39</v>
      </c>
      <c r="C4515" s="18">
        <v>18678255976</v>
      </c>
      <c r="D4515" s="21">
        <f t="shared" si="11"/>
        <v>191526048073</v>
      </c>
    </row>
    <row r="4516" spans="1:4" ht="14">
      <c r="A4516" s="16">
        <v>44891</v>
      </c>
      <c r="B4516" s="17">
        <v>16448.64</v>
      </c>
      <c r="C4516" s="18">
        <v>18000008764</v>
      </c>
      <c r="D4516" s="21">
        <f t="shared" si="11"/>
        <v>183342085440</v>
      </c>
    </row>
    <row r="4517" spans="1:4" ht="14">
      <c r="A4517" s="16">
        <v>44892</v>
      </c>
      <c r="B4517" s="17">
        <v>16436.07</v>
      </c>
      <c r="C4517" s="18">
        <v>20443898509</v>
      </c>
      <c r="D4517" s="21">
        <f t="shared" si="11"/>
        <v>185235870712</v>
      </c>
    </row>
    <row r="4518" spans="1:4" ht="14">
      <c r="A4518" s="16">
        <v>44893</v>
      </c>
      <c r="B4518" s="17">
        <v>16212.58</v>
      </c>
      <c r="C4518" s="18">
        <v>27743025156</v>
      </c>
      <c r="D4518" s="21">
        <f t="shared" si="11"/>
        <v>184366390569</v>
      </c>
    </row>
    <row r="4519" spans="1:4" ht="14">
      <c r="A4519" s="16">
        <v>44894</v>
      </c>
      <c r="B4519" s="17">
        <v>16443.04</v>
      </c>
      <c r="C4519" s="18">
        <v>23581685468</v>
      </c>
      <c r="D4519" s="21">
        <f t="shared" si="11"/>
        <v>174679930207</v>
      </c>
    </row>
    <row r="4520" spans="1:4" ht="14">
      <c r="A4520" s="16">
        <v>44895</v>
      </c>
      <c r="B4520" s="17">
        <v>17176.900000000001</v>
      </c>
      <c r="C4520" s="18">
        <v>29523576583</v>
      </c>
      <c r="D4520" s="21">
        <f t="shared" si="11"/>
        <v>167534786915</v>
      </c>
    </row>
    <row r="4521" spans="1:4" ht="14">
      <c r="A4521" s="16">
        <v>44896</v>
      </c>
      <c r="B4521" s="17">
        <v>16961.29</v>
      </c>
      <c r="C4521" s="18">
        <v>22895392882</v>
      </c>
      <c r="D4521" s="21">
        <f t="shared" si="11"/>
        <v>164099487870</v>
      </c>
    </row>
    <row r="4522" spans="1:4" ht="14">
      <c r="A4522" s="16">
        <v>44897</v>
      </c>
      <c r="B4522" s="17">
        <v>17075.11</v>
      </c>
      <c r="C4522" s="18">
        <v>19539705127</v>
      </c>
      <c r="D4522" s="21">
        <f t="shared" si="11"/>
        <v>160865843338</v>
      </c>
    </row>
    <row r="4523" spans="1:4" ht="14">
      <c r="A4523" s="16">
        <v>44898</v>
      </c>
      <c r="B4523" s="17">
        <v>16899.509999999998</v>
      </c>
      <c r="C4523" s="18">
        <v>16217776704</v>
      </c>
      <c r="D4523" s="21">
        <f t="shared" si="11"/>
        <v>161727292489</v>
      </c>
    </row>
    <row r="4524" spans="1:4" ht="14">
      <c r="A4524" s="16">
        <v>44899</v>
      </c>
      <c r="B4524" s="17">
        <v>17121.71</v>
      </c>
      <c r="C4524" s="18">
        <v>16824520830</v>
      </c>
      <c r="D4524" s="21">
        <f t="shared" si="11"/>
        <v>159945060429</v>
      </c>
    </row>
    <row r="4525" spans="1:4" ht="14">
      <c r="A4525" s="16">
        <v>44900</v>
      </c>
      <c r="B4525" s="17">
        <v>16961.349999999999</v>
      </c>
      <c r="C4525" s="18">
        <v>22209086834</v>
      </c>
      <c r="D4525" s="21">
        <f t="shared" si="11"/>
        <v>156325682750</v>
      </c>
    </row>
    <row r="4526" spans="1:4" ht="14">
      <c r="A4526" s="16">
        <v>44901</v>
      </c>
      <c r="B4526" s="17">
        <v>17070.52</v>
      </c>
      <c r="C4526" s="18">
        <v>19889922369</v>
      </c>
      <c r="D4526" s="21">
        <f t="shared" si="11"/>
        <v>150791744428</v>
      </c>
    </row>
    <row r="4527" spans="1:4" ht="14">
      <c r="A4527" s="16">
        <v>44902</v>
      </c>
      <c r="B4527" s="17">
        <v>16848.25</v>
      </c>
      <c r="C4527" s="18">
        <v>19675404389</v>
      </c>
      <c r="D4527" s="21">
        <f t="shared" si="11"/>
        <v>147099981329</v>
      </c>
    </row>
    <row r="4528" spans="1:4" ht="14">
      <c r="A4528" s="16">
        <v>44903</v>
      </c>
      <c r="B4528" s="17">
        <v>17231.46</v>
      </c>
      <c r="C4528" s="18">
        <v>20496603770</v>
      </c>
      <c r="D4528" s="21">
        <f t="shared" si="11"/>
        <v>137251809135</v>
      </c>
    </row>
    <row r="4529" spans="1:4" ht="14">
      <c r="A4529" s="16">
        <v>44904</v>
      </c>
      <c r="B4529" s="17">
        <v>17136.150000000001</v>
      </c>
      <c r="C4529" s="18">
        <v>20328426366</v>
      </c>
      <c r="D4529" s="21">
        <f t="shared" si="11"/>
        <v>134853020023</v>
      </c>
    </row>
    <row r="4530" spans="1:4" ht="14">
      <c r="A4530" s="16">
        <v>44905</v>
      </c>
      <c r="B4530" s="17">
        <v>17124.21</v>
      </c>
      <c r="C4530" s="18">
        <v>12706781969</v>
      </c>
      <c r="D4530" s="21">
        <f t="shared" si="11"/>
        <v>135641741262</v>
      </c>
    </row>
    <row r="4531" spans="1:4" ht="14">
      <c r="A4531" s="16">
        <v>44906</v>
      </c>
      <c r="B4531" s="17">
        <v>17094.36</v>
      </c>
      <c r="C4531" s="18">
        <v>14122486832</v>
      </c>
      <c r="D4531" s="21">
        <f t="shared" si="11"/>
        <v>132130746527</v>
      </c>
    </row>
    <row r="4532" spans="1:4" ht="14">
      <c r="A4532" s="16">
        <v>44907</v>
      </c>
      <c r="B4532" s="17">
        <v>17195.53</v>
      </c>
      <c r="C4532" s="18">
        <v>19617581341</v>
      </c>
      <c r="D4532" s="21">
        <f t="shared" si="11"/>
        <v>129428712529</v>
      </c>
    </row>
    <row r="4533" spans="1:4" ht="14">
      <c r="A4533" s="16">
        <v>44908</v>
      </c>
      <c r="B4533" s="17">
        <v>17774.919999999998</v>
      </c>
      <c r="C4533" s="18">
        <v>26634741631</v>
      </c>
      <c r="D4533" s="21">
        <f t="shared" si="11"/>
        <v>126837207036</v>
      </c>
    </row>
    <row r="4534" spans="1:4" ht="14">
      <c r="A4534" s="16">
        <v>44909</v>
      </c>
      <c r="B4534" s="17">
        <v>17809.72</v>
      </c>
      <c r="C4534" s="18">
        <v>25534481470</v>
      </c>
      <c r="D4534" s="21">
        <f t="shared" si="11"/>
        <v>133582026298</v>
      </c>
    </row>
    <row r="4535" spans="1:4" ht="14">
      <c r="A4535" s="16">
        <v>44910</v>
      </c>
      <c r="B4535" s="17">
        <v>17344.05</v>
      </c>
      <c r="C4535" s="18">
        <v>20964448341</v>
      </c>
      <c r="D4535" s="21">
        <f t="shared" si="11"/>
        <v>139441103379</v>
      </c>
    </row>
    <row r="4536" spans="1:4" ht="14">
      <c r="A4536" s="16">
        <v>44911</v>
      </c>
      <c r="B4536" s="17">
        <v>16606.11</v>
      </c>
      <c r="C4536" s="18">
        <v>24031608960</v>
      </c>
      <c r="D4536" s="21">
        <f t="shared" si="11"/>
        <v>139908947950</v>
      </c>
    </row>
    <row r="4537" spans="1:4" ht="14">
      <c r="A4537" s="16">
        <v>44912</v>
      </c>
      <c r="B4537" s="17">
        <v>16774.39</v>
      </c>
      <c r="C4537" s="18">
        <v>14463581825</v>
      </c>
      <c r="D4537" s="21">
        <f t="shared" si="11"/>
        <v>143612130544</v>
      </c>
    </row>
    <row r="4538" spans="1:4" ht="14">
      <c r="A4538" s="16">
        <v>44913</v>
      </c>
      <c r="B4538" s="17">
        <v>16776.12</v>
      </c>
      <c r="C4538" s="18">
        <v>10924354698</v>
      </c>
      <c r="D4538" s="21">
        <f t="shared" si="11"/>
        <v>145368930400</v>
      </c>
    </row>
    <row r="4539" spans="1:4" ht="14">
      <c r="A4539" s="16">
        <v>44914</v>
      </c>
      <c r="B4539" s="17">
        <v>16424.13</v>
      </c>
      <c r="C4539" s="18">
        <v>17221074814</v>
      </c>
      <c r="D4539" s="21">
        <f t="shared" si="11"/>
        <v>142170798266</v>
      </c>
    </row>
    <row r="4540" spans="1:4" ht="14">
      <c r="A4540" s="16">
        <v>44915</v>
      </c>
      <c r="B4540" s="17">
        <v>16901.82</v>
      </c>
      <c r="C4540" s="18">
        <v>22722096615</v>
      </c>
      <c r="D4540" s="21">
        <f t="shared" si="11"/>
        <v>139774291739</v>
      </c>
    </row>
    <row r="4541" spans="1:4" ht="14">
      <c r="A4541" s="16">
        <v>44916</v>
      </c>
      <c r="B4541" s="17">
        <v>16800.53</v>
      </c>
      <c r="C4541" s="18">
        <v>14882945045</v>
      </c>
      <c r="D4541" s="21">
        <f t="shared" si="11"/>
        <v>135861646723</v>
      </c>
    </row>
    <row r="4542" spans="1:4" ht="14">
      <c r="A4542" s="16">
        <v>44917</v>
      </c>
      <c r="B4542" s="17">
        <v>16814.22</v>
      </c>
      <c r="C4542" s="18">
        <v>16441573050</v>
      </c>
      <c r="D4542" s="21">
        <f t="shared" si="11"/>
        <v>125210110298</v>
      </c>
    </row>
    <row r="4543" spans="1:4" ht="14">
      <c r="A4543" s="16">
        <v>44918</v>
      </c>
      <c r="B4543" s="17">
        <v>16780.52</v>
      </c>
      <c r="C4543" s="18">
        <v>15329265213</v>
      </c>
      <c r="D4543" s="21">
        <f t="shared" si="11"/>
        <v>120687235007</v>
      </c>
    </row>
    <row r="4544" spans="1:4" ht="14">
      <c r="A4544" s="16">
        <v>44919</v>
      </c>
      <c r="B4544" s="17">
        <v>16837.61</v>
      </c>
      <c r="C4544" s="18">
        <v>9744636213</v>
      </c>
      <c r="D4544" s="21">
        <f t="shared" si="11"/>
        <v>111984891260</v>
      </c>
    </row>
    <row r="4545" spans="1:4" ht="14">
      <c r="A4545" s="16">
        <v>44920</v>
      </c>
      <c r="B4545" s="17">
        <v>16824.84</v>
      </c>
      <c r="C4545" s="18">
        <v>11656379938</v>
      </c>
      <c r="D4545" s="21">
        <f t="shared" si="11"/>
        <v>107265945648</v>
      </c>
    </row>
    <row r="4546" spans="1:4" ht="14">
      <c r="A4546" s="16">
        <v>44921</v>
      </c>
      <c r="B4546" s="17">
        <v>16879.939999999999</v>
      </c>
      <c r="C4546" s="18">
        <v>11886957804</v>
      </c>
      <c r="D4546" s="21">
        <f t="shared" si="11"/>
        <v>107997970888</v>
      </c>
    </row>
    <row r="4547" spans="1:4" ht="14">
      <c r="A4547" s="16">
        <v>44922</v>
      </c>
      <c r="B4547" s="17">
        <v>16698.91</v>
      </c>
      <c r="C4547" s="18">
        <v>15748580239</v>
      </c>
      <c r="D4547" s="21">
        <f t="shared" si="11"/>
        <v>102663853878</v>
      </c>
    </row>
    <row r="4548" spans="1:4" ht="14">
      <c r="A4548" s="16">
        <v>44923</v>
      </c>
      <c r="B4548" s="17">
        <v>16536.29</v>
      </c>
      <c r="C4548" s="18">
        <v>17005713920</v>
      </c>
      <c r="D4548" s="21">
        <f t="shared" si="11"/>
        <v>95690337502</v>
      </c>
    </row>
    <row r="4549" spans="1:4" ht="14">
      <c r="A4549" s="16">
        <v>44924</v>
      </c>
      <c r="B4549" s="17">
        <v>16630.59</v>
      </c>
      <c r="C4549" s="18">
        <v>14472237479</v>
      </c>
      <c r="D4549" s="21">
        <f t="shared" si="11"/>
        <v>97813106377</v>
      </c>
    </row>
    <row r="4550" spans="1:4" ht="14">
      <c r="A4550" s="16">
        <v>44925</v>
      </c>
      <c r="B4550" s="17">
        <v>16593.689999999999</v>
      </c>
      <c r="C4550" s="18">
        <v>15929162910</v>
      </c>
      <c r="D4550" s="21">
        <f t="shared" si="11"/>
        <v>95843770806</v>
      </c>
    </row>
    <row r="4551" spans="1:4" ht="14">
      <c r="A4551" s="16">
        <v>44926</v>
      </c>
      <c r="B4551" s="17">
        <v>16524.22</v>
      </c>
      <c r="C4551" s="18">
        <v>11239186456</v>
      </c>
      <c r="D4551" s="21">
        <f t="shared" si="11"/>
        <v>96443668503</v>
      </c>
    </row>
    <row r="4552" spans="1:4" ht="14">
      <c r="A4552" s="16">
        <v>44927</v>
      </c>
      <c r="B4552" s="17">
        <v>16606.75</v>
      </c>
      <c r="C4552" s="18">
        <v>9244361700</v>
      </c>
      <c r="D4552" s="21">
        <f t="shared" si="11"/>
        <v>97938218746</v>
      </c>
    </row>
    <row r="4553" spans="1:4" ht="14">
      <c r="A4553" s="16">
        <v>44928</v>
      </c>
      <c r="B4553" s="17">
        <v>16688.72</v>
      </c>
      <c r="C4553" s="18">
        <v>12097775227</v>
      </c>
      <c r="D4553" s="21">
        <f t="shared" si="11"/>
        <v>95526200508</v>
      </c>
    </row>
    <row r="4554" spans="1:4" ht="14">
      <c r="A4554" s="16">
        <v>44929</v>
      </c>
      <c r="B4554" s="17">
        <v>16670.080000000002</v>
      </c>
      <c r="C4554" s="18">
        <v>13903079207</v>
      </c>
      <c r="D4554" s="21">
        <f t="shared" si="11"/>
        <v>95737017931</v>
      </c>
    </row>
    <row r="4555" spans="1:4" ht="14">
      <c r="A4555" s="16">
        <v>44930</v>
      </c>
      <c r="B4555" s="17">
        <v>16848.37</v>
      </c>
      <c r="C4555" s="18">
        <v>18421743322</v>
      </c>
      <c r="D4555" s="21">
        <f t="shared" si="11"/>
        <v>93891516899</v>
      </c>
    </row>
    <row r="4556" spans="1:4" ht="14">
      <c r="A4556" s="16">
        <v>44931</v>
      </c>
      <c r="B4556" s="17">
        <v>16824.8</v>
      </c>
      <c r="C4556" s="18">
        <v>13692758566</v>
      </c>
      <c r="D4556" s="21">
        <f t="shared" si="11"/>
        <v>95307546301</v>
      </c>
    </row>
    <row r="4557" spans="1:4" ht="14">
      <c r="A4557" s="16">
        <v>44932</v>
      </c>
      <c r="B4557" s="17">
        <v>16957.86</v>
      </c>
      <c r="C4557" s="18">
        <v>14413662913</v>
      </c>
      <c r="D4557" s="21">
        <f t="shared" si="11"/>
        <v>94528067388</v>
      </c>
    </row>
    <row r="4558" spans="1:4" ht="14">
      <c r="A4558" s="16">
        <v>44933</v>
      </c>
      <c r="B4558" s="17">
        <v>16942.63</v>
      </c>
      <c r="C4558" s="18">
        <v>7714767174</v>
      </c>
      <c r="D4558" s="21">
        <f t="shared" si="11"/>
        <v>93012567391</v>
      </c>
    </row>
    <row r="4559" spans="1:4" ht="14">
      <c r="A4559" s="16">
        <v>44934</v>
      </c>
      <c r="B4559" s="17">
        <v>17059.240000000002</v>
      </c>
      <c r="C4559" s="18">
        <v>9768827914</v>
      </c>
      <c r="D4559" s="21">
        <f t="shared" si="11"/>
        <v>89488148109</v>
      </c>
    </row>
    <row r="4560" spans="1:4" ht="14">
      <c r="A4560" s="16">
        <v>44935</v>
      </c>
      <c r="B4560" s="17">
        <v>17182.32</v>
      </c>
      <c r="C4560" s="18">
        <v>18624736866</v>
      </c>
      <c r="D4560" s="21">
        <f t="shared" si="11"/>
        <v>90012614323</v>
      </c>
    </row>
    <row r="4561" spans="1:4" ht="14">
      <c r="A4561" s="16">
        <v>44936</v>
      </c>
      <c r="B4561" s="17">
        <v>17433.91</v>
      </c>
      <c r="C4561" s="18">
        <v>15808338949</v>
      </c>
      <c r="D4561" s="21">
        <f t="shared" si="11"/>
        <v>96539575962</v>
      </c>
    </row>
    <row r="4562" spans="1:4" ht="14">
      <c r="A4562" s="16">
        <v>44937</v>
      </c>
      <c r="B4562" s="17">
        <v>17833.71</v>
      </c>
      <c r="C4562" s="18">
        <v>18372283782</v>
      </c>
      <c r="D4562" s="21">
        <f t="shared" si="11"/>
        <v>98444835704</v>
      </c>
    </row>
    <row r="4563" spans="1:4" ht="14">
      <c r="A4563" s="16">
        <v>44938</v>
      </c>
      <c r="B4563" s="17">
        <v>18869.7</v>
      </c>
      <c r="C4563" s="18">
        <v>34971338710</v>
      </c>
      <c r="D4563" s="21">
        <f t="shared" si="11"/>
        <v>98395376164</v>
      </c>
    </row>
    <row r="4564" spans="1:4" ht="14">
      <c r="A4564" s="16">
        <v>44939</v>
      </c>
      <c r="B4564" s="17">
        <v>19868.72</v>
      </c>
      <c r="C4564" s="18">
        <v>29225029694</v>
      </c>
      <c r="D4564" s="21">
        <f t="shared" si="11"/>
        <v>119673956308</v>
      </c>
    </row>
    <row r="4565" spans="1:4" ht="14">
      <c r="A4565" s="16">
        <v>44940</v>
      </c>
      <c r="B4565" s="17">
        <v>21010.92</v>
      </c>
      <c r="C4565" s="18">
        <v>38967784639</v>
      </c>
      <c r="D4565" s="21">
        <f t="shared" si="11"/>
        <v>134485323089</v>
      </c>
    </row>
    <row r="4566" spans="1:4" ht="14">
      <c r="A4566" s="16">
        <v>44941</v>
      </c>
      <c r="B4566" s="17">
        <v>20876.009999999998</v>
      </c>
      <c r="C4566" s="18">
        <v>19298407543</v>
      </c>
      <c r="D4566" s="21">
        <f t="shared" si="11"/>
        <v>165738340554</v>
      </c>
    </row>
    <row r="4567" spans="1:4" ht="14">
      <c r="A4567" s="16">
        <v>44942</v>
      </c>
      <c r="B4567" s="17">
        <v>21180.41</v>
      </c>
      <c r="C4567" s="18">
        <v>26792494050</v>
      </c>
      <c r="D4567" s="21">
        <f t="shared" si="11"/>
        <v>175267920183</v>
      </c>
    </row>
    <row r="4568" spans="1:4" ht="14">
      <c r="A4568" s="16">
        <v>44943</v>
      </c>
      <c r="B4568" s="17">
        <v>21178.3</v>
      </c>
      <c r="C4568" s="18">
        <v>24999983362</v>
      </c>
      <c r="D4568" s="21">
        <f t="shared" si="11"/>
        <v>183435677367</v>
      </c>
    </row>
    <row r="4569" spans="1:4" ht="14">
      <c r="A4569" s="16">
        <v>44944</v>
      </c>
      <c r="B4569" s="17">
        <v>20709.669999999998</v>
      </c>
      <c r="C4569" s="18">
        <v>30005625418</v>
      </c>
      <c r="D4569" s="21">
        <f t="shared" si="11"/>
        <v>192627321780</v>
      </c>
    </row>
    <row r="4570" spans="1:4" ht="14">
      <c r="A4570" s="16">
        <v>44945</v>
      </c>
      <c r="B4570" s="17">
        <v>21071.83</v>
      </c>
      <c r="C4570" s="18">
        <v>21152848261</v>
      </c>
      <c r="D4570" s="21">
        <f t="shared" si="11"/>
        <v>204260663416</v>
      </c>
    </row>
    <row r="4571" spans="1:4" ht="14">
      <c r="A4571" s="16">
        <v>44946</v>
      </c>
      <c r="B4571" s="17">
        <v>22660.720000000001</v>
      </c>
      <c r="C4571" s="18">
        <v>28799154319</v>
      </c>
      <c r="D4571" s="21">
        <f t="shared" si="11"/>
        <v>190442172967</v>
      </c>
    </row>
    <row r="4572" spans="1:4" ht="14">
      <c r="A4572" s="16">
        <v>44947</v>
      </c>
      <c r="B4572" s="17">
        <v>22803.17</v>
      </c>
      <c r="C4572" s="18">
        <v>32442278429</v>
      </c>
      <c r="D4572" s="21">
        <f t="shared" si="11"/>
        <v>190016297592</v>
      </c>
    </row>
    <row r="4573" spans="1:4" ht="14">
      <c r="A4573" s="16">
        <v>44948</v>
      </c>
      <c r="B4573" s="17">
        <v>22716.28</v>
      </c>
      <c r="C4573" s="18">
        <v>24746386230</v>
      </c>
      <c r="D4573" s="21">
        <f t="shared" si="11"/>
        <v>183490791382</v>
      </c>
    </row>
    <row r="4574" spans="1:4" ht="14">
      <c r="A4574" s="16">
        <v>44949</v>
      </c>
      <c r="B4574" s="17">
        <v>22929.02</v>
      </c>
      <c r="C4574" s="18">
        <v>26518700512</v>
      </c>
      <c r="D4574" s="21">
        <f t="shared" si="11"/>
        <v>188938770069</v>
      </c>
    </row>
    <row r="4575" spans="1:4" ht="14">
      <c r="A4575" s="16">
        <v>44950</v>
      </c>
      <c r="B4575" s="17">
        <v>22611.13</v>
      </c>
      <c r="C4575" s="18">
        <v>26405069715</v>
      </c>
      <c r="D4575" s="21">
        <f t="shared" si="11"/>
        <v>188664976531</v>
      </c>
    </row>
    <row r="4576" spans="1:4" ht="14">
      <c r="A4576" s="16">
        <v>44951</v>
      </c>
      <c r="B4576" s="17">
        <v>23109.08</v>
      </c>
      <c r="C4576" s="18">
        <v>30685366709</v>
      </c>
      <c r="D4576" s="21">
        <f t="shared" si="11"/>
        <v>190070062884</v>
      </c>
    </row>
    <row r="4577" spans="1:4" ht="14">
      <c r="A4577" s="16">
        <v>44952</v>
      </c>
      <c r="B4577" s="17">
        <v>23008.69</v>
      </c>
      <c r="C4577" s="18">
        <v>26357839322</v>
      </c>
      <c r="D4577" s="21">
        <f t="shared" si="11"/>
        <v>190749804175</v>
      </c>
    </row>
    <row r="4578" spans="1:4" ht="14">
      <c r="A4578" s="16">
        <v>44953</v>
      </c>
      <c r="B4578" s="17">
        <v>23070.5</v>
      </c>
      <c r="C4578" s="18">
        <v>25383335641</v>
      </c>
      <c r="D4578" s="21">
        <f t="shared" si="11"/>
        <v>195954795236</v>
      </c>
    </row>
    <row r="4579" spans="1:4" ht="14">
      <c r="A4579" s="16">
        <v>44954</v>
      </c>
      <c r="B4579" s="17">
        <v>23008.81</v>
      </c>
      <c r="C4579" s="18">
        <v>14712928379</v>
      </c>
      <c r="D4579" s="21">
        <f t="shared" si="11"/>
        <v>192538976558</v>
      </c>
    </row>
    <row r="4580" spans="1:4" ht="14">
      <c r="A4580" s="16">
        <v>44955</v>
      </c>
      <c r="B4580" s="17">
        <v>23775</v>
      </c>
      <c r="C4580" s="18">
        <v>27423687259</v>
      </c>
      <c r="D4580" s="21">
        <f t="shared" si="11"/>
        <v>174809626508</v>
      </c>
    </row>
    <row r="4581" spans="1:4" ht="14">
      <c r="A4581" s="16">
        <v>44956</v>
      </c>
      <c r="B4581" s="17">
        <v>22799.43</v>
      </c>
      <c r="C4581" s="18">
        <v>27205595568</v>
      </c>
      <c r="D4581" s="21">
        <f t="shared" si="11"/>
        <v>177486927537</v>
      </c>
    </row>
    <row r="4582" spans="1:4" ht="14">
      <c r="A4582" s="16">
        <v>44957</v>
      </c>
      <c r="B4582" s="17">
        <v>23130.05</v>
      </c>
      <c r="C4582" s="18">
        <v>22837828665</v>
      </c>
      <c r="D4582" s="21">
        <f t="shared" si="11"/>
        <v>178173822593</v>
      </c>
    </row>
    <row r="4583" spans="1:4" ht="14">
      <c r="A4583" s="16">
        <v>44958</v>
      </c>
      <c r="B4583" s="17">
        <v>23727.200000000001</v>
      </c>
      <c r="C4583" s="18">
        <v>26683255504</v>
      </c>
      <c r="D4583" s="21">
        <f t="shared" si="11"/>
        <v>174606581543</v>
      </c>
    </row>
    <row r="4584" spans="1:4" ht="14">
      <c r="A4584" s="16">
        <v>44959</v>
      </c>
      <c r="B4584" s="17">
        <v>23505.599999999999</v>
      </c>
      <c r="C4584" s="18">
        <v>32066936882</v>
      </c>
      <c r="D4584" s="21">
        <f t="shared" ref="D4584:D4838" si="12">IF(C4577&lt;&gt;"",SUM(C4577:C4583),"")</f>
        <v>170604470338</v>
      </c>
    </row>
    <row r="4585" spans="1:4" ht="14">
      <c r="A4585" s="16">
        <v>44960</v>
      </c>
      <c r="B4585" s="17">
        <v>23445.81</v>
      </c>
      <c r="C4585" s="18">
        <v>27083066007</v>
      </c>
      <c r="D4585" s="21">
        <f t="shared" si="12"/>
        <v>176313567898</v>
      </c>
    </row>
    <row r="4586" spans="1:4" ht="14">
      <c r="A4586" s="16">
        <v>44961</v>
      </c>
      <c r="B4586" s="17">
        <v>23355.52</v>
      </c>
      <c r="C4586" s="18">
        <v>15639298538</v>
      </c>
      <c r="D4586" s="21">
        <f t="shared" si="12"/>
        <v>178013298264</v>
      </c>
    </row>
    <row r="4587" spans="1:4" ht="14">
      <c r="A4587" s="16">
        <v>44962</v>
      </c>
      <c r="B4587" s="17">
        <v>22957.23</v>
      </c>
      <c r="C4587" s="18">
        <v>19564262605</v>
      </c>
      <c r="D4587" s="21">
        <f t="shared" si="12"/>
        <v>178939668423</v>
      </c>
    </row>
    <row r="4588" spans="1:4" ht="14">
      <c r="A4588" s="16">
        <v>44963</v>
      </c>
      <c r="B4588" s="17">
        <v>22745.17</v>
      </c>
      <c r="C4588" s="18">
        <v>23825006542</v>
      </c>
      <c r="D4588" s="21">
        <f t="shared" si="12"/>
        <v>171080243769</v>
      </c>
    </row>
    <row r="4589" spans="1:4" ht="14">
      <c r="A4589" s="16">
        <v>44964</v>
      </c>
      <c r="B4589" s="17">
        <v>23266.27</v>
      </c>
      <c r="C4589" s="18">
        <v>27187964471</v>
      </c>
      <c r="D4589" s="21">
        <f t="shared" si="12"/>
        <v>167699654743</v>
      </c>
    </row>
    <row r="4590" spans="1:4" ht="14">
      <c r="A4590" s="16">
        <v>44965</v>
      </c>
      <c r="B4590" s="17">
        <v>22937.58</v>
      </c>
      <c r="C4590" s="18">
        <v>25371367758</v>
      </c>
      <c r="D4590" s="21">
        <f t="shared" si="12"/>
        <v>172049790549</v>
      </c>
    </row>
    <row r="4591" spans="1:4" ht="14">
      <c r="A4591" s="16">
        <v>44966</v>
      </c>
      <c r="B4591" s="17">
        <v>21818.2</v>
      </c>
      <c r="C4591" s="18">
        <v>32572572185</v>
      </c>
      <c r="D4591" s="21">
        <f t="shared" si="12"/>
        <v>170737902803</v>
      </c>
    </row>
    <row r="4592" spans="1:4" ht="14">
      <c r="A4592" s="16">
        <v>44967</v>
      </c>
      <c r="B4592" s="17">
        <v>21620.57</v>
      </c>
      <c r="C4592" s="18">
        <v>27078406594</v>
      </c>
      <c r="D4592" s="21">
        <f t="shared" si="12"/>
        <v>171243538106</v>
      </c>
    </row>
    <row r="4593" spans="1:4" ht="14">
      <c r="A4593" s="16">
        <v>44968</v>
      </c>
      <c r="B4593" s="17">
        <v>21864.86</v>
      </c>
      <c r="C4593" s="18">
        <v>16356226232</v>
      </c>
      <c r="D4593" s="21">
        <f t="shared" si="12"/>
        <v>171238878693</v>
      </c>
    </row>
    <row r="4594" spans="1:4" ht="14">
      <c r="A4594" s="16">
        <v>44969</v>
      </c>
      <c r="B4594" s="17">
        <v>21772.14</v>
      </c>
      <c r="C4594" s="18">
        <v>17821046406</v>
      </c>
      <c r="D4594" s="21">
        <f t="shared" si="12"/>
        <v>171955806387</v>
      </c>
    </row>
    <row r="4595" spans="1:4" ht="14">
      <c r="A4595" s="16">
        <v>44970</v>
      </c>
      <c r="B4595" s="17">
        <v>21798.720000000001</v>
      </c>
      <c r="C4595" s="18">
        <v>23918742607</v>
      </c>
      <c r="D4595" s="21">
        <f t="shared" si="12"/>
        <v>170212590188</v>
      </c>
    </row>
    <row r="4596" spans="1:4" ht="14">
      <c r="A4596" s="16">
        <v>44971</v>
      </c>
      <c r="B4596" s="17">
        <v>22222.42</v>
      </c>
      <c r="C4596" s="18">
        <v>26792596581</v>
      </c>
      <c r="D4596" s="21">
        <f t="shared" si="12"/>
        <v>170306326253</v>
      </c>
    </row>
    <row r="4597" spans="1:4" ht="14">
      <c r="A4597" s="16">
        <v>44972</v>
      </c>
      <c r="B4597" s="17">
        <v>24304.61</v>
      </c>
      <c r="C4597" s="18">
        <v>32483312909</v>
      </c>
      <c r="D4597" s="21">
        <f t="shared" si="12"/>
        <v>169910958363</v>
      </c>
    </row>
    <row r="4598" spans="1:4" ht="14">
      <c r="A4598" s="16">
        <v>44973</v>
      </c>
      <c r="B4598" s="17">
        <v>23742.45</v>
      </c>
      <c r="C4598" s="18">
        <v>39316664596</v>
      </c>
      <c r="D4598" s="21">
        <f t="shared" si="12"/>
        <v>177022903514</v>
      </c>
    </row>
    <row r="4599" spans="1:4" ht="14">
      <c r="A4599" s="16">
        <v>44974</v>
      </c>
      <c r="B4599" s="17">
        <v>24607.34</v>
      </c>
      <c r="C4599" s="18">
        <v>40643805184</v>
      </c>
      <c r="D4599" s="21">
        <f t="shared" si="12"/>
        <v>183766995925</v>
      </c>
    </row>
    <row r="4600" spans="1:4" ht="14">
      <c r="A4600" s="16">
        <v>44975</v>
      </c>
      <c r="B4600" s="17">
        <v>24636.53</v>
      </c>
      <c r="C4600" s="18">
        <v>41358451255</v>
      </c>
      <c r="D4600" s="21">
        <f t="shared" si="12"/>
        <v>197332394515</v>
      </c>
    </row>
    <row r="4601" spans="1:4" ht="14">
      <c r="A4601" s="16">
        <v>44976</v>
      </c>
      <c r="B4601" s="17">
        <v>24366.99</v>
      </c>
      <c r="C4601" s="18">
        <v>19625427158</v>
      </c>
      <c r="D4601" s="21">
        <f t="shared" si="12"/>
        <v>222334619538</v>
      </c>
    </row>
    <row r="4602" spans="1:4" ht="14">
      <c r="A4602" s="16">
        <v>44977</v>
      </c>
      <c r="B4602" s="17">
        <v>24797.84</v>
      </c>
      <c r="C4602" s="18">
        <v>25555105670</v>
      </c>
      <c r="D4602" s="21">
        <f t="shared" si="12"/>
        <v>224139000290</v>
      </c>
    </row>
    <row r="4603" spans="1:4" ht="14">
      <c r="A4603" s="16">
        <v>44978</v>
      </c>
      <c r="B4603" s="17">
        <v>24400.39</v>
      </c>
      <c r="C4603" s="18">
        <v>30021752832</v>
      </c>
      <c r="D4603" s="21">
        <f t="shared" si="12"/>
        <v>225775363353</v>
      </c>
    </row>
    <row r="4604" spans="1:4" ht="14">
      <c r="A4604" s="16">
        <v>44979</v>
      </c>
      <c r="B4604" s="17">
        <v>24163.74</v>
      </c>
      <c r="C4604" s="18">
        <v>30199996781</v>
      </c>
      <c r="D4604" s="21">
        <f t="shared" si="12"/>
        <v>229004519604</v>
      </c>
    </row>
    <row r="4605" spans="1:4" ht="14">
      <c r="A4605" s="16">
        <v>44980</v>
      </c>
      <c r="B4605" s="17">
        <v>23910.03</v>
      </c>
      <c r="C4605" s="18">
        <v>30476264066</v>
      </c>
      <c r="D4605" s="21">
        <f t="shared" si="12"/>
        <v>226721203476</v>
      </c>
    </row>
    <row r="4606" spans="1:4" ht="14">
      <c r="A4606" s="16">
        <v>44981</v>
      </c>
      <c r="B4606" s="17">
        <v>23175.82</v>
      </c>
      <c r="C4606" s="18">
        <v>26811744928</v>
      </c>
      <c r="D4606" s="21">
        <f t="shared" si="12"/>
        <v>217880802946</v>
      </c>
    </row>
    <row r="4607" spans="1:4" ht="14">
      <c r="A4607" s="16">
        <v>44982</v>
      </c>
      <c r="B4607" s="17">
        <v>23159.82</v>
      </c>
      <c r="C4607" s="18">
        <v>16100721565</v>
      </c>
      <c r="D4607" s="21">
        <f t="shared" si="12"/>
        <v>204048742690</v>
      </c>
    </row>
    <row r="4608" spans="1:4" ht="14">
      <c r="A4608" s="16">
        <v>44983</v>
      </c>
      <c r="B4608" s="17">
        <v>23542.1</v>
      </c>
      <c r="C4608" s="18">
        <v>16644534842</v>
      </c>
      <c r="D4608" s="21">
        <f t="shared" si="12"/>
        <v>178791013000</v>
      </c>
    </row>
    <row r="4609" spans="1:4" ht="14">
      <c r="A4609" s="16">
        <v>44984</v>
      </c>
      <c r="B4609" s="17">
        <v>23504.19</v>
      </c>
      <c r="C4609" s="18">
        <v>22660763494</v>
      </c>
      <c r="D4609" s="21">
        <f t="shared" si="12"/>
        <v>175810120684</v>
      </c>
    </row>
    <row r="4610" spans="1:4" ht="14">
      <c r="A4610" s="16">
        <v>44985</v>
      </c>
      <c r="B4610" s="17">
        <v>23145.95</v>
      </c>
      <c r="C4610" s="18">
        <v>20535363434</v>
      </c>
      <c r="D4610" s="21">
        <f t="shared" si="12"/>
        <v>172915778508</v>
      </c>
    </row>
    <row r="4611" spans="1:4" ht="14">
      <c r="A4611" s="16">
        <v>44986</v>
      </c>
      <c r="B4611" s="17">
        <v>23610.66</v>
      </c>
      <c r="C4611" s="18">
        <v>24662841200</v>
      </c>
      <c r="D4611" s="21">
        <f t="shared" si="12"/>
        <v>163429389110</v>
      </c>
    </row>
    <row r="4612" spans="1:4" ht="14">
      <c r="A4612" s="16">
        <v>44987</v>
      </c>
      <c r="B4612" s="17">
        <v>23470.03</v>
      </c>
      <c r="C4612" s="18">
        <v>20386398516</v>
      </c>
      <c r="D4612" s="21">
        <f t="shared" si="12"/>
        <v>157892233529</v>
      </c>
    </row>
    <row r="4613" spans="1:4" ht="14">
      <c r="A4613" s="16">
        <v>44988</v>
      </c>
      <c r="B4613" s="17">
        <v>22350.1</v>
      </c>
      <c r="C4613" s="18">
        <v>26062404610</v>
      </c>
      <c r="D4613" s="21">
        <f t="shared" si="12"/>
        <v>147802367979</v>
      </c>
    </row>
    <row r="4614" spans="1:4" ht="14">
      <c r="A4614" s="16">
        <v>44989</v>
      </c>
      <c r="B4614" s="17">
        <v>22334.29</v>
      </c>
      <c r="C4614" s="18">
        <v>11166012913</v>
      </c>
      <c r="D4614" s="21">
        <f t="shared" si="12"/>
        <v>147053027661</v>
      </c>
    </row>
    <row r="4615" spans="1:4" ht="14">
      <c r="A4615" s="16">
        <v>44990</v>
      </c>
      <c r="B4615" s="17">
        <v>22419.82</v>
      </c>
      <c r="C4615" s="18">
        <v>13317001733</v>
      </c>
      <c r="D4615" s="21">
        <f t="shared" si="12"/>
        <v>142118319009</v>
      </c>
    </row>
    <row r="4616" spans="1:4" ht="14">
      <c r="A4616" s="16">
        <v>44991</v>
      </c>
      <c r="B4616" s="17">
        <v>22414.7</v>
      </c>
      <c r="C4616" s="18">
        <v>17353192895</v>
      </c>
      <c r="D4616" s="21">
        <f t="shared" si="12"/>
        <v>138790785900</v>
      </c>
    </row>
    <row r="4617" spans="1:4" ht="14">
      <c r="A4617" s="16">
        <v>44992</v>
      </c>
      <c r="B4617" s="17">
        <v>22174.65</v>
      </c>
      <c r="C4617" s="18">
        <v>22765452204</v>
      </c>
      <c r="D4617" s="21">
        <f t="shared" si="12"/>
        <v>133483215301</v>
      </c>
    </row>
    <row r="4618" spans="1:4" ht="14">
      <c r="A4618" s="16">
        <v>44993</v>
      </c>
      <c r="B4618" s="17">
        <v>21701.38</v>
      </c>
      <c r="C4618" s="18">
        <v>22536575684</v>
      </c>
      <c r="D4618" s="21">
        <f t="shared" si="12"/>
        <v>135713304071</v>
      </c>
    </row>
    <row r="4619" spans="1:4" ht="14">
      <c r="A4619" s="16">
        <v>44994</v>
      </c>
      <c r="B4619" s="17">
        <v>20349.810000000001</v>
      </c>
      <c r="C4619" s="18">
        <v>30364664171</v>
      </c>
      <c r="D4619" s="21">
        <f t="shared" si="12"/>
        <v>133587038555</v>
      </c>
    </row>
    <row r="4620" spans="1:4" ht="14">
      <c r="A4620" s="16">
        <v>44995</v>
      </c>
      <c r="B4620" s="17">
        <v>20240.41</v>
      </c>
      <c r="C4620" s="18">
        <v>39578257695</v>
      </c>
      <c r="D4620" s="21">
        <f t="shared" si="12"/>
        <v>143565304210</v>
      </c>
    </row>
    <row r="4621" spans="1:4" ht="14">
      <c r="A4621" s="16">
        <v>44996</v>
      </c>
      <c r="B4621" s="17">
        <v>20585.23</v>
      </c>
      <c r="C4621" s="18">
        <v>30180288176</v>
      </c>
      <c r="D4621" s="21">
        <f t="shared" si="12"/>
        <v>157081157295</v>
      </c>
    </row>
    <row r="4622" spans="1:4" ht="14">
      <c r="A4622" s="16">
        <v>44997</v>
      </c>
      <c r="B4622" s="17">
        <v>22065.98</v>
      </c>
      <c r="C4622" s="18">
        <v>29279035521</v>
      </c>
      <c r="D4622" s="21">
        <f t="shared" si="12"/>
        <v>176095432558</v>
      </c>
    </row>
    <row r="4623" spans="1:4" ht="14">
      <c r="A4623" s="16">
        <v>44998</v>
      </c>
      <c r="B4623" s="17">
        <v>24154.43</v>
      </c>
      <c r="C4623" s="18">
        <v>49466362688</v>
      </c>
      <c r="D4623" s="21">
        <f t="shared" si="12"/>
        <v>192057466346</v>
      </c>
    </row>
    <row r="4624" spans="1:4" ht="14">
      <c r="A4624" s="16">
        <v>44999</v>
      </c>
      <c r="B4624" s="17">
        <v>24769.02</v>
      </c>
      <c r="C4624" s="18">
        <v>54622230164</v>
      </c>
      <c r="D4624" s="21">
        <f t="shared" si="12"/>
        <v>224170636139</v>
      </c>
    </row>
    <row r="4625" spans="1:4" ht="14">
      <c r="A4625" s="16">
        <v>45000</v>
      </c>
      <c r="B4625" s="17">
        <v>24409.8</v>
      </c>
      <c r="C4625" s="18">
        <v>43655701450</v>
      </c>
      <c r="D4625" s="21">
        <f t="shared" si="12"/>
        <v>256027414099</v>
      </c>
    </row>
    <row r="4626" spans="1:4" ht="14">
      <c r="A4626" s="16">
        <v>45001</v>
      </c>
      <c r="B4626" s="17">
        <v>25043.24</v>
      </c>
      <c r="C4626" s="18">
        <v>33866061747</v>
      </c>
      <c r="D4626" s="21">
        <f t="shared" si="12"/>
        <v>277146539865</v>
      </c>
    </row>
    <row r="4627" spans="1:4" ht="14">
      <c r="A4627" s="16">
        <v>45002</v>
      </c>
      <c r="B4627" s="17">
        <v>27450.63</v>
      </c>
      <c r="C4627" s="18">
        <v>50730261335</v>
      </c>
      <c r="D4627" s="21">
        <f t="shared" si="12"/>
        <v>280647937441</v>
      </c>
    </row>
    <row r="4628" spans="1:4" ht="14">
      <c r="A4628" s="16">
        <v>45003</v>
      </c>
      <c r="B4628" s="17">
        <v>26985.74</v>
      </c>
      <c r="C4628" s="18">
        <v>35723036817</v>
      </c>
      <c r="D4628" s="21">
        <f t="shared" si="12"/>
        <v>291799941081</v>
      </c>
    </row>
    <row r="4629" spans="1:4" ht="14">
      <c r="A4629" s="16">
        <v>45004</v>
      </c>
      <c r="B4629" s="17">
        <v>28185.200000000001</v>
      </c>
      <c r="C4629" s="18">
        <v>37769448859</v>
      </c>
      <c r="D4629" s="21">
        <f t="shared" si="12"/>
        <v>297342689722</v>
      </c>
    </row>
    <row r="4630" spans="1:4" ht="14">
      <c r="A4630" s="16">
        <v>45005</v>
      </c>
      <c r="B4630" s="17">
        <v>27834.34</v>
      </c>
      <c r="C4630" s="18">
        <v>44774027664</v>
      </c>
      <c r="D4630" s="21">
        <f t="shared" si="12"/>
        <v>305833103060</v>
      </c>
    </row>
    <row r="4631" spans="1:4" ht="14">
      <c r="A4631" s="16">
        <v>45006</v>
      </c>
      <c r="B4631" s="17">
        <v>28172.799999999999</v>
      </c>
      <c r="C4631" s="18">
        <v>36102192830</v>
      </c>
      <c r="D4631" s="21">
        <f t="shared" si="12"/>
        <v>301140768036</v>
      </c>
    </row>
    <row r="4632" spans="1:4" ht="14">
      <c r="A4632" s="16">
        <v>45007</v>
      </c>
      <c r="B4632" s="17">
        <v>27341.56</v>
      </c>
      <c r="C4632" s="18">
        <v>33382021890</v>
      </c>
      <c r="D4632" s="21">
        <f t="shared" si="12"/>
        <v>282620730702</v>
      </c>
    </row>
    <row r="4633" spans="1:4" ht="14">
      <c r="A4633" s="16">
        <v>45008</v>
      </c>
      <c r="B4633" s="17">
        <v>28387.89</v>
      </c>
      <c r="C4633" s="18">
        <v>24220433689</v>
      </c>
      <c r="D4633" s="21">
        <f t="shared" si="12"/>
        <v>272347051142</v>
      </c>
    </row>
    <row r="4634" spans="1:4" ht="14">
      <c r="A4634" s="16">
        <v>45009</v>
      </c>
      <c r="B4634" s="17">
        <v>27464.12</v>
      </c>
      <c r="C4634" s="18">
        <v>25980310960</v>
      </c>
      <c r="D4634" s="21">
        <f t="shared" si="12"/>
        <v>262701423084</v>
      </c>
    </row>
    <row r="4635" spans="1:4" ht="14">
      <c r="A4635" s="16">
        <v>45010</v>
      </c>
      <c r="B4635" s="17">
        <v>27488.95</v>
      </c>
      <c r="C4635" s="18">
        <v>13383005987</v>
      </c>
      <c r="D4635" s="21">
        <f t="shared" si="12"/>
        <v>237951472709</v>
      </c>
    </row>
    <row r="4636" spans="1:4" ht="14">
      <c r="A4636" s="16">
        <v>45011</v>
      </c>
      <c r="B4636" s="17">
        <v>28049.39</v>
      </c>
      <c r="C4636" s="18">
        <v>13878363192</v>
      </c>
      <c r="D4636" s="21">
        <f t="shared" si="12"/>
        <v>215611441879</v>
      </c>
    </row>
    <row r="4637" spans="1:4" ht="14">
      <c r="A4637" s="16">
        <v>45012</v>
      </c>
      <c r="B4637" s="17">
        <v>27155</v>
      </c>
      <c r="C4637" s="18">
        <v>18188895178</v>
      </c>
      <c r="D4637" s="21">
        <f t="shared" si="12"/>
        <v>191720356212</v>
      </c>
    </row>
    <row r="4638" spans="1:4" ht="14">
      <c r="A4638" s="16">
        <v>45013</v>
      </c>
      <c r="B4638" s="17">
        <v>27283.96</v>
      </c>
      <c r="C4638" s="18">
        <v>17783600385</v>
      </c>
      <c r="D4638" s="21">
        <f t="shared" si="12"/>
        <v>165135223726</v>
      </c>
    </row>
    <row r="4639" spans="1:4" ht="14">
      <c r="A4639" s="16">
        <v>45014</v>
      </c>
      <c r="B4639" s="17">
        <v>28389.29</v>
      </c>
      <c r="C4639" s="18">
        <v>20684945906</v>
      </c>
      <c r="D4639" s="21">
        <f t="shared" si="12"/>
        <v>146816631281</v>
      </c>
    </row>
    <row r="4640" spans="1:4" ht="14">
      <c r="A4640" s="16">
        <v>45015</v>
      </c>
      <c r="B4640" s="17">
        <v>28021.56</v>
      </c>
      <c r="C4640" s="18">
        <v>22435349951</v>
      </c>
      <c r="D4640" s="21">
        <f t="shared" si="12"/>
        <v>134119555297</v>
      </c>
    </row>
    <row r="4641" spans="1:4" ht="14">
      <c r="A4641" s="16">
        <v>45016</v>
      </c>
      <c r="B4641" s="17">
        <v>28514.68</v>
      </c>
      <c r="C4641" s="18">
        <v>19001327598</v>
      </c>
      <c r="D4641" s="21">
        <f t="shared" si="12"/>
        <v>132334471559</v>
      </c>
    </row>
    <row r="4642" spans="1:4" ht="14">
      <c r="A4642" s="16">
        <v>45017</v>
      </c>
      <c r="B4642" s="17">
        <v>28494.560000000001</v>
      </c>
      <c r="C4642" s="18">
        <v>10876469901</v>
      </c>
      <c r="D4642" s="21">
        <f t="shared" si="12"/>
        <v>125355488197</v>
      </c>
    </row>
    <row r="4643" spans="1:4" ht="14">
      <c r="A4643" s="16">
        <v>45018</v>
      </c>
      <c r="B4643" s="17">
        <v>28162</v>
      </c>
      <c r="C4643" s="18">
        <v>12284641999</v>
      </c>
      <c r="D4643" s="21">
        <f t="shared" si="12"/>
        <v>122848952111</v>
      </c>
    </row>
    <row r="4644" spans="1:4" ht="14">
      <c r="A4644" s="16">
        <v>45019</v>
      </c>
      <c r="B4644" s="17">
        <v>27850.98</v>
      </c>
      <c r="C4644" s="18">
        <v>19556501327</v>
      </c>
      <c r="D4644" s="21">
        <f t="shared" si="12"/>
        <v>121255230918</v>
      </c>
    </row>
    <row r="4645" spans="1:4" ht="14">
      <c r="A4645" s="16">
        <v>45020</v>
      </c>
      <c r="B4645" s="17">
        <v>28113.96</v>
      </c>
      <c r="C4645" s="18">
        <v>15284538859</v>
      </c>
      <c r="D4645" s="21">
        <f t="shared" si="12"/>
        <v>122622837067</v>
      </c>
    </row>
    <row r="4646" spans="1:4" ht="14">
      <c r="A4646" s="16">
        <v>45021</v>
      </c>
      <c r="B4646" s="17">
        <v>28190.31</v>
      </c>
      <c r="C4646" s="18">
        <v>17052315986</v>
      </c>
      <c r="D4646" s="21">
        <f t="shared" si="12"/>
        <v>120123775541</v>
      </c>
    </row>
    <row r="4647" spans="1:4" ht="14">
      <c r="A4647" s="16">
        <v>45022</v>
      </c>
      <c r="B4647" s="17">
        <v>28049.07</v>
      </c>
      <c r="C4647" s="18">
        <v>13837809380</v>
      </c>
      <c r="D4647" s="21">
        <f t="shared" si="12"/>
        <v>116491145621</v>
      </c>
    </row>
    <row r="4648" spans="1:4" ht="14">
      <c r="A4648" s="16">
        <v>45023</v>
      </c>
      <c r="B4648" s="17">
        <v>27936.799999999999</v>
      </c>
      <c r="C4648" s="18">
        <v>10861680497</v>
      </c>
      <c r="D4648" s="21">
        <f t="shared" si="12"/>
        <v>107893605050</v>
      </c>
    </row>
    <row r="4649" spans="1:4" ht="14">
      <c r="A4649" s="16">
        <v>45024</v>
      </c>
      <c r="B4649" s="17">
        <v>27964.05</v>
      </c>
      <c r="C4649" s="18">
        <v>9373255556</v>
      </c>
      <c r="D4649" s="21">
        <f t="shared" si="12"/>
        <v>99753957949</v>
      </c>
    </row>
    <row r="4650" spans="1:4" ht="14">
      <c r="A4650" s="16">
        <v>45025</v>
      </c>
      <c r="B4650" s="17">
        <v>28357.81</v>
      </c>
      <c r="C4650" s="18">
        <v>12175322951</v>
      </c>
      <c r="D4650" s="21">
        <f t="shared" si="12"/>
        <v>98250743604</v>
      </c>
    </row>
    <row r="4651" spans="1:4" ht="14">
      <c r="A4651" s="16">
        <v>45026</v>
      </c>
      <c r="B4651" s="17">
        <v>29687.57</v>
      </c>
      <c r="C4651" s="18">
        <v>19282400094</v>
      </c>
      <c r="D4651" s="21">
        <f t="shared" si="12"/>
        <v>98141424556</v>
      </c>
    </row>
    <row r="4652" spans="1:4" ht="14">
      <c r="A4652" s="16">
        <v>45027</v>
      </c>
      <c r="B4652" s="17">
        <v>30247.1</v>
      </c>
      <c r="C4652" s="18">
        <v>20121259843</v>
      </c>
      <c r="D4652" s="21">
        <f t="shared" si="12"/>
        <v>97867323323</v>
      </c>
    </row>
    <row r="4653" spans="1:4" ht="14">
      <c r="A4653" s="16">
        <v>45028</v>
      </c>
      <c r="B4653" s="17">
        <v>29913</v>
      </c>
      <c r="C4653" s="18">
        <v>18651929926</v>
      </c>
      <c r="D4653" s="21">
        <f t="shared" si="12"/>
        <v>102704044307</v>
      </c>
    </row>
    <row r="4654" spans="1:4" ht="14">
      <c r="A4654" s="16">
        <v>45029</v>
      </c>
      <c r="B4654" s="17">
        <v>30370.82</v>
      </c>
      <c r="C4654" s="18">
        <v>17487721001</v>
      </c>
      <c r="D4654" s="21">
        <f t="shared" si="12"/>
        <v>104303658247</v>
      </c>
    </row>
    <row r="4655" spans="1:4" ht="14">
      <c r="A4655" s="16">
        <v>45030</v>
      </c>
      <c r="B4655" s="17">
        <v>30458.97</v>
      </c>
      <c r="C4655" s="18">
        <v>22659995079</v>
      </c>
      <c r="D4655" s="21">
        <f t="shared" si="12"/>
        <v>107953569868</v>
      </c>
    </row>
    <row r="4656" spans="1:4" ht="14">
      <c r="A4656" s="16">
        <v>45031</v>
      </c>
      <c r="B4656" s="17">
        <v>30342.06</v>
      </c>
      <c r="C4656" s="18">
        <v>11940685378</v>
      </c>
      <c r="D4656" s="21">
        <f t="shared" si="12"/>
        <v>119751884450</v>
      </c>
    </row>
    <row r="4657" spans="1:4" ht="14">
      <c r="A4657" s="16">
        <v>45032</v>
      </c>
      <c r="B4657" s="17">
        <v>30312.93</v>
      </c>
      <c r="C4657" s="18">
        <v>12854816417</v>
      </c>
      <c r="D4657" s="21">
        <f t="shared" si="12"/>
        <v>122319314272</v>
      </c>
    </row>
    <row r="4658" spans="1:4" ht="14">
      <c r="A4658" s="16">
        <v>45033</v>
      </c>
      <c r="B4658" s="17">
        <v>29469.51</v>
      </c>
      <c r="C4658" s="18">
        <v>17872186762</v>
      </c>
      <c r="D4658" s="21">
        <f t="shared" si="12"/>
        <v>122998807738</v>
      </c>
    </row>
    <row r="4659" spans="1:4" ht="14">
      <c r="A4659" s="16">
        <v>45034</v>
      </c>
      <c r="B4659" s="17">
        <v>30366.87</v>
      </c>
      <c r="C4659" s="18">
        <v>19480529496</v>
      </c>
      <c r="D4659" s="21">
        <f t="shared" si="12"/>
        <v>121588594406</v>
      </c>
    </row>
    <row r="4660" spans="1:4" ht="14">
      <c r="A4660" s="16">
        <v>45035</v>
      </c>
      <c r="B4660" s="17">
        <v>28796.74</v>
      </c>
      <c r="C4660" s="18">
        <v>24571565421</v>
      </c>
      <c r="D4660" s="21">
        <f t="shared" si="12"/>
        <v>120947864059</v>
      </c>
    </row>
    <row r="4661" spans="1:4" ht="14">
      <c r="A4661" s="16">
        <v>45036</v>
      </c>
      <c r="B4661" s="17">
        <v>28251.279999999999</v>
      </c>
      <c r="C4661" s="18">
        <v>21340360360</v>
      </c>
      <c r="D4661" s="21">
        <f t="shared" si="12"/>
        <v>126867499554</v>
      </c>
    </row>
    <row r="4662" spans="1:4" ht="14">
      <c r="A4662" s="16">
        <v>45037</v>
      </c>
      <c r="B4662" s="17">
        <v>27292.02</v>
      </c>
      <c r="C4662" s="18">
        <v>20759504330</v>
      </c>
      <c r="D4662" s="21">
        <f t="shared" si="12"/>
        <v>130720138913</v>
      </c>
    </row>
    <row r="4663" spans="1:4" ht="14">
      <c r="A4663" s="16">
        <v>45038</v>
      </c>
      <c r="B4663" s="17">
        <v>27827.55</v>
      </c>
      <c r="C4663" s="18">
        <v>13125734602</v>
      </c>
      <c r="D4663" s="21">
        <f t="shared" si="12"/>
        <v>128819648164</v>
      </c>
    </row>
    <row r="4664" spans="1:4" ht="14">
      <c r="A4664" s="16">
        <v>45039</v>
      </c>
      <c r="B4664" s="17">
        <v>27604.69</v>
      </c>
      <c r="C4664" s="18">
        <v>12785446832</v>
      </c>
      <c r="D4664" s="21">
        <f t="shared" si="12"/>
        <v>130004697388</v>
      </c>
    </row>
    <row r="4665" spans="1:4" ht="14">
      <c r="A4665" s="16">
        <v>45040</v>
      </c>
      <c r="B4665" s="17">
        <v>27520.2</v>
      </c>
      <c r="C4665" s="18">
        <v>17703288330</v>
      </c>
      <c r="D4665" s="21">
        <f t="shared" si="12"/>
        <v>129935327803</v>
      </c>
    </row>
    <row r="4666" spans="1:4" ht="14">
      <c r="A4666" s="16">
        <v>45041</v>
      </c>
      <c r="B4666" s="17">
        <v>28302.69</v>
      </c>
      <c r="C4666" s="18">
        <v>17733373139</v>
      </c>
      <c r="D4666" s="21">
        <f t="shared" si="12"/>
        <v>129766429371</v>
      </c>
    </row>
    <row r="4667" spans="1:4" ht="14">
      <c r="A4667" s="16">
        <v>45042</v>
      </c>
      <c r="B4667" s="17">
        <v>28384.23</v>
      </c>
      <c r="C4667" s="18">
        <v>31854242019</v>
      </c>
      <c r="D4667" s="21">
        <f t="shared" si="12"/>
        <v>128019273014</v>
      </c>
    </row>
    <row r="4668" spans="1:4" ht="14">
      <c r="A4668" s="16">
        <v>45043</v>
      </c>
      <c r="B4668" s="17">
        <v>29465.55</v>
      </c>
      <c r="C4668" s="18">
        <v>27153445027</v>
      </c>
      <c r="D4668" s="21">
        <f t="shared" si="12"/>
        <v>135301949612</v>
      </c>
    </row>
    <row r="4669" spans="1:4" ht="14">
      <c r="A4669" s="16">
        <v>45044</v>
      </c>
      <c r="B4669" s="17">
        <v>29350.81</v>
      </c>
      <c r="C4669" s="18">
        <v>17544464887</v>
      </c>
      <c r="D4669" s="21">
        <f t="shared" si="12"/>
        <v>141115034279</v>
      </c>
    </row>
    <row r="4670" spans="1:4" ht="14">
      <c r="A4670" s="16">
        <v>45045</v>
      </c>
      <c r="B4670" s="17">
        <v>29221.51</v>
      </c>
      <c r="C4670" s="18">
        <v>10662634333</v>
      </c>
      <c r="D4670" s="21">
        <f t="shared" si="12"/>
        <v>137899994836</v>
      </c>
    </row>
    <row r="4671" spans="1:4" ht="14">
      <c r="A4671" s="16">
        <v>45046</v>
      </c>
      <c r="B4671" s="17">
        <v>29362.09</v>
      </c>
      <c r="C4671" s="18">
        <v>14652199272</v>
      </c>
      <c r="D4671" s="21">
        <f t="shared" si="12"/>
        <v>135436894567</v>
      </c>
    </row>
    <row r="4672" spans="1:4" ht="14">
      <c r="A4672" s="16">
        <v>45047</v>
      </c>
      <c r="B4672" s="17">
        <v>28114.95</v>
      </c>
      <c r="C4672" s="18">
        <v>18655599976</v>
      </c>
      <c r="D4672" s="21">
        <f t="shared" si="12"/>
        <v>137303647007</v>
      </c>
    </row>
    <row r="4673" spans="1:4" ht="14">
      <c r="A4673" s="16">
        <v>45048</v>
      </c>
      <c r="B4673" s="17">
        <v>28690.58</v>
      </c>
      <c r="C4673" s="18">
        <v>16432924527</v>
      </c>
      <c r="D4673" s="21">
        <f t="shared" si="12"/>
        <v>138255958653</v>
      </c>
    </row>
    <row r="4674" spans="1:4" ht="14">
      <c r="A4674" s="16">
        <v>45049</v>
      </c>
      <c r="B4674" s="17">
        <v>29045.040000000001</v>
      </c>
      <c r="C4674" s="18">
        <v>19122972518</v>
      </c>
      <c r="D4674" s="21">
        <f t="shared" si="12"/>
        <v>136955510041</v>
      </c>
    </row>
    <row r="4675" spans="1:4" ht="14">
      <c r="A4675" s="16">
        <v>45050</v>
      </c>
      <c r="B4675" s="17">
        <v>28855.86</v>
      </c>
      <c r="C4675" s="18">
        <v>15548678514</v>
      </c>
      <c r="D4675" s="21">
        <f t="shared" si="12"/>
        <v>124224240540</v>
      </c>
    </row>
    <row r="4676" spans="1:4" ht="14">
      <c r="A4676" s="16">
        <v>45051</v>
      </c>
      <c r="B4676" s="17">
        <v>29552.97</v>
      </c>
      <c r="C4676" s="18">
        <v>17936566518</v>
      </c>
      <c r="D4676" s="21">
        <f t="shared" si="12"/>
        <v>112619474027</v>
      </c>
    </row>
    <row r="4677" spans="1:4" ht="14">
      <c r="A4677" s="16">
        <v>45052</v>
      </c>
      <c r="B4677" s="17">
        <v>28899.46</v>
      </c>
      <c r="C4677" s="18">
        <v>15913866714</v>
      </c>
      <c r="D4677" s="21">
        <f t="shared" si="12"/>
        <v>113011575658</v>
      </c>
    </row>
    <row r="4678" spans="1:4" ht="14">
      <c r="A4678" s="16">
        <v>45053</v>
      </c>
      <c r="B4678" s="17">
        <v>28761.74</v>
      </c>
      <c r="C4678" s="18">
        <v>11301355486</v>
      </c>
      <c r="D4678" s="21">
        <f t="shared" si="12"/>
        <v>118262808039</v>
      </c>
    </row>
    <row r="4679" spans="1:4" ht="14">
      <c r="A4679" s="16">
        <v>45054</v>
      </c>
      <c r="B4679" s="17">
        <v>27727.29</v>
      </c>
      <c r="C4679" s="18">
        <v>19122903752</v>
      </c>
      <c r="D4679" s="21">
        <f t="shared" si="12"/>
        <v>114911964253</v>
      </c>
    </row>
    <row r="4680" spans="1:4" ht="14">
      <c r="A4680" s="16">
        <v>45055</v>
      </c>
      <c r="B4680" s="17">
        <v>27642.43</v>
      </c>
      <c r="C4680" s="18">
        <v>14128593256</v>
      </c>
      <c r="D4680" s="21">
        <f t="shared" si="12"/>
        <v>115379268029</v>
      </c>
    </row>
    <row r="4681" spans="1:4" ht="14">
      <c r="A4681" s="16">
        <v>45056</v>
      </c>
      <c r="B4681" s="17">
        <v>27646</v>
      </c>
      <c r="C4681" s="18">
        <v>20656025026</v>
      </c>
      <c r="D4681" s="21">
        <f t="shared" si="12"/>
        <v>113074936758</v>
      </c>
    </row>
    <row r="4682" spans="1:4" ht="14">
      <c r="A4682" s="16">
        <v>45057</v>
      </c>
      <c r="B4682" s="17">
        <v>26986.27</v>
      </c>
      <c r="C4682" s="18">
        <v>16724343943</v>
      </c>
      <c r="D4682" s="21">
        <f t="shared" si="12"/>
        <v>114607989266</v>
      </c>
    </row>
    <row r="4683" spans="1:4" ht="14">
      <c r="A4683" s="16">
        <v>45058</v>
      </c>
      <c r="B4683" s="17">
        <v>26773.34</v>
      </c>
      <c r="C4683" s="18">
        <v>19313599897</v>
      </c>
      <c r="D4683" s="21">
        <f t="shared" si="12"/>
        <v>115783654695</v>
      </c>
    </row>
    <row r="4684" spans="1:4" ht="14">
      <c r="A4684" s="16">
        <v>45059</v>
      </c>
      <c r="B4684" s="17">
        <v>26841.4</v>
      </c>
      <c r="C4684" s="18">
        <v>9999171605</v>
      </c>
      <c r="D4684" s="21">
        <f t="shared" si="12"/>
        <v>117160688074</v>
      </c>
    </row>
    <row r="4685" spans="1:4" ht="14">
      <c r="A4685" s="16">
        <v>45060</v>
      </c>
      <c r="B4685" s="17">
        <v>26918.26</v>
      </c>
      <c r="C4685" s="18">
        <v>10014858959</v>
      </c>
      <c r="D4685" s="21">
        <f t="shared" si="12"/>
        <v>111245992965</v>
      </c>
    </row>
    <row r="4686" spans="1:4" ht="14">
      <c r="A4686" s="16">
        <v>45061</v>
      </c>
      <c r="B4686" s="17">
        <v>27231.62</v>
      </c>
      <c r="C4686" s="18">
        <v>14413231792</v>
      </c>
      <c r="D4686" s="21">
        <f t="shared" si="12"/>
        <v>109959496438</v>
      </c>
    </row>
    <row r="4687" spans="1:4" ht="14">
      <c r="A4687" s="16">
        <v>45062</v>
      </c>
      <c r="B4687" s="17">
        <v>27025.72</v>
      </c>
      <c r="C4687" s="18">
        <v>12732238816</v>
      </c>
      <c r="D4687" s="21">
        <f t="shared" si="12"/>
        <v>105249824478</v>
      </c>
    </row>
    <row r="4688" spans="1:4" ht="14">
      <c r="A4688" s="16">
        <v>45063</v>
      </c>
      <c r="B4688" s="17">
        <v>27401.040000000001</v>
      </c>
      <c r="C4688" s="18">
        <v>15140006925</v>
      </c>
      <c r="D4688" s="21">
        <f t="shared" si="12"/>
        <v>103853470038</v>
      </c>
    </row>
    <row r="4689" spans="1:4" ht="14">
      <c r="A4689" s="16">
        <v>45064</v>
      </c>
      <c r="B4689" s="17">
        <v>26843.24</v>
      </c>
      <c r="C4689" s="18">
        <v>15222938600</v>
      </c>
      <c r="D4689" s="21">
        <f t="shared" si="12"/>
        <v>98337451937</v>
      </c>
    </row>
    <row r="4690" spans="1:4" ht="14">
      <c r="A4690" s="16">
        <v>45065</v>
      </c>
      <c r="B4690" s="17">
        <v>26889.5</v>
      </c>
      <c r="C4690" s="18">
        <v>11258983301</v>
      </c>
      <c r="D4690" s="21">
        <f t="shared" si="12"/>
        <v>96836046594</v>
      </c>
    </row>
    <row r="4691" spans="1:4" ht="14">
      <c r="A4691" s="16">
        <v>45066</v>
      </c>
      <c r="B4691" s="17">
        <v>27100.86</v>
      </c>
      <c r="C4691" s="18">
        <v>7044911360</v>
      </c>
      <c r="D4691" s="21">
        <f t="shared" si="12"/>
        <v>88781429998</v>
      </c>
    </row>
    <row r="4692" spans="1:4" ht="14">
      <c r="A4692" s="16">
        <v>45067</v>
      </c>
      <c r="B4692" s="17">
        <v>26777.1</v>
      </c>
      <c r="C4692" s="18">
        <v>8647416921</v>
      </c>
      <c r="D4692" s="21">
        <f t="shared" si="12"/>
        <v>85827169753</v>
      </c>
    </row>
    <row r="4693" spans="1:4" ht="14">
      <c r="A4693" s="16">
        <v>45068</v>
      </c>
      <c r="B4693" s="17">
        <v>26858.74</v>
      </c>
      <c r="C4693" s="18">
        <v>11056770492</v>
      </c>
      <c r="D4693" s="21">
        <f t="shared" si="12"/>
        <v>84459727715</v>
      </c>
    </row>
    <row r="4694" spans="1:4" ht="14">
      <c r="A4694" s="16">
        <v>45069</v>
      </c>
      <c r="B4694" s="17">
        <v>27226.86</v>
      </c>
      <c r="C4694" s="18">
        <v>13697203143</v>
      </c>
      <c r="D4694" s="21">
        <f t="shared" si="12"/>
        <v>81103266415</v>
      </c>
    </row>
    <row r="4695" spans="1:4" ht="14">
      <c r="A4695" s="16">
        <v>45070</v>
      </c>
      <c r="B4695" s="17">
        <v>26341.43</v>
      </c>
      <c r="C4695" s="18">
        <v>16299104428</v>
      </c>
      <c r="D4695" s="21">
        <f t="shared" si="12"/>
        <v>82068230742</v>
      </c>
    </row>
    <row r="4696" spans="1:4" ht="14">
      <c r="A4696" s="16">
        <v>45071</v>
      </c>
      <c r="B4696" s="17">
        <v>26484.84</v>
      </c>
      <c r="C4696" s="18">
        <v>13851122697</v>
      </c>
      <c r="D4696" s="21">
        <f t="shared" si="12"/>
        <v>83227328245</v>
      </c>
    </row>
    <row r="4697" spans="1:4" ht="14">
      <c r="A4697" s="16">
        <v>45072</v>
      </c>
      <c r="B4697" s="17">
        <v>26720.38</v>
      </c>
      <c r="C4697" s="18">
        <v>12711619225</v>
      </c>
      <c r="D4697" s="21">
        <f t="shared" si="12"/>
        <v>81855512342</v>
      </c>
    </row>
    <row r="4698" spans="1:4" ht="14">
      <c r="A4698" s="16">
        <v>45073</v>
      </c>
      <c r="B4698" s="17">
        <v>26854.54</v>
      </c>
      <c r="C4698" s="18">
        <v>7892015141</v>
      </c>
      <c r="D4698" s="21">
        <f t="shared" si="12"/>
        <v>83308148266</v>
      </c>
    </row>
    <row r="4699" spans="1:4" ht="14">
      <c r="A4699" s="16">
        <v>45074</v>
      </c>
      <c r="B4699" s="17">
        <v>28097.52</v>
      </c>
      <c r="C4699" s="18">
        <v>14545229578</v>
      </c>
      <c r="D4699" s="21">
        <f t="shared" si="12"/>
        <v>84155252047</v>
      </c>
    </row>
    <row r="4700" spans="1:4" ht="14">
      <c r="A4700" s="16">
        <v>45075</v>
      </c>
      <c r="B4700" s="17">
        <v>27765.07</v>
      </c>
      <c r="C4700" s="18">
        <v>15181308984</v>
      </c>
      <c r="D4700" s="21">
        <f t="shared" si="12"/>
        <v>90053064704</v>
      </c>
    </row>
    <row r="4701" spans="1:4" ht="14">
      <c r="A4701" s="16">
        <v>45076</v>
      </c>
      <c r="B4701" s="17">
        <v>27712.49</v>
      </c>
      <c r="C4701" s="18">
        <v>13251081851</v>
      </c>
      <c r="D4701" s="21">
        <f t="shared" si="12"/>
        <v>94177603196</v>
      </c>
    </row>
    <row r="4702" spans="1:4" ht="14">
      <c r="A4702" s="16">
        <v>45077</v>
      </c>
      <c r="B4702" s="17">
        <v>27217.68</v>
      </c>
      <c r="C4702" s="18">
        <v>15656371534</v>
      </c>
      <c r="D4702" s="21">
        <f t="shared" si="12"/>
        <v>93731481904</v>
      </c>
    </row>
    <row r="4703" spans="1:4" ht="14">
      <c r="A4703" s="16">
        <v>45078</v>
      </c>
      <c r="B4703" s="17">
        <v>26825.37</v>
      </c>
      <c r="C4703" s="18">
        <v>14678970415</v>
      </c>
      <c r="D4703" s="21">
        <f t="shared" si="12"/>
        <v>93088749010</v>
      </c>
    </row>
    <row r="4704" spans="1:4" ht="14">
      <c r="A4704" s="16">
        <v>45079</v>
      </c>
      <c r="B4704" s="17">
        <v>27255.23</v>
      </c>
      <c r="C4704" s="18">
        <v>14837415000</v>
      </c>
      <c r="D4704" s="21">
        <f t="shared" si="12"/>
        <v>93916596728</v>
      </c>
    </row>
    <row r="4705" spans="1:4" ht="14">
      <c r="A4705" s="16">
        <v>45080</v>
      </c>
      <c r="B4705" s="17">
        <v>27079.41</v>
      </c>
      <c r="C4705" s="18">
        <v>8385597470</v>
      </c>
      <c r="D4705" s="21">
        <f t="shared" si="12"/>
        <v>96042392503</v>
      </c>
    </row>
    <row r="4706" spans="1:4" ht="14">
      <c r="A4706" s="16">
        <v>45081</v>
      </c>
      <c r="B4706" s="17">
        <v>27158.25</v>
      </c>
      <c r="C4706" s="18">
        <v>9360912318</v>
      </c>
      <c r="D4706" s="21">
        <f t="shared" si="12"/>
        <v>96535974832</v>
      </c>
    </row>
    <row r="4707" spans="1:4" ht="14">
      <c r="A4707" s="16">
        <v>45082</v>
      </c>
      <c r="B4707" s="17">
        <v>25785.85</v>
      </c>
      <c r="C4707" s="18">
        <v>21513292646</v>
      </c>
      <c r="D4707" s="21">
        <f t="shared" si="12"/>
        <v>91351657572</v>
      </c>
    </row>
    <row r="4708" spans="1:4" ht="14">
      <c r="A4708" s="16">
        <v>45083</v>
      </c>
      <c r="B4708" s="17">
        <v>27213.77</v>
      </c>
      <c r="C4708" s="18">
        <v>21929670693</v>
      </c>
      <c r="D4708" s="21">
        <f t="shared" si="12"/>
        <v>97683641234</v>
      </c>
    </row>
    <row r="4709" spans="1:4" ht="14">
      <c r="A4709" s="16">
        <v>45084</v>
      </c>
      <c r="B4709" s="17">
        <v>26339.58</v>
      </c>
      <c r="C4709" s="18">
        <v>19530045082</v>
      </c>
      <c r="D4709" s="21">
        <f t="shared" si="12"/>
        <v>106362230076</v>
      </c>
    </row>
    <row r="4710" spans="1:4" ht="14">
      <c r="A4710" s="16">
        <v>45085</v>
      </c>
      <c r="B4710" s="17">
        <v>26521.69</v>
      </c>
      <c r="C4710" s="18">
        <v>11904824295</v>
      </c>
      <c r="D4710" s="21">
        <f t="shared" si="12"/>
        <v>110235903624</v>
      </c>
    </row>
    <row r="4711" spans="1:4" ht="14">
      <c r="A4711" s="16">
        <v>45086</v>
      </c>
      <c r="B4711" s="17">
        <v>26470.68</v>
      </c>
      <c r="C4711" s="18">
        <v>11015551640</v>
      </c>
      <c r="D4711" s="21">
        <f t="shared" si="12"/>
        <v>107461757504</v>
      </c>
    </row>
    <row r="4712" spans="1:4" ht="14">
      <c r="A4712" s="16">
        <v>45087</v>
      </c>
      <c r="B4712" s="17">
        <v>25863.21</v>
      </c>
      <c r="C4712" s="18">
        <v>19872933189</v>
      </c>
      <c r="D4712" s="21">
        <f t="shared" si="12"/>
        <v>103639894144</v>
      </c>
    </row>
    <row r="4713" spans="1:4" ht="14">
      <c r="A4713" s="16">
        <v>45088</v>
      </c>
      <c r="B4713" s="17">
        <v>25906.83</v>
      </c>
      <c r="C4713" s="18">
        <v>10732609603</v>
      </c>
      <c r="D4713" s="21">
        <f t="shared" si="12"/>
        <v>115127229863</v>
      </c>
    </row>
    <row r="4714" spans="1:4" ht="14">
      <c r="A4714" s="16">
        <v>45089</v>
      </c>
      <c r="B4714" s="17">
        <v>25906.75</v>
      </c>
      <c r="C4714" s="18">
        <v>11677889997</v>
      </c>
      <c r="D4714" s="21">
        <f t="shared" si="12"/>
        <v>116498927148</v>
      </c>
    </row>
    <row r="4715" spans="1:4" ht="14">
      <c r="A4715" s="16">
        <v>45090</v>
      </c>
      <c r="B4715" s="17">
        <v>25880.86</v>
      </c>
      <c r="C4715" s="18">
        <v>14143474486</v>
      </c>
      <c r="D4715" s="21">
        <f t="shared" si="12"/>
        <v>106663524499</v>
      </c>
    </row>
    <row r="4716" spans="1:4" ht="14">
      <c r="A4716" s="16">
        <v>45091</v>
      </c>
      <c r="B4716" s="17">
        <v>25097.59</v>
      </c>
      <c r="C4716" s="18">
        <v>14265717766</v>
      </c>
      <c r="D4716" s="21">
        <f t="shared" si="12"/>
        <v>98877328292</v>
      </c>
    </row>
    <row r="4717" spans="1:4" ht="14">
      <c r="A4717" s="16">
        <v>45092</v>
      </c>
      <c r="B4717" s="17">
        <v>25559.14</v>
      </c>
      <c r="C4717" s="18">
        <v>15837384409</v>
      </c>
      <c r="D4717" s="21">
        <f t="shared" si="12"/>
        <v>93613000976</v>
      </c>
    </row>
    <row r="4718" spans="1:4" ht="14">
      <c r="A4718" s="16">
        <v>45093</v>
      </c>
      <c r="B4718" s="17">
        <v>26331.82</v>
      </c>
      <c r="C4718" s="18">
        <v>16324646965</v>
      </c>
      <c r="D4718" s="21">
        <f t="shared" si="12"/>
        <v>97545561090</v>
      </c>
    </row>
    <row r="4719" spans="1:4" ht="14">
      <c r="A4719" s="16">
        <v>45094</v>
      </c>
      <c r="B4719" s="17">
        <v>26514.17</v>
      </c>
      <c r="C4719" s="18">
        <v>11090276850</v>
      </c>
      <c r="D4719" s="21">
        <f t="shared" si="12"/>
        <v>102854656415</v>
      </c>
    </row>
    <row r="4720" spans="1:4" ht="14">
      <c r="A4720" s="16">
        <v>45095</v>
      </c>
      <c r="B4720" s="17">
        <v>26353.96</v>
      </c>
      <c r="C4720" s="18">
        <v>9565695129</v>
      </c>
      <c r="D4720" s="21">
        <f t="shared" si="12"/>
        <v>94072000076</v>
      </c>
    </row>
    <row r="4721" spans="1:4" ht="14">
      <c r="A4721" s="16">
        <v>45096</v>
      </c>
      <c r="B4721" s="17">
        <v>26778.06</v>
      </c>
      <c r="C4721" s="18">
        <v>12826986222</v>
      </c>
      <c r="D4721" s="21">
        <f t="shared" si="12"/>
        <v>92905085602</v>
      </c>
    </row>
    <row r="4722" spans="1:4" ht="14">
      <c r="A4722" s="16">
        <v>45097</v>
      </c>
      <c r="B4722" s="17">
        <v>28305.42</v>
      </c>
      <c r="C4722" s="18">
        <v>22211859147</v>
      </c>
      <c r="D4722" s="21">
        <f t="shared" si="12"/>
        <v>94054181827</v>
      </c>
    </row>
    <row r="4723" spans="1:4" ht="14">
      <c r="A4723" s="16">
        <v>45098</v>
      </c>
      <c r="B4723" s="17">
        <v>30099.52</v>
      </c>
      <c r="C4723" s="18">
        <v>33346760979</v>
      </c>
      <c r="D4723" s="21">
        <f t="shared" si="12"/>
        <v>102122566488</v>
      </c>
    </row>
    <row r="4724" spans="1:4" ht="14">
      <c r="A4724" s="16">
        <v>45099</v>
      </c>
      <c r="B4724" s="17">
        <v>29952.51</v>
      </c>
      <c r="C4724" s="18">
        <v>20653160491</v>
      </c>
      <c r="D4724" s="21">
        <f t="shared" si="12"/>
        <v>121203609701</v>
      </c>
    </row>
    <row r="4725" spans="1:4" ht="14">
      <c r="A4725" s="16">
        <v>45100</v>
      </c>
      <c r="B4725" s="17">
        <v>30638.35</v>
      </c>
      <c r="C4725" s="18">
        <v>24115570085</v>
      </c>
      <c r="D4725" s="21">
        <f t="shared" si="12"/>
        <v>126019385783</v>
      </c>
    </row>
    <row r="4726" spans="1:4" ht="14">
      <c r="A4726" s="16">
        <v>45101</v>
      </c>
      <c r="B4726" s="17">
        <v>30549.02</v>
      </c>
      <c r="C4726" s="18">
        <v>12147822496</v>
      </c>
      <c r="D4726" s="21">
        <f t="shared" si="12"/>
        <v>133810308903</v>
      </c>
    </row>
    <row r="4727" spans="1:4" ht="14">
      <c r="A4727" s="16">
        <v>45102</v>
      </c>
      <c r="B4727" s="17">
        <v>30467.439999999999</v>
      </c>
      <c r="C4727" s="18">
        <v>12703464114</v>
      </c>
      <c r="D4727" s="21">
        <f t="shared" si="12"/>
        <v>134867854549</v>
      </c>
    </row>
    <row r="4728" spans="1:4" ht="14">
      <c r="A4728" s="16">
        <v>45103</v>
      </c>
      <c r="B4728" s="17">
        <v>30255.89</v>
      </c>
      <c r="C4728" s="18">
        <v>16493186997</v>
      </c>
      <c r="D4728" s="21">
        <f t="shared" si="12"/>
        <v>138005623534</v>
      </c>
    </row>
    <row r="4729" spans="1:4" ht="14">
      <c r="A4729" s="16">
        <v>45104</v>
      </c>
      <c r="B4729" s="17">
        <v>30667.08</v>
      </c>
      <c r="C4729" s="18">
        <v>16428827944</v>
      </c>
      <c r="D4729" s="21">
        <f t="shared" si="12"/>
        <v>141671824309</v>
      </c>
    </row>
    <row r="4730" spans="1:4" ht="14">
      <c r="A4730" s="16">
        <v>45105</v>
      </c>
      <c r="B4730" s="17">
        <v>30104.04</v>
      </c>
      <c r="C4730" s="18">
        <v>14571500779</v>
      </c>
      <c r="D4730" s="21">
        <f t="shared" si="12"/>
        <v>135888793106</v>
      </c>
    </row>
    <row r="4731" spans="1:4" ht="14">
      <c r="A4731" s="16">
        <v>45106</v>
      </c>
      <c r="B4731" s="17">
        <v>30460.79</v>
      </c>
      <c r="C4731" s="18">
        <v>13180860821</v>
      </c>
      <c r="D4731" s="21">
        <f t="shared" si="12"/>
        <v>117113532906</v>
      </c>
    </row>
    <row r="4732" spans="1:4" ht="14">
      <c r="A4732" s="16">
        <v>45107</v>
      </c>
      <c r="B4732" s="17">
        <v>30484.5</v>
      </c>
      <c r="C4732" s="18">
        <v>26387306197</v>
      </c>
      <c r="D4732" s="21">
        <f t="shared" si="12"/>
        <v>109641233236</v>
      </c>
    </row>
    <row r="4733" spans="1:4" ht="14">
      <c r="A4733" s="16">
        <v>45108</v>
      </c>
      <c r="B4733" s="17">
        <v>30581.69</v>
      </c>
      <c r="C4733" s="18">
        <v>9086606733</v>
      </c>
      <c r="D4733" s="21">
        <f t="shared" si="12"/>
        <v>111912969348</v>
      </c>
    </row>
    <row r="4734" spans="1:4" ht="14">
      <c r="A4734" s="16">
        <v>45109</v>
      </c>
      <c r="B4734" s="17">
        <v>30594.22</v>
      </c>
      <c r="C4734" s="18">
        <v>10533418042</v>
      </c>
      <c r="D4734" s="21">
        <f t="shared" si="12"/>
        <v>108851753585</v>
      </c>
    </row>
    <row r="4735" spans="1:4" ht="14">
      <c r="A4735" s="16">
        <v>45110</v>
      </c>
      <c r="B4735" s="17">
        <v>31135.360000000001</v>
      </c>
      <c r="C4735" s="18">
        <v>15271884873</v>
      </c>
      <c r="D4735" s="21">
        <f t="shared" si="12"/>
        <v>106681707513</v>
      </c>
    </row>
    <row r="4736" spans="1:4" ht="14">
      <c r="A4736" s="16">
        <v>45111</v>
      </c>
      <c r="B4736" s="17">
        <v>30799.95</v>
      </c>
      <c r="C4736" s="18">
        <v>12810828427</v>
      </c>
      <c r="D4736" s="21">
        <f t="shared" si="12"/>
        <v>105460405389</v>
      </c>
    </row>
    <row r="4737" spans="1:4" ht="14">
      <c r="A4737" s="16">
        <v>45112</v>
      </c>
      <c r="B4737" s="17">
        <v>30497.82</v>
      </c>
      <c r="C4737" s="18">
        <v>12481622280</v>
      </c>
      <c r="D4737" s="21">
        <f t="shared" si="12"/>
        <v>101842405872</v>
      </c>
    </row>
    <row r="4738" spans="1:4" ht="14">
      <c r="A4738" s="16">
        <v>45113</v>
      </c>
      <c r="B4738" s="17">
        <v>29979.73</v>
      </c>
      <c r="C4738" s="18">
        <v>21129219509</v>
      </c>
      <c r="D4738" s="21">
        <f t="shared" si="12"/>
        <v>99752527373</v>
      </c>
    </row>
    <row r="4739" spans="1:4" ht="14">
      <c r="A4739" s="16">
        <v>45114</v>
      </c>
      <c r="B4739" s="17">
        <v>30329.88</v>
      </c>
      <c r="C4739" s="18">
        <v>13384770155</v>
      </c>
      <c r="D4739" s="21">
        <f t="shared" si="12"/>
        <v>107700886061</v>
      </c>
    </row>
    <row r="4740" spans="1:4" ht="14">
      <c r="A4740" s="16">
        <v>45115</v>
      </c>
      <c r="B4740" s="17">
        <v>30263.62</v>
      </c>
      <c r="C4740" s="18">
        <v>7509378699</v>
      </c>
      <c r="D4740" s="21">
        <f t="shared" si="12"/>
        <v>94698350019</v>
      </c>
    </row>
    <row r="4741" spans="1:4" ht="14">
      <c r="A4741" s="16">
        <v>45116</v>
      </c>
      <c r="B4741" s="17">
        <v>30163.22</v>
      </c>
      <c r="C4741" s="18">
        <v>7903327692</v>
      </c>
      <c r="D4741" s="21">
        <f t="shared" si="12"/>
        <v>93121121985</v>
      </c>
    </row>
    <row r="4742" spans="1:4" ht="14">
      <c r="A4742" s="16">
        <v>45117</v>
      </c>
      <c r="B4742" s="17">
        <v>30394.66</v>
      </c>
      <c r="C4742" s="18">
        <v>14828209155</v>
      </c>
      <c r="D4742" s="21">
        <f t="shared" si="12"/>
        <v>90491031635</v>
      </c>
    </row>
    <row r="4743" spans="1:4" ht="14">
      <c r="A4743" s="16">
        <v>45118</v>
      </c>
      <c r="B4743" s="17">
        <v>30616.25</v>
      </c>
      <c r="C4743" s="18">
        <v>12151839152</v>
      </c>
      <c r="D4743" s="21">
        <f t="shared" si="12"/>
        <v>90047355917</v>
      </c>
    </row>
    <row r="4744" spans="1:4" ht="14">
      <c r="A4744" s="16">
        <v>45119</v>
      </c>
      <c r="B4744" s="17">
        <v>30385.61</v>
      </c>
      <c r="C4744" s="18">
        <v>14805659717</v>
      </c>
      <c r="D4744" s="21">
        <f t="shared" si="12"/>
        <v>89388366642</v>
      </c>
    </row>
    <row r="4745" spans="1:4" ht="14">
      <c r="A4745" s="16">
        <v>45120</v>
      </c>
      <c r="B4745" s="17">
        <v>31434.74</v>
      </c>
      <c r="C4745" s="18">
        <v>23686079548</v>
      </c>
      <c r="D4745" s="21">
        <f t="shared" si="12"/>
        <v>91712404079</v>
      </c>
    </row>
    <row r="4746" spans="1:4" ht="14">
      <c r="A4746" s="16">
        <v>45121</v>
      </c>
      <c r="B4746" s="17">
        <v>30310.67</v>
      </c>
      <c r="C4746" s="18">
        <v>20917902660</v>
      </c>
      <c r="D4746" s="21">
        <f t="shared" si="12"/>
        <v>94269264118</v>
      </c>
    </row>
    <row r="4747" spans="1:4" ht="14">
      <c r="A4747" s="16">
        <v>45122</v>
      </c>
      <c r="B4747" s="17">
        <v>30290.89</v>
      </c>
      <c r="C4747" s="18">
        <v>8011667756</v>
      </c>
      <c r="D4747" s="21">
        <f t="shared" si="12"/>
        <v>101802396623</v>
      </c>
    </row>
    <row r="4748" spans="1:4" ht="14">
      <c r="A4748" s="16">
        <v>45123</v>
      </c>
      <c r="B4748" s="17">
        <v>30249.77</v>
      </c>
      <c r="C4748" s="18">
        <v>8516564470</v>
      </c>
      <c r="D4748" s="21">
        <f t="shared" si="12"/>
        <v>102304685680</v>
      </c>
    </row>
    <row r="4749" spans="1:4" ht="14">
      <c r="A4749" s="16">
        <v>45124</v>
      </c>
      <c r="B4749" s="17">
        <v>30143.75</v>
      </c>
      <c r="C4749" s="18">
        <v>13240156074</v>
      </c>
      <c r="D4749" s="21">
        <f t="shared" si="12"/>
        <v>102917922458</v>
      </c>
    </row>
    <row r="4750" spans="1:4" ht="14">
      <c r="A4750" s="16">
        <v>45125</v>
      </c>
      <c r="B4750" s="17">
        <v>29835.75</v>
      </c>
      <c r="C4750" s="18">
        <v>13253216256</v>
      </c>
      <c r="D4750" s="21">
        <f t="shared" si="12"/>
        <v>101329869377</v>
      </c>
    </row>
    <row r="4751" spans="1:4" ht="14">
      <c r="A4751" s="16">
        <v>45126</v>
      </c>
      <c r="B4751" s="17">
        <v>29913.03</v>
      </c>
      <c r="C4751" s="18">
        <v>12128602812</v>
      </c>
      <c r="D4751" s="21">
        <f t="shared" si="12"/>
        <v>102431246481</v>
      </c>
    </row>
    <row r="4752" spans="1:4" ht="14">
      <c r="A4752" s="16">
        <v>45127</v>
      </c>
      <c r="B4752" s="17">
        <v>29805.61</v>
      </c>
      <c r="C4752" s="18">
        <v>14655207121</v>
      </c>
      <c r="D4752" s="21">
        <f t="shared" si="12"/>
        <v>99754189576</v>
      </c>
    </row>
    <row r="4753" spans="1:4" ht="14">
      <c r="A4753" s="16">
        <v>45128</v>
      </c>
      <c r="B4753" s="17">
        <v>29919.69</v>
      </c>
      <c r="C4753" s="18">
        <v>10972789818</v>
      </c>
      <c r="D4753" s="21">
        <f t="shared" si="12"/>
        <v>90723317149</v>
      </c>
    </row>
    <row r="4754" spans="1:4" ht="14">
      <c r="A4754" s="16">
        <v>45129</v>
      </c>
      <c r="B4754" s="17">
        <v>29726.01</v>
      </c>
      <c r="C4754" s="18">
        <v>7873300598</v>
      </c>
      <c r="D4754" s="21">
        <f t="shared" si="12"/>
        <v>80778204307</v>
      </c>
    </row>
    <row r="4755" spans="1:4" ht="14">
      <c r="A4755" s="16">
        <v>45130</v>
      </c>
      <c r="B4755" s="17">
        <v>30066.57</v>
      </c>
      <c r="C4755" s="18">
        <v>9220145050</v>
      </c>
      <c r="D4755" s="21">
        <f t="shared" si="12"/>
        <v>80639837149</v>
      </c>
    </row>
    <row r="4756" spans="1:4" ht="14">
      <c r="A4756" s="16">
        <v>45131</v>
      </c>
      <c r="B4756" s="17">
        <v>29178.36</v>
      </c>
      <c r="C4756" s="18">
        <v>15395817395</v>
      </c>
      <c r="D4756" s="21">
        <f t="shared" si="12"/>
        <v>81343417729</v>
      </c>
    </row>
    <row r="4757" spans="1:4" ht="14">
      <c r="A4757" s="16">
        <v>45132</v>
      </c>
      <c r="B4757" s="17">
        <v>29221.25</v>
      </c>
      <c r="C4757" s="18">
        <v>10266772793</v>
      </c>
      <c r="D4757" s="21">
        <f t="shared" si="12"/>
        <v>83499079050</v>
      </c>
    </row>
    <row r="4758" spans="1:4" ht="14">
      <c r="A4758" s="16">
        <v>45133</v>
      </c>
      <c r="B4758" s="17">
        <v>29361.59</v>
      </c>
      <c r="C4758" s="18">
        <v>13497554655</v>
      </c>
      <c r="D4758" s="21">
        <f t="shared" si="12"/>
        <v>80512635587</v>
      </c>
    </row>
    <row r="4759" spans="1:4" ht="14">
      <c r="A4759" s="16">
        <v>45134</v>
      </c>
      <c r="B4759" s="17">
        <v>29201.69</v>
      </c>
      <c r="C4759" s="18">
        <v>10770779217</v>
      </c>
      <c r="D4759" s="21">
        <f t="shared" si="12"/>
        <v>81881587430</v>
      </c>
    </row>
    <row r="4760" spans="1:4" ht="14">
      <c r="A4760" s="16">
        <v>45135</v>
      </c>
      <c r="B4760" s="17">
        <v>29316.31</v>
      </c>
      <c r="C4760" s="18">
        <v>11218474952</v>
      </c>
      <c r="D4760" s="21">
        <f t="shared" si="12"/>
        <v>77997159526</v>
      </c>
    </row>
    <row r="4761" spans="1:4" ht="14">
      <c r="A4761" s="16">
        <v>45136</v>
      </c>
      <c r="B4761" s="17">
        <v>29360.38</v>
      </c>
      <c r="C4761" s="18">
        <v>6481775959</v>
      </c>
      <c r="D4761" s="21">
        <f t="shared" si="12"/>
        <v>78242844660</v>
      </c>
    </row>
    <row r="4762" spans="1:4" ht="14">
      <c r="A4762" s="16">
        <v>45137</v>
      </c>
      <c r="B4762" s="17">
        <v>29262.84</v>
      </c>
      <c r="C4762" s="18">
        <v>8678454527</v>
      </c>
      <c r="D4762" s="21">
        <f t="shared" si="12"/>
        <v>76851320021</v>
      </c>
    </row>
    <row r="4763" spans="1:4" ht="14">
      <c r="A4763" s="16">
        <v>45138</v>
      </c>
      <c r="B4763" s="17">
        <v>29219.82</v>
      </c>
      <c r="C4763" s="18">
        <v>11656781982</v>
      </c>
      <c r="D4763" s="21">
        <f t="shared" si="12"/>
        <v>76309629498</v>
      </c>
    </row>
    <row r="4764" spans="1:4" ht="14">
      <c r="A4764" s="16">
        <v>45139</v>
      </c>
      <c r="B4764" s="17">
        <v>29499.59</v>
      </c>
      <c r="C4764" s="18">
        <v>18272392391</v>
      </c>
      <c r="D4764" s="21">
        <f t="shared" si="12"/>
        <v>72570594085</v>
      </c>
    </row>
    <row r="4765" spans="1:4" ht="14">
      <c r="A4765" s="16">
        <v>45140</v>
      </c>
      <c r="B4765" s="17">
        <v>29143.15</v>
      </c>
      <c r="C4765" s="18">
        <v>19212655598</v>
      </c>
      <c r="D4765" s="21">
        <f t="shared" si="12"/>
        <v>80576213683</v>
      </c>
    </row>
    <row r="4766" spans="1:4" ht="14">
      <c r="A4766" s="16">
        <v>45141</v>
      </c>
      <c r="B4766" s="17">
        <v>29192.34</v>
      </c>
      <c r="C4766" s="18">
        <v>12780357746</v>
      </c>
      <c r="D4766" s="21">
        <f t="shared" si="12"/>
        <v>86291314626</v>
      </c>
    </row>
    <row r="4767" spans="1:4" ht="14">
      <c r="A4767" s="16">
        <v>45142</v>
      </c>
      <c r="B4767" s="17">
        <v>29057.25</v>
      </c>
      <c r="C4767" s="18">
        <v>12036639988</v>
      </c>
      <c r="D4767" s="21">
        <f t="shared" si="12"/>
        <v>88300893155</v>
      </c>
    </row>
    <row r="4768" spans="1:4" ht="14">
      <c r="A4768" s="16">
        <v>45143</v>
      </c>
      <c r="B4768" s="17">
        <v>29053.1</v>
      </c>
      <c r="C4768" s="18">
        <v>6598366353</v>
      </c>
      <c r="D4768" s="21">
        <f t="shared" si="12"/>
        <v>89119058191</v>
      </c>
    </row>
    <row r="4769" spans="1:4" ht="14">
      <c r="A4769" s="16">
        <v>45144</v>
      </c>
      <c r="B4769" s="17">
        <v>29048.04</v>
      </c>
      <c r="C4769" s="18">
        <v>7269806994</v>
      </c>
      <c r="D4769" s="21">
        <f t="shared" si="12"/>
        <v>89235648585</v>
      </c>
    </row>
    <row r="4770" spans="1:4" ht="14">
      <c r="A4770" s="16">
        <v>45145</v>
      </c>
      <c r="B4770" s="17">
        <v>29164.36</v>
      </c>
      <c r="C4770" s="18">
        <v>13618163710</v>
      </c>
      <c r="D4770" s="21">
        <f t="shared" si="12"/>
        <v>87827001052</v>
      </c>
    </row>
    <row r="4771" spans="1:4" ht="14">
      <c r="A4771" s="16">
        <v>45146</v>
      </c>
      <c r="B4771" s="17">
        <v>29779.51</v>
      </c>
      <c r="C4771" s="18">
        <v>17570561357</v>
      </c>
      <c r="D4771" s="21">
        <f t="shared" si="12"/>
        <v>89788382780</v>
      </c>
    </row>
    <row r="4772" spans="1:4" ht="14">
      <c r="A4772" s="16">
        <v>45147</v>
      </c>
      <c r="B4772" s="17">
        <v>29582.94</v>
      </c>
      <c r="C4772" s="18">
        <v>18379521213</v>
      </c>
      <c r="D4772" s="21">
        <f t="shared" si="12"/>
        <v>89086551746</v>
      </c>
    </row>
    <row r="4773" spans="1:4" ht="14">
      <c r="A4773" s="16">
        <v>45148</v>
      </c>
      <c r="B4773" s="17">
        <v>29430.16</v>
      </c>
      <c r="C4773" s="18">
        <v>11865344789</v>
      </c>
      <c r="D4773" s="21">
        <f t="shared" si="12"/>
        <v>88253417361</v>
      </c>
    </row>
    <row r="4774" spans="1:4" ht="14">
      <c r="A4774" s="16">
        <v>45149</v>
      </c>
      <c r="B4774" s="17">
        <v>29399.78</v>
      </c>
      <c r="C4774" s="18">
        <v>10195168197</v>
      </c>
      <c r="D4774" s="21">
        <f t="shared" si="12"/>
        <v>87338404404</v>
      </c>
    </row>
    <row r="4775" spans="1:4" ht="14">
      <c r="A4775" s="16">
        <v>45150</v>
      </c>
      <c r="B4775" s="17">
        <v>29415.73</v>
      </c>
      <c r="C4775" s="18">
        <v>6194358008</v>
      </c>
      <c r="D4775" s="21">
        <f t="shared" si="12"/>
        <v>85496932613</v>
      </c>
    </row>
    <row r="4776" spans="1:4" ht="14">
      <c r="A4776" s="16">
        <v>45151</v>
      </c>
      <c r="B4776" s="17">
        <v>29286.12</v>
      </c>
      <c r="C4776" s="18">
        <v>7329897180</v>
      </c>
      <c r="D4776" s="21">
        <f t="shared" si="12"/>
        <v>85092924268</v>
      </c>
    </row>
    <row r="4777" spans="1:4" ht="14">
      <c r="A4777" s="16">
        <v>45152</v>
      </c>
      <c r="B4777" s="17">
        <v>29408.97</v>
      </c>
      <c r="C4777" s="18">
        <v>14013695304</v>
      </c>
      <c r="D4777" s="21">
        <f t="shared" si="12"/>
        <v>85153014454</v>
      </c>
    </row>
    <row r="4778" spans="1:4" ht="14">
      <c r="A4778" s="16">
        <v>45153</v>
      </c>
      <c r="B4778" s="17">
        <v>29167.599999999999</v>
      </c>
      <c r="C4778" s="18">
        <v>12640195779</v>
      </c>
      <c r="D4778" s="21">
        <f t="shared" si="12"/>
        <v>85548546048</v>
      </c>
    </row>
    <row r="4779" spans="1:4" ht="14">
      <c r="A4779" s="16">
        <v>45154</v>
      </c>
      <c r="B4779" s="17">
        <v>28754.29</v>
      </c>
      <c r="C4779" s="18">
        <v>14949271904</v>
      </c>
      <c r="D4779" s="21">
        <f t="shared" si="12"/>
        <v>80618180470</v>
      </c>
    </row>
    <row r="4780" spans="1:4" ht="14">
      <c r="A4780" s="16">
        <v>45155</v>
      </c>
      <c r="B4780" s="17">
        <v>26660.560000000001</v>
      </c>
      <c r="C4780" s="18">
        <v>31120851211</v>
      </c>
      <c r="D4780" s="21">
        <f t="shared" si="12"/>
        <v>77187931161</v>
      </c>
    </row>
    <row r="4781" spans="1:4" ht="14">
      <c r="A4781" s="16">
        <v>45156</v>
      </c>
      <c r="B4781" s="17">
        <v>26037.37</v>
      </c>
      <c r="C4781" s="18">
        <v>24026236529</v>
      </c>
      <c r="D4781" s="21">
        <f t="shared" si="12"/>
        <v>96443437583</v>
      </c>
    </row>
    <row r="4782" spans="1:4" ht="14">
      <c r="A4782" s="16">
        <v>45157</v>
      </c>
      <c r="B4782" s="17">
        <v>26093.98</v>
      </c>
      <c r="C4782" s="18">
        <v>10631443812</v>
      </c>
      <c r="D4782" s="21">
        <f t="shared" si="12"/>
        <v>110274505915</v>
      </c>
    </row>
    <row r="4783" spans="1:4" ht="14">
      <c r="A4783" s="16">
        <v>45158</v>
      </c>
      <c r="B4783" s="17">
        <v>26176.47</v>
      </c>
      <c r="C4783" s="18">
        <v>9036580420</v>
      </c>
      <c r="D4783" s="21">
        <f t="shared" si="12"/>
        <v>114711591719</v>
      </c>
    </row>
    <row r="4784" spans="1:4" ht="14">
      <c r="A4784" s="16">
        <v>45159</v>
      </c>
      <c r="B4784" s="17">
        <v>26128.91</v>
      </c>
      <c r="C4784" s="18">
        <v>13371557893</v>
      </c>
      <c r="D4784" s="21">
        <f t="shared" si="12"/>
        <v>116418274959</v>
      </c>
    </row>
    <row r="4785" spans="1:4" ht="14">
      <c r="A4785" s="16">
        <v>45160</v>
      </c>
      <c r="B4785" s="17">
        <v>25978.21</v>
      </c>
      <c r="C4785" s="18">
        <v>14503820706</v>
      </c>
      <c r="D4785" s="21">
        <f t="shared" si="12"/>
        <v>115776137548</v>
      </c>
    </row>
    <row r="4786" spans="1:4" ht="14">
      <c r="A4786" s="16">
        <v>45161</v>
      </c>
      <c r="B4786" s="17">
        <v>26452.19</v>
      </c>
      <c r="C4786" s="18">
        <v>16985265785</v>
      </c>
      <c r="D4786" s="21">
        <f t="shared" si="12"/>
        <v>117639762475</v>
      </c>
    </row>
    <row r="4787" spans="1:4" ht="14">
      <c r="A4787" s="16">
        <v>45162</v>
      </c>
      <c r="B4787" s="17">
        <v>26126.79</v>
      </c>
      <c r="C4787" s="18">
        <v>12871532023</v>
      </c>
      <c r="D4787" s="21">
        <f t="shared" si="12"/>
        <v>119675756356</v>
      </c>
    </row>
    <row r="4788" spans="1:4" ht="14">
      <c r="A4788" s="16">
        <v>45163</v>
      </c>
      <c r="B4788" s="17">
        <v>26040.880000000001</v>
      </c>
      <c r="C4788" s="18">
        <v>12406045118</v>
      </c>
      <c r="D4788" s="21">
        <f t="shared" si="12"/>
        <v>101426437168</v>
      </c>
    </row>
    <row r="4789" spans="1:4" ht="14">
      <c r="A4789" s="16">
        <v>45164</v>
      </c>
      <c r="B4789" s="17">
        <v>26006.17</v>
      </c>
      <c r="C4789" s="18">
        <v>6034817316</v>
      </c>
      <c r="D4789" s="21">
        <f t="shared" si="12"/>
        <v>89806245757</v>
      </c>
    </row>
    <row r="4790" spans="1:4" ht="14">
      <c r="A4790" s="16">
        <v>45165</v>
      </c>
      <c r="B4790" s="17">
        <v>26086.36</v>
      </c>
      <c r="C4790" s="18">
        <v>6913768611</v>
      </c>
      <c r="D4790" s="21">
        <f t="shared" si="12"/>
        <v>85209619261</v>
      </c>
    </row>
    <row r="4791" spans="1:4" ht="14">
      <c r="A4791" s="16">
        <v>45166</v>
      </c>
      <c r="B4791" s="17">
        <v>26103.279999999999</v>
      </c>
      <c r="C4791" s="18">
        <v>11002805166</v>
      </c>
      <c r="D4791" s="21">
        <f t="shared" si="12"/>
        <v>83086807452</v>
      </c>
    </row>
    <row r="4792" spans="1:4" ht="14">
      <c r="A4792" s="16">
        <v>45167</v>
      </c>
      <c r="B4792" s="17">
        <v>27672.22</v>
      </c>
      <c r="C4792" s="18">
        <v>29368391712</v>
      </c>
      <c r="D4792" s="21">
        <f t="shared" si="12"/>
        <v>80718054725</v>
      </c>
    </row>
    <row r="4793" spans="1:4" ht="14">
      <c r="A4793" s="16">
        <v>45168</v>
      </c>
      <c r="B4793" s="17">
        <v>27299</v>
      </c>
      <c r="C4793" s="18">
        <v>29368391712</v>
      </c>
      <c r="D4793" s="21">
        <f t="shared" si="12"/>
        <v>95582625731</v>
      </c>
    </row>
    <row r="4794" spans="1:4" ht="14">
      <c r="A4794" s="16">
        <v>45169</v>
      </c>
      <c r="B4794" s="17">
        <v>25954.87</v>
      </c>
      <c r="C4794" s="18">
        <v>20181001451</v>
      </c>
      <c r="D4794" s="21">
        <f t="shared" si="12"/>
        <v>107965751658</v>
      </c>
    </row>
    <row r="4795" spans="1:4" ht="14">
      <c r="A4795" s="16">
        <v>45170</v>
      </c>
      <c r="B4795" s="17">
        <v>25802.79</v>
      </c>
      <c r="C4795" s="18">
        <v>17202862221</v>
      </c>
      <c r="D4795" s="21">
        <f t="shared" si="12"/>
        <v>115275221086</v>
      </c>
    </row>
    <row r="4796" spans="1:4" ht="14">
      <c r="A4796" s="16">
        <v>45171</v>
      </c>
      <c r="B4796" s="17">
        <v>25868.3</v>
      </c>
      <c r="C4796" s="18">
        <v>10100387473</v>
      </c>
      <c r="D4796" s="21">
        <f t="shared" si="12"/>
        <v>120072038189</v>
      </c>
    </row>
    <row r="4797" spans="1:4" ht="14">
      <c r="A4797" s="16">
        <v>45172</v>
      </c>
      <c r="B4797" s="17">
        <v>25962.55</v>
      </c>
      <c r="C4797" s="18">
        <v>8962524523</v>
      </c>
      <c r="D4797" s="21">
        <f t="shared" si="12"/>
        <v>124137608346</v>
      </c>
    </row>
    <row r="4798" spans="1:4" ht="14">
      <c r="A4798" s="16">
        <v>45173</v>
      </c>
      <c r="B4798" s="17">
        <v>25799.53</v>
      </c>
      <c r="C4798" s="18">
        <v>10680635106</v>
      </c>
      <c r="D4798" s="21">
        <f t="shared" si="12"/>
        <v>126186364258</v>
      </c>
    </row>
    <row r="4799" spans="1:4" ht="14">
      <c r="A4799" s="16">
        <v>45174</v>
      </c>
      <c r="B4799" s="17">
        <v>25782.36</v>
      </c>
      <c r="C4799" s="18">
        <v>11094740040</v>
      </c>
      <c r="D4799" s="21">
        <f t="shared" si="12"/>
        <v>125864194198</v>
      </c>
    </row>
    <row r="4800" spans="1:4" ht="14">
      <c r="A4800" s="16">
        <v>45175</v>
      </c>
      <c r="B4800" s="17">
        <v>25754.79</v>
      </c>
      <c r="C4800" s="18">
        <v>12752705327</v>
      </c>
      <c r="D4800" s="21">
        <f t="shared" si="12"/>
        <v>107590542526</v>
      </c>
    </row>
    <row r="4801" spans="1:4" ht="14">
      <c r="A4801" s="16">
        <v>45176</v>
      </c>
      <c r="B4801" s="17">
        <v>26210.6</v>
      </c>
      <c r="C4801" s="18">
        <v>11088307100</v>
      </c>
      <c r="D4801" s="21">
        <f t="shared" si="12"/>
        <v>90974856141</v>
      </c>
    </row>
    <row r="4802" spans="1:4" ht="14">
      <c r="A4802" s="16">
        <v>45177</v>
      </c>
      <c r="B4802" s="17">
        <v>25904.7</v>
      </c>
      <c r="C4802" s="18">
        <v>10817356400</v>
      </c>
      <c r="D4802" s="21">
        <f t="shared" si="12"/>
        <v>81882161790</v>
      </c>
    </row>
    <row r="4803" spans="1:4" ht="14">
      <c r="A4803" s="16">
        <v>45178</v>
      </c>
      <c r="B4803" s="17">
        <v>25894.62</v>
      </c>
      <c r="C4803" s="18">
        <v>5481314132</v>
      </c>
      <c r="D4803" s="21">
        <f t="shared" si="12"/>
        <v>75496655969</v>
      </c>
    </row>
    <row r="4804" spans="1:4" ht="14">
      <c r="A4804" s="16">
        <v>45179</v>
      </c>
      <c r="B4804" s="17">
        <v>25831.46</v>
      </c>
      <c r="C4804" s="18">
        <v>7899553047</v>
      </c>
      <c r="D4804" s="21">
        <f t="shared" si="12"/>
        <v>70877582628</v>
      </c>
    </row>
    <row r="4805" spans="1:4" ht="14">
      <c r="A4805" s="16">
        <v>45180</v>
      </c>
      <c r="B4805" s="17">
        <v>25135.040000000001</v>
      </c>
      <c r="C4805" s="18">
        <v>14600006467</v>
      </c>
      <c r="D4805" s="21">
        <f t="shared" si="12"/>
        <v>69814611152</v>
      </c>
    </row>
    <row r="4806" spans="1:4" ht="14">
      <c r="A4806" s="16">
        <v>45181</v>
      </c>
      <c r="B4806" s="17">
        <v>25859.7</v>
      </c>
      <c r="C4806" s="18">
        <v>18657279324</v>
      </c>
      <c r="D4806" s="21">
        <f t="shared" si="12"/>
        <v>73733982513</v>
      </c>
    </row>
    <row r="4807" spans="1:4" ht="14">
      <c r="A4807" s="16">
        <v>45182</v>
      </c>
      <c r="B4807" s="17">
        <v>26226.87</v>
      </c>
      <c r="C4807" s="18">
        <v>13072077070</v>
      </c>
      <c r="D4807" s="21">
        <f t="shared" si="12"/>
        <v>81296521797</v>
      </c>
    </row>
    <row r="4808" spans="1:4" ht="14">
      <c r="A4808" s="16">
        <v>45183</v>
      </c>
      <c r="B4808" s="17">
        <v>26556.06</v>
      </c>
      <c r="C4808" s="18">
        <v>13811359124</v>
      </c>
      <c r="D4808" s="21">
        <f t="shared" si="12"/>
        <v>81615893540</v>
      </c>
    </row>
    <row r="4809" spans="1:4" ht="14">
      <c r="A4809" s="16">
        <v>45184</v>
      </c>
      <c r="B4809" s="17">
        <v>26672.62</v>
      </c>
      <c r="C4809" s="18">
        <v>11479735788</v>
      </c>
      <c r="D4809" s="21">
        <f t="shared" si="12"/>
        <v>84338945564</v>
      </c>
    </row>
    <row r="4810" spans="1:4" ht="14">
      <c r="A4810" s="16">
        <v>45185</v>
      </c>
      <c r="B4810" s="17">
        <v>26555.64</v>
      </c>
      <c r="C4810" s="18">
        <v>7402031417</v>
      </c>
      <c r="D4810" s="21">
        <f t="shared" si="12"/>
        <v>85001324952</v>
      </c>
    </row>
    <row r="4811" spans="1:4" ht="14">
      <c r="A4811" s="16">
        <v>45186</v>
      </c>
      <c r="B4811" s="17">
        <v>26502.43</v>
      </c>
      <c r="C4811" s="18">
        <v>6774210670</v>
      </c>
      <c r="D4811" s="21">
        <f t="shared" si="12"/>
        <v>86922042237</v>
      </c>
    </row>
    <row r="4812" spans="1:4" ht="14">
      <c r="A4812" s="16">
        <v>45187</v>
      </c>
      <c r="B4812" s="17">
        <v>26764.63</v>
      </c>
      <c r="C4812" s="18">
        <v>15615339655</v>
      </c>
      <c r="D4812" s="21">
        <f t="shared" si="12"/>
        <v>85796699860</v>
      </c>
    </row>
    <row r="4813" spans="1:4" ht="14">
      <c r="A4813" s="16">
        <v>45188</v>
      </c>
      <c r="B4813" s="17">
        <v>27215.05</v>
      </c>
      <c r="C4813" s="18">
        <v>13807690550</v>
      </c>
      <c r="D4813" s="21">
        <f t="shared" si="12"/>
        <v>86812033048</v>
      </c>
    </row>
    <row r="4814" spans="1:4" ht="14">
      <c r="A4814" s="16">
        <v>45189</v>
      </c>
      <c r="B4814" s="17">
        <v>27133.4</v>
      </c>
      <c r="C4814" s="18">
        <v>13281116604</v>
      </c>
      <c r="D4814" s="21">
        <f t="shared" si="12"/>
        <v>81962444274</v>
      </c>
    </row>
    <row r="4815" spans="1:4" ht="14">
      <c r="A4815" s="16">
        <v>45190</v>
      </c>
      <c r="B4815" s="17">
        <v>26571.599999999999</v>
      </c>
      <c r="C4815" s="18">
        <v>13371443708</v>
      </c>
      <c r="D4815" s="21">
        <f t="shared" si="12"/>
        <v>82171483808</v>
      </c>
    </row>
    <row r="4816" spans="1:4" ht="14">
      <c r="A4816" s="16">
        <v>45191</v>
      </c>
      <c r="B4816" s="17">
        <v>26581.15</v>
      </c>
      <c r="C4816" s="18">
        <v>10578746709</v>
      </c>
      <c r="D4816" s="21">
        <f t="shared" si="12"/>
        <v>81731568392</v>
      </c>
    </row>
    <row r="4817" spans="1:4" ht="14">
      <c r="A4817" s="16">
        <v>45192</v>
      </c>
      <c r="B4817" s="17">
        <v>26575.78</v>
      </c>
      <c r="C4817" s="18">
        <v>7404700301</v>
      </c>
      <c r="D4817" s="21">
        <f t="shared" si="12"/>
        <v>80830579313</v>
      </c>
    </row>
    <row r="4818" spans="1:4" ht="14">
      <c r="A4818" s="16">
        <v>45193</v>
      </c>
      <c r="B4818" s="17">
        <v>26286.639999999999</v>
      </c>
      <c r="C4818" s="18">
        <v>8192867686</v>
      </c>
      <c r="D4818" s="21">
        <f t="shared" si="12"/>
        <v>80833248197</v>
      </c>
    </row>
    <row r="4819" spans="1:4" ht="14">
      <c r="A4819" s="16">
        <v>45194</v>
      </c>
      <c r="B4819" s="17">
        <v>26288.81</v>
      </c>
      <c r="C4819" s="18">
        <v>11997833257</v>
      </c>
      <c r="D4819" s="21">
        <f t="shared" si="12"/>
        <v>82251905213</v>
      </c>
    </row>
    <row r="4820" spans="1:4" ht="14">
      <c r="A4820" s="16">
        <v>45195</v>
      </c>
      <c r="B4820" s="17">
        <v>26194.54</v>
      </c>
      <c r="C4820" s="18">
        <v>9985498161</v>
      </c>
      <c r="D4820" s="21">
        <f t="shared" si="12"/>
        <v>78634398815</v>
      </c>
    </row>
    <row r="4821" spans="1:4" ht="14">
      <c r="A4821" s="16">
        <v>45196</v>
      </c>
      <c r="B4821" s="17">
        <v>26336.080000000002</v>
      </c>
      <c r="C4821" s="18">
        <v>11718380997</v>
      </c>
      <c r="D4821" s="21">
        <f t="shared" si="12"/>
        <v>74812206426</v>
      </c>
    </row>
    <row r="4822" spans="1:4" ht="14">
      <c r="A4822" s="16">
        <v>45197</v>
      </c>
      <c r="B4822" s="17">
        <v>27033.43</v>
      </c>
      <c r="C4822" s="18">
        <v>14079002707</v>
      </c>
      <c r="D4822" s="21">
        <f t="shared" si="12"/>
        <v>73249470819</v>
      </c>
    </row>
    <row r="4823" spans="1:4" ht="14">
      <c r="A4823" s="16">
        <v>45198</v>
      </c>
      <c r="B4823" s="17">
        <v>26911.25</v>
      </c>
      <c r="C4823" s="18">
        <v>10396435377</v>
      </c>
      <c r="D4823" s="21">
        <f t="shared" si="12"/>
        <v>73957029818</v>
      </c>
    </row>
    <row r="4824" spans="1:4" ht="14">
      <c r="A4824" s="16">
        <v>45199</v>
      </c>
      <c r="B4824" s="17">
        <v>26977.69</v>
      </c>
      <c r="C4824" s="18">
        <v>5331172801</v>
      </c>
      <c r="D4824" s="21">
        <f t="shared" si="12"/>
        <v>73774718486</v>
      </c>
    </row>
    <row r="4825" spans="1:4" ht="14">
      <c r="A4825" s="16">
        <v>45200</v>
      </c>
      <c r="B4825" s="17">
        <v>27950.15</v>
      </c>
      <c r="C4825" s="18">
        <v>9503917434</v>
      </c>
      <c r="D4825" s="21">
        <f t="shared" si="12"/>
        <v>71701190986</v>
      </c>
    </row>
    <row r="4826" spans="1:4" ht="14">
      <c r="A4826" s="16">
        <v>45201</v>
      </c>
      <c r="B4826" s="17">
        <v>27565.89</v>
      </c>
      <c r="C4826" s="18">
        <v>19793041322</v>
      </c>
      <c r="D4826" s="21">
        <f t="shared" si="12"/>
        <v>73012240734</v>
      </c>
    </row>
    <row r="4827" spans="1:4" ht="14">
      <c r="A4827" s="16">
        <v>45202</v>
      </c>
      <c r="B4827" s="17">
        <v>27439.14</v>
      </c>
      <c r="C4827" s="18">
        <v>11407814187</v>
      </c>
      <c r="D4827" s="21">
        <f t="shared" si="12"/>
        <v>80807448799</v>
      </c>
    </row>
    <row r="4828" spans="1:4" ht="14">
      <c r="A4828" s="16">
        <v>45203</v>
      </c>
      <c r="B4828" s="17">
        <v>27797.25</v>
      </c>
      <c r="C4828" s="18">
        <v>11143355314</v>
      </c>
      <c r="D4828" s="21">
        <f t="shared" si="12"/>
        <v>82229764825</v>
      </c>
    </row>
    <row r="4829" spans="1:4" ht="14">
      <c r="A4829" s="16">
        <v>45204</v>
      </c>
      <c r="B4829" s="17">
        <v>27426.35</v>
      </c>
      <c r="C4829" s="18">
        <v>11877253670</v>
      </c>
      <c r="D4829" s="21">
        <f t="shared" si="12"/>
        <v>81654739142</v>
      </c>
    </row>
    <row r="4830" spans="1:4" ht="14">
      <c r="A4830" s="16">
        <v>45205</v>
      </c>
      <c r="B4830" s="17">
        <v>27941.96</v>
      </c>
      <c r="C4830" s="18">
        <v>13492391599</v>
      </c>
      <c r="D4830" s="21">
        <f t="shared" si="12"/>
        <v>79452990105</v>
      </c>
    </row>
    <row r="4831" spans="1:4" ht="14">
      <c r="A4831" s="16">
        <v>45206</v>
      </c>
      <c r="B4831" s="17">
        <v>27972.75</v>
      </c>
      <c r="C4831" s="18">
        <v>6553044316</v>
      </c>
      <c r="D4831" s="21">
        <f t="shared" si="12"/>
        <v>82548946327</v>
      </c>
    </row>
    <row r="4832" spans="1:4" ht="14">
      <c r="A4832" s="16">
        <v>45207</v>
      </c>
      <c r="B4832" s="17">
        <v>27936.33</v>
      </c>
      <c r="C4832" s="18">
        <v>7916875290</v>
      </c>
      <c r="D4832" s="21">
        <f t="shared" si="12"/>
        <v>83770817842</v>
      </c>
    </row>
    <row r="4833" spans="1:4" ht="14">
      <c r="A4833" s="16">
        <v>45208</v>
      </c>
      <c r="B4833" s="17">
        <v>27591.35</v>
      </c>
      <c r="C4833" s="18">
        <v>12007668568</v>
      </c>
      <c r="D4833" s="21">
        <f t="shared" si="12"/>
        <v>82183775698</v>
      </c>
    </row>
    <row r="4834" spans="1:4" ht="14">
      <c r="A4834" s="16">
        <v>45209</v>
      </c>
      <c r="B4834" s="17">
        <v>27419.8</v>
      </c>
      <c r="C4834" s="18">
        <v>9973350678</v>
      </c>
      <c r="D4834" s="21">
        <f t="shared" si="12"/>
        <v>74398402944</v>
      </c>
    </row>
    <row r="4835" spans="1:4" ht="14">
      <c r="A4835" s="16">
        <v>45210</v>
      </c>
      <c r="B4835" s="17">
        <v>26828.17</v>
      </c>
      <c r="C4835" s="18">
        <v>13648094333</v>
      </c>
      <c r="D4835" s="21">
        <f t="shared" si="12"/>
        <v>72963939435</v>
      </c>
    </row>
    <row r="4836" spans="1:4" ht="14">
      <c r="A4836" s="16">
        <v>45211</v>
      </c>
      <c r="B4836" s="17">
        <v>26741.34</v>
      </c>
      <c r="C4836" s="18">
        <v>9392909295</v>
      </c>
      <c r="D4836" s="21">
        <f t="shared" si="12"/>
        <v>75468678454</v>
      </c>
    </row>
    <row r="4837" spans="1:4" ht="14">
      <c r="A4837" s="16">
        <v>45212</v>
      </c>
      <c r="B4837" s="17">
        <v>26842.45</v>
      </c>
      <c r="C4837" s="18">
        <v>15165312851</v>
      </c>
      <c r="D4837" s="21">
        <f t="shared" si="12"/>
        <v>72984334079</v>
      </c>
    </row>
    <row r="4838" spans="1:4" ht="14">
      <c r="A4838" s="16">
        <v>45213</v>
      </c>
      <c r="B4838" s="17">
        <v>26861.99</v>
      </c>
      <c r="C4838" s="18">
        <v>5388116782</v>
      </c>
      <c r="D4838" s="21">
        <f t="shared" si="12"/>
        <v>74657255331</v>
      </c>
    </row>
    <row r="4839" spans="1:4" ht="14">
      <c r="A4839" s="16">
        <v>45214</v>
      </c>
      <c r="B4839" s="17">
        <v>27130.31</v>
      </c>
      <c r="C4839" s="18">
        <v>7098201980</v>
      </c>
      <c r="D4839" s="21">
        <f t="shared" ref="D4839:D5093" si="13">IF(C4832&lt;&gt;"",SUM(C4832:C4838),"")</f>
        <v>73492327797</v>
      </c>
    </row>
    <row r="4840" spans="1:4" ht="14">
      <c r="A4840" s="16">
        <v>45215</v>
      </c>
      <c r="B4840" s="17">
        <v>28506.79</v>
      </c>
      <c r="C4840" s="18">
        <v>27833876539</v>
      </c>
      <c r="D4840" s="21">
        <f t="shared" si="13"/>
        <v>72673654487</v>
      </c>
    </row>
    <row r="4841" spans="1:4" ht="14">
      <c r="A4841" s="16">
        <v>45216</v>
      </c>
      <c r="B4841" s="17">
        <v>28433.21</v>
      </c>
      <c r="C4841" s="18">
        <v>14872527508</v>
      </c>
      <c r="D4841" s="21">
        <f t="shared" si="13"/>
        <v>88499862458</v>
      </c>
    </row>
    <row r="4842" spans="1:4" ht="14">
      <c r="A4842" s="16">
        <v>45217</v>
      </c>
      <c r="B4842" s="17">
        <v>28328.080000000002</v>
      </c>
      <c r="C4842" s="18">
        <v>12724128586</v>
      </c>
      <c r="D4842" s="21">
        <f t="shared" si="13"/>
        <v>93399039288</v>
      </c>
    </row>
    <row r="4843" spans="1:4" ht="14">
      <c r="A4843" s="16">
        <v>45218</v>
      </c>
      <c r="B4843" s="17">
        <v>28690.36</v>
      </c>
      <c r="C4843" s="18">
        <v>14448058195</v>
      </c>
      <c r="D4843" s="21">
        <f t="shared" si="13"/>
        <v>92475073541</v>
      </c>
    </row>
    <row r="4844" spans="1:4" ht="14">
      <c r="A4844" s="16">
        <v>45219</v>
      </c>
      <c r="B4844" s="17">
        <v>29704.99</v>
      </c>
      <c r="C4844" s="18">
        <v>21536125230</v>
      </c>
      <c r="D4844" s="21">
        <f t="shared" si="13"/>
        <v>97530222441</v>
      </c>
    </row>
    <row r="4845" spans="1:4" ht="14">
      <c r="A4845" s="16">
        <v>45220</v>
      </c>
      <c r="B4845" s="17">
        <v>29922.55</v>
      </c>
      <c r="C4845" s="18">
        <v>11541146996</v>
      </c>
      <c r="D4845" s="21">
        <f t="shared" si="13"/>
        <v>103901034820</v>
      </c>
    </row>
    <row r="4846" spans="1:4" ht="14">
      <c r="A4846" s="16">
        <v>45221</v>
      </c>
      <c r="B4846" s="17">
        <v>29984.16</v>
      </c>
      <c r="C4846" s="18">
        <v>10446520040</v>
      </c>
      <c r="D4846" s="21">
        <f t="shared" si="13"/>
        <v>110054065034</v>
      </c>
    </row>
    <row r="4847" spans="1:4" ht="14">
      <c r="A4847" s="16">
        <v>45222</v>
      </c>
      <c r="B4847" s="17">
        <v>32954.17</v>
      </c>
      <c r="C4847" s="18">
        <v>38363572311</v>
      </c>
      <c r="D4847" s="21">
        <f t="shared" si="13"/>
        <v>113402383094</v>
      </c>
    </row>
    <row r="4848" spans="1:4" ht="14">
      <c r="A4848" s="16">
        <v>45223</v>
      </c>
      <c r="B4848" s="17">
        <v>33880.959999999999</v>
      </c>
      <c r="C4848" s="18">
        <v>44934999645</v>
      </c>
      <c r="D4848" s="21">
        <f t="shared" si="13"/>
        <v>123932078866</v>
      </c>
    </row>
    <row r="4849" spans="1:4" ht="14">
      <c r="A4849" s="16">
        <v>45224</v>
      </c>
      <c r="B4849" s="17">
        <v>34488.660000000003</v>
      </c>
      <c r="C4849" s="18">
        <v>25254318008</v>
      </c>
      <c r="D4849" s="21">
        <f t="shared" si="13"/>
        <v>153994551003</v>
      </c>
    </row>
    <row r="4850" spans="1:4" ht="14">
      <c r="A4850" s="16">
        <v>45225</v>
      </c>
      <c r="B4850" s="17">
        <v>34181.49</v>
      </c>
      <c r="C4850" s="18">
        <v>19427195376</v>
      </c>
      <c r="D4850" s="21">
        <f t="shared" si="13"/>
        <v>166524740425</v>
      </c>
    </row>
    <row r="4851" spans="1:4" ht="14">
      <c r="A4851" s="16">
        <v>45226</v>
      </c>
      <c r="B4851" s="17">
        <v>33896.94</v>
      </c>
      <c r="C4851" s="18">
        <v>16418032871</v>
      </c>
      <c r="D4851" s="21">
        <f t="shared" si="13"/>
        <v>171503877606</v>
      </c>
    </row>
    <row r="4852" spans="1:4" ht="14">
      <c r="A4852" s="16">
        <v>45227</v>
      </c>
      <c r="B4852" s="17">
        <v>34091.589999999997</v>
      </c>
      <c r="C4852" s="18">
        <v>10160330825</v>
      </c>
      <c r="D4852" s="21">
        <f t="shared" si="13"/>
        <v>166385785247</v>
      </c>
    </row>
    <row r="4853" spans="1:4" ht="14">
      <c r="A4853" s="16">
        <v>45228</v>
      </c>
      <c r="B4853" s="17">
        <v>34574.339999999997</v>
      </c>
      <c r="C4853" s="18">
        <v>11160323986</v>
      </c>
      <c r="D4853" s="21">
        <f t="shared" si="13"/>
        <v>165004969076</v>
      </c>
    </row>
    <row r="4854" spans="1:4" ht="14">
      <c r="A4854" s="16">
        <v>45229</v>
      </c>
      <c r="B4854" s="17">
        <v>34495.11</v>
      </c>
      <c r="C4854" s="18">
        <v>17184860315</v>
      </c>
      <c r="D4854" s="21">
        <f t="shared" si="13"/>
        <v>165718773022</v>
      </c>
    </row>
    <row r="4855" spans="1:4" ht="14">
      <c r="A4855" s="16">
        <v>45230</v>
      </c>
      <c r="B4855" s="17">
        <v>34636.43</v>
      </c>
      <c r="C4855" s="18">
        <v>15758270810</v>
      </c>
      <c r="D4855" s="21">
        <f t="shared" si="13"/>
        <v>144540061026</v>
      </c>
    </row>
    <row r="4856" spans="1:4" ht="14">
      <c r="A4856" s="16">
        <v>45231</v>
      </c>
      <c r="B4856" s="17">
        <v>35431.980000000003</v>
      </c>
      <c r="C4856" s="18">
        <v>22446272005</v>
      </c>
      <c r="D4856" s="21">
        <f t="shared" si="13"/>
        <v>115363332191</v>
      </c>
    </row>
    <row r="4857" spans="1:4" ht="14">
      <c r="A4857" s="16">
        <v>45232</v>
      </c>
      <c r="B4857" s="17">
        <v>34882.92</v>
      </c>
      <c r="C4857" s="18">
        <v>20998158544</v>
      </c>
      <c r="D4857" s="21">
        <f t="shared" si="13"/>
        <v>112555286188</v>
      </c>
    </row>
    <row r="4858" spans="1:4" ht="14">
      <c r="A4858" s="16">
        <v>45233</v>
      </c>
      <c r="B4858" s="17">
        <v>34708.22</v>
      </c>
      <c r="C4858" s="18">
        <v>17158456701</v>
      </c>
      <c r="D4858" s="21">
        <f t="shared" si="13"/>
        <v>114126249356</v>
      </c>
    </row>
    <row r="4859" spans="1:4" ht="14">
      <c r="A4859" s="16">
        <v>45234</v>
      </c>
      <c r="B4859" s="17">
        <v>35091.08</v>
      </c>
      <c r="C4859" s="18">
        <v>9561294264</v>
      </c>
      <c r="D4859" s="21">
        <f t="shared" si="13"/>
        <v>114866673186</v>
      </c>
    </row>
    <row r="4860" spans="1:4" ht="14">
      <c r="A4860" s="16">
        <v>45235</v>
      </c>
      <c r="B4860" s="17">
        <v>35105.040000000001</v>
      </c>
      <c r="C4860" s="18">
        <v>12412743996</v>
      </c>
      <c r="D4860" s="21">
        <f t="shared" si="13"/>
        <v>114267636625</v>
      </c>
    </row>
    <row r="4861" spans="1:4" ht="14">
      <c r="A4861" s="16">
        <v>45236</v>
      </c>
      <c r="B4861" s="17">
        <v>35017.72</v>
      </c>
      <c r="C4861" s="18">
        <v>12693436420</v>
      </c>
      <c r="D4861" s="21">
        <f t="shared" si="13"/>
        <v>115520056635</v>
      </c>
    </row>
    <row r="4862" spans="1:4" ht="14">
      <c r="A4862" s="16">
        <v>45237</v>
      </c>
      <c r="B4862" s="17">
        <v>35418.480000000003</v>
      </c>
      <c r="C4862" s="18">
        <v>18834737789</v>
      </c>
      <c r="D4862" s="21">
        <f t="shared" si="13"/>
        <v>111028632740</v>
      </c>
    </row>
    <row r="4863" spans="1:4" ht="14">
      <c r="A4863" s="16">
        <v>45238</v>
      </c>
      <c r="B4863" s="17">
        <v>35797.89</v>
      </c>
      <c r="C4863" s="18">
        <v>17295394918</v>
      </c>
      <c r="D4863" s="21">
        <f t="shared" si="13"/>
        <v>114105099719</v>
      </c>
    </row>
    <row r="4864" spans="1:4" ht="14">
      <c r="A4864" s="16">
        <v>45239</v>
      </c>
      <c r="B4864" s="17">
        <v>36675.33</v>
      </c>
      <c r="C4864" s="18">
        <v>37762672382</v>
      </c>
      <c r="D4864" s="21">
        <f t="shared" si="13"/>
        <v>108954222632</v>
      </c>
    </row>
    <row r="4865" spans="1:4" ht="14">
      <c r="A4865" s="16">
        <v>45240</v>
      </c>
      <c r="B4865" s="17">
        <v>37367.49</v>
      </c>
      <c r="C4865" s="18">
        <v>22711265155</v>
      </c>
      <c r="D4865" s="21">
        <f t="shared" si="13"/>
        <v>125718736470</v>
      </c>
    </row>
    <row r="4866" spans="1:4" ht="14">
      <c r="A4866" s="16">
        <v>45241</v>
      </c>
      <c r="B4866" s="17">
        <v>36979.93</v>
      </c>
      <c r="C4866" s="18">
        <v>13924272142</v>
      </c>
      <c r="D4866" s="21">
        <f t="shared" si="13"/>
        <v>131271544924</v>
      </c>
    </row>
    <row r="4867" spans="1:4" ht="14">
      <c r="A4867" s="16">
        <v>45242</v>
      </c>
      <c r="B4867" s="17">
        <v>37053.339999999997</v>
      </c>
      <c r="C4867" s="18">
        <v>11545715999</v>
      </c>
      <c r="D4867" s="21">
        <f t="shared" si="13"/>
        <v>135634522802</v>
      </c>
    </row>
    <row r="4868" spans="1:4" ht="14">
      <c r="A4868" s="16">
        <v>45243</v>
      </c>
      <c r="B4868" s="17">
        <v>36543.269999999997</v>
      </c>
      <c r="C4868" s="18">
        <v>19057712790</v>
      </c>
      <c r="D4868" s="21">
        <f t="shared" si="13"/>
        <v>134767494805</v>
      </c>
    </row>
    <row r="4869" spans="1:4" ht="14">
      <c r="A4869" s="16">
        <v>45244</v>
      </c>
      <c r="B4869" s="17">
        <v>35590.68</v>
      </c>
      <c r="C4869" s="18">
        <v>23857403554</v>
      </c>
      <c r="D4869" s="21">
        <f t="shared" si="13"/>
        <v>141131771175</v>
      </c>
    </row>
    <row r="4870" spans="1:4" ht="14">
      <c r="A4870" s="16">
        <v>45245</v>
      </c>
      <c r="B4870" s="17">
        <v>37840.550000000003</v>
      </c>
      <c r="C4870" s="18">
        <v>27365821679</v>
      </c>
      <c r="D4870" s="21">
        <f t="shared" si="13"/>
        <v>146154436940</v>
      </c>
    </row>
    <row r="4871" spans="1:4" ht="14">
      <c r="A4871" s="16">
        <v>45246</v>
      </c>
      <c r="B4871" s="17">
        <v>36160.400000000001</v>
      </c>
      <c r="C4871" s="18">
        <v>26007385366</v>
      </c>
      <c r="D4871" s="21">
        <f t="shared" si="13"/>
        <v>156224863701</v>
      </c>
    </row>
    <row r="4872" spans="1:4" ht="14">
      <c r="A4872" s="16">
        <v>45247</v>
      </c>
      <c r="B4872" s="17">
        <v>36569.71</v>
      </c>
      <c r="C4872" s="18">
        <v>22445028430</v>
      </c>
      <c r="D4872" s="21">
        <f t="shared" si="13"/>
        <v>144469576685</v>
      </c>
    </row>
    <row r="4873" spans="1:4" ht="14">
      <c r="A4873" s="16">
        <v>45248</v>
      </c>
      <c r="B4873" s="17">
        <v>36577.42</v>
      </c>
      <c r="C4873" s="18">
        <v>11886022717</v>
      </c>
      <c r="D4873" s="21">
        <f t="shared" si="13"/>
        <v>144203339960</v>
      </c>
    </row>
    <row r="4874" spans="1:4" ht="14">
      <c r="A4874" s="16">
        <v>45249</v>
      </c>
      <c r="B4874" s="17">
        <v>37442.730000000003</v>
      </c>
      <c r="C4874" s="18">
        <v>12915986553</v>
      </c>
      <c r="D4874" s="21">
        <f t="shared" si="13"/>
        <v>142165090535</v>
      </c>
    </row>
    <row r="4875" spans="1:4" ht="14">
      <c r="A4875" s="16">
        <v>45250</v>
      </c>
      <c r="B4875" s="17">
        <v>37516.050000000003</v>
      </c>
      <c r="C4875" s="18">
        <v>20888209068</v>
      </c>
      <c r="D4875" s="21">
        <f t="shared" si="13"/>
        <v>143535361089</v>
      </c>
    </row>
    <row r="4876" spans="1:4" ht="14">
      <c r="A4876" s="16">
        <v>45251</v>
      </c>
      <c r="B4876" s="17">
        <v>36035.03</v>
      </c>
      <c r="C4876" s="18">
        <v>25172163756</v>
      </c>
      <c r="D4876" s="21">
        <f t="shared" si="13"/>
        <v>145365857367</v>
      </c>
    </row>
    <row r="4877" spans="1:4" ht="14">
      <c r="A4877" s="16">
        <v>45252</v>
      </c>
      <c r="B4877" s="17">
        <v>37403.03</v>
      </c>
      <c r="C4877" s="18">
        <v>24397247860</v>
      </c>
      <c r="D4877" s="21">
        <f t="shared" si="13"/>
        <v>146680617569</v>
      </c>
    </row>
    <row r="4878" spans="1:4" ht="14">
      <c r="A4878" s="16">
        <v>45253</v>
      </c>
      <c r="B4878" s="17">
        <v>37311.72</v>
      </c>
      <c r="C4878" s="18">
        <v>14214948217</v>
      </c>
      <c r="D4878" s="21">
        <f t="shared" si="13"/>
        <v>143712043750</v>
      </c>
    </row>
    <row r="4879" spans="1:4" ht="14">
      <c r="A4879" s="16">
        <v>45254</v>
      </c>
      <c r="B4879" s="17">
        <v>37718.78</v>
      </c>
      <c r="C4879" s="18">
        <v>22922957823</v>
      </c>
      <c r="D4879" s="21">
        <f t="shared" si="13"/>
        <v>131919606601</v>
      </c>
    </row>
    <row r="4880" spans="1:4" ht="14">
      <c r="A4880" s="16">
        <v>45255</v>
      </c>
      <c r="B4880" s="17">
        <v>37800.129999999997</v>
      </c>
      <c r="C4880" s="18">
        <v>9099571165</v>
      </c>
      <c r="D4880" s="21">
        <f t="shared" si="13"/>
        <v>132397535994</v>
      </c>
    </row>
    <row r="4881" spans="1:4" ht="14">
      <c r="A4881" s="16">
        <v>45256</v>
      </c>
      <c r="B4881" s="17">
        <v>37482.71</v>
      </c>
      <c r="C4881" s="18">
        <v>13744796068</v>
      </c>
      <c r="D4881" s="21">
        <f t="shared" si="13"/>
        <v>129611084442</v>
      </c>
    </row>
    <row r="4882" spans="1:4" ht="14">
      <c r="A4882" s="16">
        <v>45257</v>
      </c>
      <c r="B4882" s="17">
        <v>37229.25</v>
      </c>
      <c r="C4882" s="18">
        <v>19002925720</v>
      </c>
      <c r="D4882" s="21">
        <f t="shared" si="13"/>
        <v>130439893957</v>
      </c>
    </row>
    <row r="4883" spans="1:4" ht="14">
      <c r="A4883" s="16">
        <v>45258</v>
      </c>
      <c r="B4883" s="17">
        <v>37828.47</v>
      </c>
      <c r="C4883" s="18">
        <v>21696137014</v>
      </c>
      <c r="D4883" s="21">
        <f t="shared" si="13"/>
        <v>128554610609</v>
      </c>
    </row>
    <row r="4884" spans="1:4" ht="14">
      <c r="A4884" s="16">
        <v>45259</v>
      </c>
      <c r="B4884" s="17">
        <v>37846.85</v>
      </c>
      <c r="C4884" s="18">
        <v>20728546658</v>
      </c>
      <c r="D4884" s="21">
        <f t="shared" si="13"/>
        <v>125078583867</v>
      </c>
    </row>
    <row r="4885" spans="1:4" ht="14">
      <c r="A4885" s="16">
        <v>45260</v>
      </c>
      <c r="B4885" s="17">
        <v>37712.71</v>
      </c>
      <c r="C4885" s="18">
        <v>18115982627</v>
      </c>
      <c r="D4885" s="21">
        <f t="shared" si="13"/>
        <v>121409882665</v>
      </c>
    </row>
    <row r="4886" spans="1:4" ht="14">
      <c r="A4886" s="16">
        <v>45261</v>
      </c>
      <c r="B4886" s="17">
        <v>38703.550000000003</v>
      </c>
      <c r="C4886" s="18">
        <v>23512784002</v>
      </c>
      <c r="D4886" s="21">
        <f t="shared" si="13"/>
        <v>125310917075</v>
      </c>
    </row>
    <row r="4887" spans="1:4" ht="14">
      <c r="A4887" s="16">
        <v>45262</v>
      </c>
      <c r="B4887" s="17">
        <v>39462.28</v>
      </c>
      <c r="C4887" s="18">
        <v>15534035612</v>
      </c>
      <c r="D4887" s="21">
        <f t="shared" si="13"/>
        <v>125900743254</v>
      </c>
    </row>
    <row r="4888" spans="1:4" ht="14">
      <c r="A4888" s="16">
        <v>45263</v>
      </c>
      <c r="B4888" s="17">
        <v>39978.22</v>
      </c>
      <c r="C4888" s="18">
        <v>15769696322</v>
      </c>
      <c r="D4888" s="21">
        <f t="shared" si="13"/>
        <v>132335207701</v>
      </c>
    </row>
    <row r="4889" spans="1:4" ht="14">
      <c r="A4889" s="16">
        <v>45264</v>
      </c>
      <c r="B4889" s="17">
        <v>41910.300000000003</v>
      </c>
      <c r="C4889" s="18">
        <v>39856129827</v>
      </c>
      <c r="D4889" s="21">
        <f t="shared" si="13"/>
        <v>134360107955</v>
      </c>
    </row>
    <row r="4890" spans="1:4" ht="14">
      <c r="A4890" s="16">
        <v>45265</v>
      </c>
      <c r="B4890" s="17">
        <v>44067.01</v>
      </c>
      <c r="C4890" s="18">
        <v>36312154535</v>
      </c>
      <c r="D4890" s="21">
        <f t="shared" si="13"/>
        <v>155213312062</v>
      </c>
    </row>
    <row r="4891" spans="1:4" ht="14">
      <c r="A4891" s="16">
        <v>45266</v>
      </c>
      <c r="B4891" s="17">
        <v>43745.83</v>
      </c>
      <c r="C4891" s="18">
        <v>29909761586</v>
      </c>
      <c r="D4891" s="21">
        <f t="shared" si="13"/>
        <v>169829329583</v>
      </c>
    </row>
    <row r="4892" spans="1:4" ht="14">
      <c r="A4892" s="16">
        <v>45267</v>
      </c>
      <c r="B4892" s="17">
        <v>43282.62</v>
      </c>
      <c r="C4892" s="18">
        <v>27635760671</v>
      </c>
      <c r="D4892" s="21">
        <f t="shared" si="13"/>
        <v>179010544511</v>
      </c>
    </row>
    <row r="4893" spans="1:4" ht="14">
      <c r="A4893" s="16">
        <v>45268</v>
      </c>
      <c r="B4893" s="17">
        <v>44205.05</v>
      </c>
      <c r="C4893" s="18">
        <v>24421116687</v>
      </c>
      <c r="D4893" s="21">
        <f t="shared" si="13"/>
        <v>188530322555</v>
      </c>
    </row>
    <row r="4894" spans="1:4" ht="14">
      <c r="A4894" s="16">
        <v>45269</v>
      </c>
      <c r="B4894" s="17">
        <v>43740.01</v>
      </c>
      <c r="C4894" s="18">
        <v>17368210171</v>
      </c>
      <c r="D4894" s="21">
        <f t="shared" si="13"/>
        <v>189438655240</v>
      </c>
    </row>
    <row r="4895" spans="1:4" ht="14">
      <c r="A4895" s="16">
        <v>45270</v>
      </c>
      <c r="B4895" s="17">
        <v>43732.71</v>
      </c>
      <c r="C4895" s="18">
        <v>13000481418</v>
      </c>
      <c r="D4895" s="21">
        <f t="shared" si="13"/>
        <v>191272829799</v>
      </c>
    </row>
    <row r="4896" spans="1:4" ht="14">
      <c r="A4896" s="16">
        <v>45271</v>
      </c>
      <c r="B4896" s="17">
        <v>41209.89</v>
      </c>
      <c r="C4896" s="18">
        <v>40632672038</v>
      </c>
      <c r="D4896" s="21">
        <f t="shared" si="13"/>
        <v>188503614895</v>
      </c>
    </row>
    <row r="4897" spans="1:4" ht="14">
      <c r="A4897" s="16">
        <v>45272</v>
      </c>
      <c r="B4897" s="17">
        <v>41467.269999999997</v>
      </c>
      <c r="C4897" s="18">
        <v>24779520132</v>
      </c>
      <c r="D4897" s="21">
        <f t="shared" si="13"/>
        <v>189280157106</v>
      </c>
    </row>
    <row r="4898" spans="1:4" ht="14">
      <c r="A4898" s="16">
        <v>45273</v>
      </c>
      <c r="B4898" s="17">
        <v>42939.06</v>
      </c>
      <c r="C4898" s="18">
        <v>26797884674</v>
      </c>
      <c r="D4898" s="21">
        <f t="shared" si="13"/>
        <v>177747522703</v>
      </c>
    </row>
    <row r="4899" spans="1:4" ht="14">
      <c r="A4899" s="16">
        <v>45274</v>
      </c>
      <c r="B4899" s="17">
        <v>43033.14</v>
      </c>
      <c r="C4899" s="18">
        <v>25578530178</v>
      </c>
      <c r="D4899" s="21">
        <f t="shared" si="13"/>
        <v>174635645791</v>
      </c>
    </row>
    <row r="4900" spans="1:4" ht="14">
      <c r="A4900" s="16">
        <v>45275</v>
      </c>
      <c r="B4900" s="17">
        <v>41978.1</v>
      </c>
      <c r="C4900" s="18">
        <v>19639442462</v>
      </c>
      <c r="D4900" s="21">
        <f t="shared" si="13"/>
        <v>172578415298</v>
      </c>
    </row>
    <row r="4901" spans="1:4" ht="14">
      <c r="A4901" s="16">
        <v>45276</v>
      </c>
      <c r="B4901" s="17">
        <v>42203.21</v>
      </c>
      <c r="C4901" s="18">
        <v>14386729590</v>
      </c>
      <c r="D4901" s="21">
        <f t="shared" si="13"/>
        <v>167796741073</v>
      </c>
    </row>
    <row r="4902" spans="1:4" ht="14">
      <c r="A4902" s="16">
        <v>45277</v>
      </c>
      <c r="B4902" s="17">
        <v>41428.67</v>
      </c>
      <c r="C4902" s="18">
        <v>25224642008</v>
      </c>
      <c r="D4902" s="21">
        <f t="shared" si="13"/>
        <v>164815260492</v>
      </c>
    </row>
    <row r="4903" spans="1:4" ht="14">
      <c r="A4903" s="16">
        <v>45278</v>
      </c>
      <c r="B4903" s="17">
        <v>42635.73</v>
      </c>
      <c r="C4903" s="18">
        <v>62214120727</v>
      </c>
      <c r="D4903" s="21">
        <f t="shared" si="13"/>
        <v>177039421082</v>
      </c>
    </row>
    <row r="4904" spans="1:4" ht="14">
      <c r="A4904" s="16">
        <v>45279</v>
      </c>
      <c r="B4904" s="17">
        <v>42271.86</v>
      </c>
      <c r="C4904" s="18">
        <v>23171001281</v>
      </c>
      <c r="D4904" s="21">
        <f t="shared" si="13"/>
        <v>198620869771</v>
      </c>
    </row>
    <row r="4905" spans="1:4" ht="14">
      <c r="A4905" s="16">
        <v>45280</v>
      </c>
      <c r="B4905" s="17">
        <v>43605.16</v>
      </c>
      <c r="C4905" s="18">
        <v>27868908174</v>
      </c>
      <c r="D4905" s="21">
        <f t="shared" si="13"/>
        <v>197012350920</v>
      </c>
    </row>
    <row r="4906" spans="1:4" ht="14">
      <c r="A4906" s="16">
        <v>45281</v>
      </c>
      <c r="B4906" s="17">
        <v>43870.239999999998</v>
      </c>
      <c r="C4906" s="18">
        <v>22452766169</v>
      </c>
      <c r="D4906" s="21">
        <f t="shared" si="13"/>
        <v>198083374420</v>
      </c>
    </row>
    <row r="4907" spans="1:4" ht="14">
      <c r="A4907" s="16">
        <v>45282</v>
      </c>
      <c r="B4907" s="17">
        <v>44009.5</v>
      </c>
      <c r="C4907" s="18">
        <v>21028503216</v>
      </c>
      <c r="D4907" s="21">
        <f t="shared" si="13"/>
        <v>194957610411</v>
      </c>
    </row>
    <row r="4908" spans="1:4" ht="14">
      <c r="A4908" s="16">
        <v>45283</v>
      </c>
      <c r="B4908" s="17">
        <v>43768.81</v>
      </c>
      <c r="C4908" s="18">
        <v>14188914688</v>
      </c>
      <c r="D4908" s="21">
        <f t="shared" si="13"/>
        <v>196346671165</v>
      </c>
    </row>
    <row r="4909" spans="1:4" ht="14">
      <c r="A4909" s="16">
        <v>45284</v>
      </c>
      <c r="B4909" s="17">
        <v>43097.81</v>
      </c>
      <c r="C4909" s="18">
        <v>18830554085</v>
      </c>
      <c r="D4909" s="21">
        <f t="shared" si="13"/>
        <v>196148856263</v>
      </c>
    </row>
    <row r="4910" spans="1:4" ht="14">
      <c r="A4910" s="16">
        <v>45285</v>
      </c>
      <c r="B4910" s="17">
        <v>43623.75</v>
      </c>
      <c r="C4910" s="18">
        <v>21115795370</v>
      </c>
      <c r="D4910" s="21">
        <f t="shared" si="13"/>
        <v>189754768340</v>
      </c>
    </row>
    <row r="4911" spans="1:4" ht="14">
      <c r="A4911" s="16">
        <v>45286</v>
      </c>
      <c r="B4911" s="17">
        <v>42491.12</v>
      </c>
      <c r="C4911" s="18">
        <v>30026850982</v>
      </c>
      <c r="D4911" s="21">
        <f t="shared" si="13"/>
        <v>148656442983</v>
      </c>
    </row>
    <row r="4912" spans="1:4" ht="14">
      <c r="A4912" s="16">
        <v>45287</v>
      </c>
      <c r="B4912" s="17">
        <v>43436.959999999999</v>
      </c>
      <c r="C4912" s="18">
        <v>25260941032</v>
      </c>
      <c r="D4912" s="21">
        <f t="shared" si="13"/>
        <v>155512292684</v>
      </c>
    </row>
    <row r="4913" spans="1:4" ht="14">
      <c r="A4913" s="16">
        <v>45288</v>
      </c>
      <c r="B4913" s="17">
        <v>42670.68</v>
      </c>
      <c r="C4913" s="18">
        <v>22992093014</v>
      </c>
      <c r="D4913" s="21">
        <f t="shared" si="13"/>
        <v>152904325542</v>
      </c>
    </row>
    <row r="4914" spans="1:4" ht="14">
      <c r="A4914" s="16">
        <v>45289</v>
      </c>
      <c r="B4914" s="17">
        <v>41998.6</v>
      </c>
      <c r="C4914" s="18">
        <v>26000021055</v>
      </c>
      <c r="D4914" s="21">
        <f t="shared" si="13"/>
        <v>153443652387</v>
      </c>
    </row>
    <row r="4915" spans="1:4" ht="14">
      <c r="A4915" s="16">
        <v>45290</v>
      </c>
      <c r="B4915" s="17">
        <v>42204.49</v>
      </c>
      <c r="C4915" s="18">
        <v>16013925945</v>
      </c>
      <c r="D4915" s="21">
        <f t="shared" si="13"/>
        <v>158415170226</v>
      </c>
    </row>
    <row r="4916" spans="1:4" ht="14">
      <c r="A4916" s="16">
        <v>45291</v>
      </c>
      <c r="B4916" s="17">
        <v>42217.16</v>
      </c>
      <c r="C4916" s="18">
        <v>16397498810</v>
      </c>
      <c r="D4916" s="21">
        <f t="shared" si="13"/>
        <v>160240181483</v>
      </c>
    </row>
    <row r="4917" spans="1:4" ht="14">
      <c r="A4917" s="16">
        <v>45292</v>
      </c>
      <c r="B4917" s="17">
        <v>44049.47</v>
      </c>
      <c r="C4917" s="18">
        <v>18426978443</v>
      </c>
      <c r="D4917" s="21">
        <f t="shared" si="13"/>
        <v>157807126208</v>
      </c>
    </row>
    <row r="4918" spans="1:4" ht="14">
      <c r="A4918" s="16">
        <v>45293</v>
      </c>
      <c r="B4918" s="17">
        <v>44941.16</v>
      </c>
      <c r="C4918" s="18">
        <v>39335274536</v>
      </c>
      <c r="D4918" s="21">
        <f t="shared" si="13"/>
        <v>155118309281</v>
      </c>
    </row>
    <row r="4919" spans="1:4" ht="14">
      <c r="A4919" s="16">
        <v>45294</v>
      </c>
      <c r="B4919" s="17">
        <v>42773.65</v>
      </c>
      <c r="C4919" s="18">
        <v>46342323118</v>
      </c>
      <c r="D4919" s="21">
        <f t="shared" si="13"/>
        <v>164426732835</v>
      </c>
    </row>
    <row r="4920" spans="1:4" ht="14">
      <c r="A4920" s="16">
        <v>45295</v>
      </c>
      <c r="B4920" s="17">
        <v>44250.75</v>
      </c>
      <c r="C4920" s="18">
        <v>30448091210</v>
      </c>
      <c r="D4920" s="21">
        <f t="shared" si="13"/>
        <v>185508114921</v>
      </c>
    </row>
    <row r="4921" spans="1:4" ht="14">
      <c r="A4921" s="16">
        <v>45296</v>
      </c>
      <c r="B4921" s="17">
        <v>44146.32</v>
      </c>
      <c r="C4921" s="18">
        <v>32336029347</v>
      </c>
      <c r="D4921" s="21">
        <f t="shared" si="13"/>
        <v>192964113117</v>
      </c>
    </row>
    <row r="4922" spans="1:4" ht="14">
      <c r="A4922" s="16">
        <v>45297</v>
      </c>
      <c r="B4922" s="17">
        <v>43917.98</v>
      </c>
      <c r="C4922" s="18">
        <v>16092503468</v>
      </c>
      <c r="D4922" s="21">
        <f t="shared" si="13"/>
        <v>199300121409</v>
      </c>
    </row>
    <row r="4923" spans="1:4" ht="14">
      <c r="A4923" s="16">
        <v>45298</v>
      </c>
      <c r="B4923" s="17">
        <v>43844.2</v>
      </c>
      <c r="C4923" s="18">
        <v>19330573863</v>
      </c>
      <c r="D4923" s="21">
        <f t="shared" si="13"/>
        <v>199378698932</v>
      </c>
    </row>
    <row r="4924" spans="1:4" ht="14">
      <c r="A4924" s="16">
        <v>45299</v>
      </c>
      <c r="B4924" s="17">
        <v>46981.32</v>
      </c>
      <c r="C4924" s="18">
        <v>42746192015</v>
      </c>
      <c r="D4924" s="21">
        <f t="shared" si="13"/>
        <v>202311773985</v>
      </c>
    </row>
    <row r="4925" spans="1:4" ht="14">
      <c r="A4925" s="16">
        <v>45300</v>
      </c>
      <c r="B4925" s="17">
        <v>46084.01</v>
      </c>
      <c r="C4925" s="18">
        <v>39821290992</v>
      </c>
      <c r="D4925" s="21">
        <f t="shared" si="13"/>
        <v>226630987557</v>
      </c>
    </row>
    <row r="4926" spans="1:4" ht="14">
      <c r="A4926" s="16">
        <v>45301</v>
      </c>
      <c r="B4926" s="17">
        <v>46818.16</v>
      </c>
      <c r="C4926" s="18">
        <v>50114613298</v>
      </c>
      <c r="D4926" s="21">
        <f t="shared" si="13"/>
        <v>227117004013</v>
      </c>
    </row>
    <row r="4927" spans="1:4" ht="14">
      <c r="A4927" s="16">
        <v>45302</v>
      </c>
      <c r="B4927" s="17">
        <v>46380.87</v>
      </c>
      <c r="C4927" s="18">
        <v>45833734549</v>
      </c>
      <c r="D4927" s="21">
        <f t="shared" si="13"/>
        <v>230889294193</v>
      </c>
    </row>
    <row r="4928" spans="1:4" ht="14">
      <c r="A4928" s="16">
        <v>45303</v>
      </c>
      <c r="B4928" s="17">
        <v>42817.43</v>
      </c>
      <c r="C4928" s="18">
        <v>43332698900</v>
      </c>
      <c r="D4928" s="21">
        <f t="shared" si="13"/>
        <v>246274937532</v>
      </c>
    </row>
    <row r="4929" spans="1:4" ht="14">
      <c r="A4929" s="16">
        <v>45304</v>
      </c>
      <c r="B4929" s="17">
        <v>42846.95</v>
      </c>
      <c r="C4929" s="18">
        <v>20601860469</v>
      </c>
      <c r="D4929" s="21">
        <f t="shared" si="13"/>
        <v>257271607085</v>
      </c>
    </row>
    <row r="4930" spans="1:4" ht="14">
      <c r="A4930" s="16">
        <v>45305</v>
      </c>
      <c r="B4930" s="17">
        <v>41888.15</v>
      </c>
      <c r="C4930" s="18">
        <v>17521429522</v>
      </c>
      <c r="D4930" s="21">
        <f t="shared" si="13"/>
        <v>261780964086</v>
      </c>
    </row>
    <row r="4931" spans="1:4" ht="14">
      <c r="A4931" s="16">
        <v>45306</v>
      </c>
      <c r="B4931" s="17">
        <v>42528.92</v>
      </c>
      <c r="C4931" s="18">
        <v>22320220558</v>
      </c>
      <c r="D4931" s="21">
        <f t="shared" si="13"/>
        <v>259971819745</v>
      </c>
    </row>
    <row r="4932" spans="1:4" ht="14">
      <c r="A4932" s="16">
        <v>45307</v>
      </c>
      <c r="B4932" s="17">
        <v>43171.45</v>
      </c>
      <c r="C4932" s="18">
        <v>24062872740</v>
      </c>
      <c r="D4932" s="21">
        <f t="shared" si="13"/>
        <v>239545848288</v>
      </c>
    </row>
    <row r="4933" spans="1:4" ht="14">
      <c r="A4933" s="16">
        <v>45308</v>
      </c>
      <c r="B4933" s="17">
        <v>42689.3</v>
      </c>
      <c r="C4933" s="18">
        <v>20851232595</v>
      </c>
      <c r="D4933" s="21">
        <f t="shared" si="13"/>
        <v>223787430036</v>
      </c>
    </row>
    <row r="4934" spans="1:4" ht="14">
      <c r="A4934" s="16">
        <v>45309</v>
      </c>
      <c r="B4934" s="17">
        <v>41261.910000000003</v>
      </c>
      <c r="C4934" s="18">
        <v>25218357242</v>
      </c>
      <c r="D4934" s="21">
        <f t="shared" si="13"/>
        <v>194524049333</v>
      </c>
    </row>
    <row r="4935" spans="1:4" ht="14">
      <c r="A4935" s="16">
        <v>45310</v>
      </c>
      <c r="B4935" s="17">
        <v>41606.85</v>
      </c>
      <c r="C4935" s="18">
        <v>25752407154</v>
      </c>
      <c r="D4935" s="21">
        <f t="shared" si="13"/>
        <v>173908672026</v>
      </c>
    </row>
    <row r="4936" spans="1:4" ht="14">
      <c r="A4936" s="16">
        <v>45311</v>
      </c>
      <c r="B4936" s="17">
        <v>41668.69</v>
      </c>
      <c r="C4936" s="18">
        <v>11586690904</v>
      </c>
      <c r="D4936" s="21">
        <f t="shared" si="13"/>
        <v>156328380280</v>
      </c>
    </row>
    <row r="4937" spans="1:4" ht="14">
      <c r="A4937" s="16">
        <v>45312</v>
      </c>
      <c r="B4937" s="17">
        <v>41537.11</v>
      </c>
      <c r="C4937" s="18">
        <v>9344043642</v>
      </c>
      <c r="D4937" s="21">
        <f t="shared" si="13"/>
        <v>147313210715</v>
      </c>
    </row>
    <row r="4938" spans="1:4" ht="14">
      <c r="A4938" s="16">
        <v>45313</v>
      </c>
      <c r="B4938" s="17">
        <v>39577.1</v>
      </c>
      <c r="C4938" s="18">
        <v>31338708143</v>
      </c>
      <c r="D4938" s="21">
        <f t="shared" si="13"/>
        <v>139135824835</v>
      </c>
    </row>
    <row r="4939" spans="1:4" ht="14">
      <c r="A4939" s="16">
        <v>45314</v>
      </c>
      <c r="B4939" s="17">
        <v>39737.31</v>
      </c>
      <c r="C4939" s="18">
        <v>29244553045</v>
      </c>
      <c r="D4939" s="21">
        <f t="shared" si="13"/>
        <v>148154312420</v>
      </c>
    </row>
    <row r="4940" spans="1:4" ht="14">
      <c r="A4940" s="16">
        <v>45315</v>
      </c>
      <c r="B4940" s="17">
        <v>40101.86</v>
      </c>
      <c r="C4940" s="18">
        <v>22359526178</v>
      </c>
      <c r="D4940" s="21">
        <f t="shared" si="13"/>
        <v>153335992725</v>
      </c>
    </row>
    <row r="4941" spans="1:4" ht="14">
      <c r="A4941" s="16">
        <v>45316</v>
      </c>
      <c r="B4941" s="17">
        <v>39917.660000000003</v>
      </c>
      <c r="C4941" s="18">
        <v>18491782013</v>
      </c>
      <c r="D4941" s="21">
        <f t="shared" si="13"/>
        <v>154844286308</v>
      </c>
    </row>
    <row r="4942" spans="1:4" ht="14">
      <c r="A4942" s="16">
        <v>45317</v>
      </c>
      <c r="B4942" s="17">
        <v>41860.730000000003</v>
      </c>
      <c r="C4942" s="18">
        <v>25598119893</v>
      </c>
      <c r="D4942" s="21">
        <f t="shared" si="13"/>
        <v>148117711079</v>
      </c>
    </row>
    <row r="4943" spans="1:4" ht="14">
      <c r="A4943" s="16">
        <v>45318</v>
      </c>
      <c r="B4943" s="17">
        <v>42125.3</v>
      </c>
      <c r="C4943" s="18">
        <v>11422941934</v>
      </c>
      <c r="D4943" s="21">
        <f t="shared" si="13"/>
        <v>147963423818</v>
      </c>
    </row>
    <row r="4944" spans="1:4" ht="14">
      <c r="A4944" s="16">
        <v>45319</v>
      </c>
      <c r="B4944" s="17">
        <v>41983.02</v>
      </c>
      <c r="C4944" s="18">
        <v>16858971687</v>
      </c>
      <c r="D4944" s="21">
        <f t="shared" si="13"/>
        <v>147799674848</v>
      </c>
    </row>
    <row r="4945" spans="1:4" ht="14">
      <c r="A4945" s="16">
        <v>45320</v>
      </c>
      <c r="B4945" s="17">
        <v>43218.35</v>
      </c>
      <c r="C4945" s="18">
        <v>20668476578</v>
      </c>
      <c r="D4945" s="21">
        <f t="shared" si="13"/>
        <v>155314602893</v>
      </c>
    </row>
    <row r="4946" spans="1:4" ht="14">
      <c r="A4946" s="16">
        <v>45321</v>
      </c>
      <c r="B4946" s="17">
        <v>42950.05</v>
      </c>
      <c r="C4946" s="18">
        <v>23842814518</v>
      </c>
      <c r="D4946" s="21">
        <f t="shared" si="13"/>
        <v>144644371328</v>
      </c>
    </row>
    <row r="4947" spans="1:4" ht="14">
      <c r="A4947" s="16">
        <v>45322</v>
      </c>
      <c r="B4947" s="17">
        <v>42589.47</v>
      </c>
      <c r="C4947" s="18">
        <v>24673628793</v>
      </c>
      <c r="D4947" s="21">
        <f t="shared" si="13"/>
        <v>139242632801</v>
      </c>
    </row>
    <row r="4948" spans="1:4" ht="14">
      <c r="A4948" s="16">
        <v>45323</v>
      </c>
      <c r="B4948" s="17">
        <v>43020.36</v>
      </c>
      <c r="C4948" s="18">
        <v>21423953779</v>
      </c>
      <c r="D4948" s="21">
        <f t="shared" si="13"/>
        <v>141556735416</v>
      </c>
    </row>
    <row r="4949" spans="1:4" ht="14">
      <c r="A4949" s="16">
        <v>45324</v>
      </c>
      <c r="B4949" s="17">
        <v>43155.39</v>
      </c>
      <c r="C4949" s="18">
        <v>18603843039</v>
      </c>
      <c r="D4949" s="21">
        <f t="shared" si="13"/>
        <v>144488907182</v>
      </c>
    </row>
    <row r="4950" spans="1:4" ht="14">
      <c r="A4950" s="16">
        <v>45325</v>
      </c>
      <c r="B4950" s="17">
        <v>42982.38</v>
      </c>
      <c r="C4950" s="18">
        <v>11169245236</v>
      </c>
      <c r="D4950" s="21">
        <f t="shared" si="13"/>
        <v>137494630328</v>
      </c>
    </row>
    <row r="4951" spans="1:4" ht="14">
      <c r="A4951" s="16">
        <v>45326</v>
      </c>
      <c r="B4951" s="17">
        <v>42576.29</v>
      </c>
      <c r="C4951" s="18">
        <v>14802225490</v>
      </c>
      <c r="D4951" s="21">
        <f t="shared" si="13"/>
        <v>137240933630</v>
      </c>
    </row>
    <row r="4952" spans="1:4" ht="14">
      <c r="A4952" s="16">
        <v>45327</v>
      </c>
      <c r="B4952" s="17">
        <v>42619.27</v>
      </c>
      <c r="C4952" s="18">
        <v>18715487317</v>
      </c>
      <c r="D4952" s="21">
        <f t="shared" si="13"/>
        <v>135184187433</v>
      </c>
    </row>
    <row r="4953" spans="1:4" ht="14">
      <c r="A4953" s="16">
        <v>45328</v>
      </c>
      <c r="B4953" s="17">
        <v>43102.71</v>
      </c>
      <c r="C4953" s="18">
        <v>16798476726</v>
      </c>
      <c r="D4953" s="21">
        <f t="shared" si="13"/>
        <v>133231198172</v>
      </c>
    </row>
    <row r="4954" spans="1:4" ht="14">
      <c r="A4954" s="16">
        <v>45329</v>
      </c>
      <c r="B4954" s="17">
        <v>44253.03</v>
      </c>
      <c r="C4954" s="18">
        <v>21126587775</v>
      </c>
      <c r="D4954" s="21">
        <f t="shared" si="13"/>
        <v>126186860380</v>
      </c>
    </row>
    <row r="4955" spans="1:4" ht="14">
      <c r="A4955" s="16">
        <v>45330</v>
      </c>
      <c r="B4955" s="17">
        <v>45332.09</v>
      </c>
      <c r="C4955" s="18">
        <v>26154524080</v>
      </c>
      <c r="D4955" s="21">
        <f t="shared" si="13"/>
        <v>122639819362</v>
      </c>
    </row>
    <row r="4956" spans="1:4" ht="14">
      <c r="A4956" s="16">
        <v>45331</v>
      </c>
      <c r="B4956" s="17">
        <v>47176.97</v>
      </c>
      <c r="C4956" s="18">
        <v>39316770844</v>
      </c>
      <c r="D4956" s="21">
        <f t="shared" si="13"/>
        <v>127370389663</v>
      </c>
    </row>
    <row r="4957" spans="1:4" ht="14">
      <c r="A4957" s="16">
        <v>45332</v>
      </c>
      <c r="B4957" s="17">
        <v>47792.9</v>
      </c>
      <c r="C4957" s="18">
        <v>16398681570</v>
      </c>
      <c r="D4957" s="21">
        <f t="shared" si="13"/>
        <v>148083317468</v>
      </c>
    </row>
    <row r="4958" spans="1:4" ht="14">
      <c r="A4958" s="16">
        <v>45333</v>
      </c>
      <c r="B4958" s="17">
        <v>48200.800000000003</v>
      </c>
      <c r="C4958" s="18">
        <v>19315867136</v>
      </c>
      <c r="D4958" s="21">
        <f t="shared" si="13"/>
        <v>153312753802</v>
      </c>
    </row>
    <row r="4959" spans="1:4" ht="14">
      <c r="A4959" s="16">
        <v>45334</v>
      </c>
      <c r="B4959" s="17">
        <v>49989.8</v>
      </c>
      <c r="C4959" s="18">
        <v>34511985805</v>
      </c>
      <c r="D4959" s="21">
        <f t="shared" si="13"/>
        <v>157826395448</v>
      </c>
    </row>
    <row r="4960" spans="1:4" ht="14">
      <c r="A4960" s="16">
        <v>45335</v>
      </c>
      <c r="B4960" s="17">
        <v>49628.09</v>
      </c>
      <c r="C4960" s="18">
        <v>35593051468</v>
      </c>
      <c r="D4960" s="21">
        <f t="shared" si="13"/>
        <v>173622893936</v>
      </c>
    </row>
    <row r="4961" spans="1:4" ht="14">
      <c r="A4961" s="16">
        <v>45336</v>
      </c>
      <c r="B4961" s="17">
        <v>52085.3</v>
      </c>
      <c r="C4961" s="18">
        <v>39105608050</v>
      </c>
      <c r="D4961" s="21">
        <f t="shared" si="13"/>
        <v>192417468678</v>
      </c>
    </row>
    <row r="4962" spans="1:4" ht="14">
      <c r="A4962" s="16">
        <v>45337</v>
      </c>
      <c r="B4962" s="17">
        <v>51939.15</v>
      </c>
      <c r="C4962" s="18">
        <v>38564360533</v>
      </c>
      <c r="D4962" s="21">
        <f t="shared" si="13"/>
        <v>210396488953</v>
      </c>
    </row>
    <row r="4963" spans="1:4" ht="14">
      <c r="A4963" s="16">
        <v>45338</v>
      </c>
      <c r="B4963" s="17">
        <v>52157.31</v>
      </c>
      <c r="C4963" s="18">
        <v>28180567298</v>
      </c>
      <c r="D4963" s="21">
        <f t="shared" si="13"/>
        <v>222806325406</v>
      </c>
    </row>
    <row r="4964" spans="1:4" ht="14">
      <c r="A4964" s="16">
        <v>45339</v>
      </c>
      <c r="B4964" s="17">
        <v>51674.82</v>
      </c>
      <c r="C4964" s="18">
        <v>20009091006</v>
      </c>
      <c r="D4964" s="21">
        <f t="shared" si="13"/>
        <v>211670121860</v>
      </c>
    </row>
    <row r="4965" spans="1:4" ht="14">
      <c r="A4965" s="16">
        <v>45340</v>
      </c>
      <c r="B4965" s="17">
        <v>52148.06</v>
      </c>
      <c r="C4965" s="18">
        <v>17595377311</v>
      </c>
      <c r="D4965" s="21">
        <f t="shared" si="13"/>
        <v>215280531296</v>
      </c>
    </row>
    <row r="4966" spans="1:4" ht="14">
      <c r="A4966" s="16">
        <v>45341</v>
      </c>
      <c r="B4966" s="17">
        <v>51804.81</v>
      </c>
      <c r="C4966" s="18">
        <v>21362184346</v>
      </c>
      <c r="D4966" s="21">
        <f t="shared" si="13"/>
        <v>213560041471</v>
      </c>
    </row>
    <row r="4967" spans="1:4" ht="14">
      <c r="A4967" s="16">
        <v>45342</v>
      </c>
      <c r="B4967" s="17">
        <v>52308.05</v>
      </c>
      <c r="C4967" s="18">
        <v>33353758256</v>
      </c>
      <c r="D4967" s="21">
        <f t="shared" si="13"/>
        <v>200410240012</v>
      </c>
    </row>
    <row r="4968" spans="1:4" ht="14">
      <c r="A4968" s="16">
        <v>45343</v>
      </c>
      <c r="B4968" s="17">
        <v>51744.32</v>
      </c>
      <c r="C4968" s="18">
        <v>28624907020</v>
      </c>
      <c r="D4968" s="21">
        <f t="shared" si="13"/>
        <v>198170946800</v>
      </c>
    </row>
    <row r="4969" spans="1:4" ht="14">
      <c r="A4969" s="16">
        <v>45344</v>
      </c>
      <c r="B4969" s="17">
        <v>51292.33</v>
      </c>
      <c r="C4969" s="18">
        <v>25413900611</v>
      </c>
      <c r="D4969" s="21">
        <f t="shared" si="13"/>
        <v>187690245770</v>
      </c>
    </row>
    <row r="4970" spans="1:4" ht="14">
      <c r="A4970" s="16">
        <v>45345</v>
      </c>
      <c r="B4970" s="17">
        <v>50789.14</v>
      </c>
      <c r="C4970" s="18">
        <v>21427078270</v>
      </c>
      <c r="D4970" s="21">
        <f t="shared" si="13"/>
        <v>174539785848</v>
      </c>
    </row>
    <row r="4971" spans="1:4" ht="14">
      <c r="A4971" s="16">
        <v>45346</v>
      </c>
      <c r="B4971" s="17">
        <v>51578.23</v>
      </c>
      <c r="C4971" s="18">
        <v>15174077879</v>
      </c>
      <c r="D4971" s="21">
        <f t="shared" si="13"/>
        <v>167786296820</v>
      </c>
    </row>
    <row r="4972" spans="1:4" ht="14">
      <c r="A4972" s="16">
        <v>45347</v>
      </c>
      <c r="B4972" s="17">
        <v>51746.48</v>
      </c>
      <c r="C4972" s="18">
        <v>15413239245</v>
      </c>
      <c r="D4972" s="21">
        <f t="shared" si="13"/>
        <v>162951283693</v>
      </c>
    </row>
    <row r="4973" spans="1:4" ht="14">
      <c r="A4973" s="16">
        <v>45348</v>
      </c>
      <c r="B4973" s="17">
        <v>54551.83</v>
      </c>
      <c r="C4973" s="18">
        <v>39109873664</v>
      </c>
      <c r="D4973" s="21">
        <f t="shared" si="13"/>
        <v>160769145627</v>
      </c>
    </row>
    <row r="4974" spans="1:4" ht="14">
      <c r="A4974" s="16">
        <v>45349</v>
      </c>
      <c r="B4974" s="17">
        <v>57049.89</v>
      </c>
      <c r="C4974" s="18">
        <v>49756832031</v>
      </c>
      <c r="D4974" s="21">
        <f t="shared" si="13"/>
        <v>178516834945</v>
      </c>
    </row>
    <row r="4975" spans="1:4" ht="14">
      <c r="A4975" s="16">
        <v>45350</v>
      </c>
      <c r="B4975" s="17">
        <v>62460.74</v>
      </c>
      <c r="C4975" s="18">
        <v>83239156760</v>
      </c>
      <c r="D4975" s="21">
        <f t="shared" si="13"/>
        <v>194919908720</v>
      </c>
    </row>
    <row r="4976" spans="1:4" ht="14">
      <c r="A4976" s="16">
        <v>45351</v>
      </c>
      <c r="B4976" s="17">
        <v>61394.78</v>
      </c>
      <c r="C4976" s="18">
        <v>65496611844</v>
      </c>
      <c r="D4976" s="21">
        <f t="shared" si="13"/>
        <v>249534158460</v>
      </c>
    </row>
    <row r="4977" spans="1:4" ht="14">
      <c r="A4977" s="16">
        <v>45352</v>
      </c>
      <c r="B4977" s="17">
        <v>62524.4</v>
      </c>
      <c r="C4977" s="18">
        <v>40186368423</v>
      </c>
      <c r="D4977" s="21">
        <f t="shared" si="13"/>
        <v>289616869693</v>
      </c>
    </row>
    <row r="4978" spans="1:4" ht="14">
      <c r="A4978" s="16">
        <v>45353</v>
      </c>
      <c r="B4978" s="17">
        <v>62049.61</v>
      </c>
      <c r="C4978" s="18">
        <v>23888473685</v>
      </c>
      <c r="D4978" s="21">
        <f t="shared" si="13"/>
        <v>308376159846</v>
      </c>
    </row>
    <row r="4979" spans="1:4" ht="14">
      <c r="A4979" s="16">
        <v>45354</v>
      </c>
      <c r="B4979" s="17">
        <v>62991.44</v>
      </c>
      <c r="C4979" s="18">
        <v>26253811450</v>
      </c>
      <c r="D4979" s="21">
        <f t="shared" si="13"/>
        <v>317090555652</v>
      </c>
    </row>
    <row r="4980" spans="1:4" ht="14">
      <c r="A4980" s="16">
        <v>45355</v>
      </c>
      <c r="B4980" s="17">
        <v>68091.839999999997</v>
      </c>
      <c r="C4980" s="18">
        <v>70670471105</v>
      </c>
      <c r="D4980" s="21">
        <f t="shared" si="13"/>
        <v>327931127857</v>
      </c>
    </row>
    <row r="4981" spans="1:4" ht="14">
      <c r="A4981" s="16">
        <v>45356</v>
      </c>
      <c r="B4981" s="17">
        <v>63950.52</v>
      </c>
      <c r="C4981" s="18">
        <v>102802940877</v>
      </c>
      <c r="D4981" s="21">
        <f t="shared" si="13"/>
        <v>359491725298</v>
      </c>
    </row>
    <row r="4982" spans="1:4" ht="14">
      <c r="A4982" s="16">
        <v>45357</v>
      </c>
      <c r="B4982" s="17">
        <v>66103.72</v>
      </c>
      <c r="C4982" s="18">
        <v>68750229073</v>
      </c>
      <c r="D4982" s="21">
        <f t="shared" si="13"/>
        <v>412537834144</v>
      </c>
    </row>
    <row r="4983" spans="1:4" ht="14">
      <c r="A4983" s="16">
        <v>45358</v>
      </c>
      <c r="B4983" s="17">
        <v>67070.38</v>
      </c>
      <c r="C4983" s="18">
        <v>46989543159</v>
      </c>
      <c r="D4983" s="21">
        <f t="shared" si="13"/>
        <v>398048906457</v>
      </c>
    </row>
    <row r="4984" spans="1:4" ht="14">
      <c r="A4984" s="16">
        <v>45359</v>
      </c>
      <c r="B4984" s="17">
        <v>68343.710000000006</v>
      </c>
      <c r="C4984" s="18">
        <v>59202881172</v>
      </c>
      <c r="D4984" s="21">
        <f t="shared" si="13"/>
        <v>379541837772</v>
      </c>
    </row>
    <row r="4985" spans="1:4" ht="14">
      <c r="A4985" s="16">
        <v>45360</v>
      </c>
      <c r="B4985" s="17">
        <v>68502.509999999995</v>
      </c>
      <c r="C4985" s="18">
        <v>21609650379</v>
      </c>
      <c r="D4985" s="21">
        <f t="shared" si="13"/>
        <v>398558350521</v>
      </c>
    </row>
    <row r="4986" spans="1:4" ht="14">
      <c r="A4986" s="16">
        <v>45361</v>
      </c>
      <c r="B4986" s="17">
        <v>68882.25</v>
      </c>
      <c r="C4986" s="18">
        <v>35683977532</v>
      </c>
      <c r="D4986" s="21">
        <f t="shared" si="13"/>
        <v>396279527215</v>
      </c>
    </row>
    <row r="4987" spans="1:4" ht="14">
      <c r="A4987" s="16">
        <v>45362</v>
      </c>
      <c r="B4987" s="17">
        <v>72198.09</v>
      </c>
      <c r="C4987" s="18">
        <v>65716656765</v>
      </c>
      <c r="D4987" s="21">
        <f t="shared" si="13"/>
        <v>405709693297</v>
      </c>
    </row>
    <row r="4988" spans="1:4" ht="14">
      <c r="A4988" s="16">
        <v>45363</v>
      </c>
      <c r="B4988" s="17">
        <v>71432.73</v>
      </c>
      <c r="C4988" s="18">
        <v>62554434520</v>
      </c>
      <c r="D4988" s="21">
        <f t="shared" si="13"/>
        <v>400755878957</v>
      </c>
    </row>
    <row r="4989" spans="1:4" ht="14">
      <c r="A4989" s="16">
        <v>45364</v>
      </c>
      <c r="B4989" s="17">
        <v>73081.58</v>
      </c>
      <c r="C4989" s="18">
        <v>48212536929</v>
      </c>
      <c r="D4989" s="21">
        <f t="shared" si="13"/>
        <v>360507372600</v>
      </c>
    </row>
    <row r="4990" spans="1:4" ht="14">
      <c r="A4990" s="16">
        <v>45365</v>
      </c>
      <c r="B4990" s="17">
        <v>71505.27</v>
      </c>
      <c r="C4990" s="18">
        <v>59594605698</v>
      </c>
      <c r="D4990" s="21">
        <f t="shared" si="13"/>
        <v>339969680456</v>
      </c>
    </row>
    <row r="4991" spans="1:4" ht="14">
      <c r="A4991" s="16">
        <v>45366</v>
      </c>
      <c r="B4991" s="17">
        <v>69424.91</v>
      </c>
      <c r="C4991" s="18">
        <v>78320453976</v>
      </c>
      <c r="D4991" s="21">
        <f t="shared" si="13"/>
        <v>352574742995</v>
      </c>
    </row>
    <row r="4992" spans="1:4" ht="14">
      <c r="A4992" s="16">
        <v>45367</v>
      </c>
      <c r="B4992" s="17">
        <v>65433.68</v>
      </c>
      <c r="C4992" s="18">
        <v>46842198371</v>
      </c>
      <c r="D4992" s="21">
        <f t="shared" si="13"/>
        <v>371692315799</v>
      </c>
    </row>
    <row r="4993" spans="1:4" ht="14">
      <c r="A4993" s="16">
        <v>45368</v>
      </c>
      <c r="B4993" s="17">
        <v>68285.09</v>
      </c>
      <c r="C4993" s="18">
        <v>44716864318</v>
      </c>
      <c r="D4993" s="21">
        <f t="shared" si="13"/>
        <v>396924863791</v>
      </c>
    </row>
    <row r="4994" spans="1:4" ht="14">
      <c r="A4994" s="16">
        <v>45369</v>
      </c>
      <c r="B4994" s="17">
        <v>67770.89</v>
      </c>
      <c r="C4994" s="18">
        <v>49261579492</v>
      </c>
      <c r="D4994" s="21">
        <f t="shared" si="13"/>
        <v>405957750577</v>
      </c>
    </row>
    <row r="4995" spans="1:4" ht="14">
      <c r="A4995" s="16">
        <v>45370</v>
      </c>
      <c r="B4995" s="17">
        <v>61969.31</v>
      </c>
      <c r="C4995" s="18">
        <v>74215844794</v>
      </c>
      <c r="D4995" s="21">
        <f t="shared" si="13"/>
        <v>389502673304</v>
      </c>
    </row>
    <row r="4996" spans="1:4" ht="14">
      <c r="A4996" s="16">
        <v>45371</v>
      </c>
      <c r="B4996" s="17">
        <v>67848.11</v>
      </c>
      <c r="C4996" s="18">
        <v>66792634382</v>
      </c>
      <c r="D4996" s="21">
        <f t="shared" si="13"/>
        <v>401164083578</v>
      </c>
    </row>
    <row r="4997" spans="1:4" ht="14">
      <c r="A4997" s="16">
        <v>45372</v>
      </c>
      <c r="B4997" s="17">
        <v>65454.74</v>
      </c>
      <c r="C4997" s="18">
        <v>44480350565</v>
      </c>
      <c r="D4997" s="21">
        <f t="shared" si="13"/>
        <v>419744181031</v>
      </c>
    </row>
    <row r="4998" spans="1:4" ht="14">
      <c r="A4998" s="16">
        <v>45373</v>
      </c>
      <c r="B4998" s="17">
        <v>63486.49</v>
      </c>
      <c r="C4998" s="18">
        <v>41401116964</v>
      </c>
      <c r="D4998" s="21">
        <f t="shared" si="13"/>
        <v>404629925898</v>
      </c>
    </row>
    <row r="4999" spans="1:4" ht="14">
      <c r="A4999" s="16">
        <v>45374</v>
      </c>
      <c r="B4999" s="17">
        <v>64361.24</v>
      </c>
      <c r="C4999" s="18">
        <v>24738964812</v>
      </c>
      <c r="D4999" s="21">
        <f t="shared" si="13"/>
        <v>367710588886</v>
      </c>
    </row>
    <row r="5000" spans="1:4" ht="14">
      <c r="A5000" s="16">
        <v>45375</v>
      </c>
      <c r="B5000" s="17">
        <v>67289.570000000007</v>
      </c>
      <c r="C5000" s="18">
        <v>27206630673</v>
      </c>
      <c r="D5000" s="21">
        <f t="shared" si="13"/>
        <v>345607355327</v>
      </c>
    </row>
    <row r="5001" spans="1:4" ht="14">
      <c r="A5001" s="16">
        <v>45376</v>
      </c>
      <c r="B5001" s="17">
        <v>70042.02</v>
      </c>
      <c r="C5001" s="18">
        <v>42700139523</v>
      </c>
      <c r="D5001" s="21">
        <f t="shared" si="13"/>
        <v>328097121682</v>
      </c>
    </row>
    <row r="5002" spans="1:4" ht="14">
      <c r="A5002" s="16">
        <v>45377</v>
      </c>
      <c r="B5002" s="17">
        <v>70071.05</v>
      </c>
      <c r="C5002" s="18">
        <v>36010437368</v>
      </c>
      <c r="D5002" s="21">
        <f t="shared" si="13"/>
        <v>321535681713</v>
      </c>
    </row>
    <row r="5003" spans="1:4" ht="14">
      <c r="A5003" s="16">
        <v>45378</v>
      </c>
      <c r="B5003" s="17">
        <v>69267.89</v>
      </c>
      <c r="C5003" s="18">
        <v>40827113309</v>
      </c>
      <c r="D5003" s="21">
        <f t="shared" si="13"/>
        <v>283330274287</v>
      </c>
    </row>
    <row r="5004" spans="1:4" ht="14">
      <c r="A5004" s="16">
        <v>45379</v>
      </c>
      <c r="B5004" s="17">
        <v>70826.899999999994</v>
      </c>
      <c r="C5004" s="18">
        <v>34374900617</v>
      </c>
      <c r="D5004" s="21">
        <f t="shared" si="13"/>
        <v>257364753214</v>
      </c>
    </row>
    <row r="5005" spans="1:4" ht="14">
      <c r="A5005" s="16">
        <v>45380</v>
      </c>
      <c r="B5005" s="17">
        <v>69917.039999999994</v>
      </c>
      <c r="C5005" s="18">
        <v>25230851763</v>
      </c>
      <c r="D5005" s="21">
        <f t="shared" si="13"/>
        <v>247259303266</v>
      </c>
    </row>
    <row r="5006" spans="1:4" ht="14">
      <c r="A5006" s="16">
        <v>45381</v>
      </c>
      <c r="B5006" s="17">
        <v>69663.009999999995</v>
      </c>
      <c r="C5006" s="18">
        <v>17130241883</v>
      </c>
      <c r="D5006" s="21">
        <f t="shared" si="13"/>
        <v>231089038065</v>
      </c>
    </row>
    <row r="5007" spans="1:4" ht="14">
      <c r="A5007" s="16">
        <v>45382</v>
      </c>
      <c r="B5007" s="17">
        <v>71227.45</v>
      </c>
      <c r="C5007" s="18">
        <v>20050941373</v>
      </c>
      <c r="D5007" s="21">
        <f t="shared" si="13"/>
        <v>223480315136</v>
      </c>
    </row>
    <row r="5008" spans="1:4" ht="14">
      <c r="A5008" s="16">
        <v>45383</v>
      </c>
      <c r="B5008" s="17">
        <v>69791.63</v>
      </c>
      <c r="C5008" s="18">
        <v>34873527352</v>
      </c>
      <c r="D5008" s="21">
        <f t="shared" si="13"/>
        <v>216324625836</v>
      </c>
    </row>
    <row r="5009" spans="1:4" ht="14">
      <c r="A5009" s="16">
        <v>45384</v>
      </c>
      <c r="B5009" s="17">
        <v>65533.75</v>
      </c>
      <c r="C5009" s="18">
        <v>50705240709</v>
      </c>
      <c r="D5009" s="21">
        <f t="shared" si="13"/>
        <v>208498013665</v>
      </c>
    </row>
    <row r="5010" spans="1:4" ht="14">
      <c r="A5010" s="16">
        <v>45385</v>
      </c>
      <c r="B5010" s="17">
        <v>66130.22</v>
      </c>
      <c r="C5010" s="18">
        <v>34488018367</v>
      </c>
      <c r="D5010" s="21">
        <f t="shared" si="13"/>
        <v>223192817006</v>
      </c>
    </row>
    <row r="5011" spans="1:4" ht="14">
      <c r="A5011" s="16">
        <v>45386</v>
      </c>
      <c r="B5011" s="17">
        <v>68438.14</v>
      </c>
      <c r="C5011" s="18">
        <v>34439527442</v>
      </c>
      <c r="D5011" s="21">
        <f t="shared" si="13"/>
        <v>216853722064</v>
      </c>
    </row>
    <row r="5012" spans="1:4" ht="14">
      <c r="A5012" s="16">
        <v>45387</v>
      </c>
      <c r="B5012" s="17">
        <v>67904.91</v>
      </c>
      <c r="C5012" s="18">
        <v>33748230056</v>
      </c>
      <c r="D5012" s="21">
        <f t="shared" si="13"/>
        <v>216918348889</v>
      </c>
    </row>
    <row r="5013" spans="1:4" ht="14">
      <c r="A5013" s="16">
        <v>45388</v>
      </c>
      <c r="B5013" s="17">
        <v>69136.070000000007</v>
      </c>
      <c r="C5013" s="18">
        <v>19967785809</v>
      </c>
      <c r="D5013" s="21">
        <f t="shared" si="13"/>
        <v>225435727182</v>
      </c>
    </row>
    <row r="5014" spans="1:4" ht="14">
      <c r="A5014" s="16">
        <v>45389</v>
      </c>
      <c r="B5014" s="17">
        <v>69392.679999999993</v>
      </c>
      <c r="C5014" s="18">
        <v>21204930369</v>
      </c>
      <c r="D5014" s="21">
        <f t="shared" si="13"/>
        <v>228273271108</v>
      </c>
    </row>
    <row r="5015" spans="1:4" ht="14">
      <c r="A5015" s="16">
        <v>45390</v>
      </c>
      <c r="B5015" s="17">
        <v>71712.800000000003</v>
      </c>
      <c r="C5015" s="18">
        <v>37261432669</v>
      </c>
      <c r="D5015" s="21">
        <f t="shared" si="13"/>
        <v>229427260104</v>
      </c>
    </row>
    <row r="5016" spans="1:4" ht="14">
      <c r="A5016" s="16">
        <v>45391</v>
      </c>
      <c r="B5016" s="17">
        <v>69074.539999999994</v>
      </c>
      <c r="C5016" s="18">
        <v>36426900409</v>
      </c>
      <c r="D5016" s="21">
        <f t="shared" si="13"/>
        <v>231815165421</v>
      </c>
    </row>
    <row r="5017" spans="1:4" ht="14">
      <c r="A5017" s="16">
        <v>45392</v>
      </c>
      <c r="B5017" s="17">
        <v>70579.45</v>
      </c>
      <c r="C5017" s="18">
        <v>38318601774</v>
      </c>
      <c r="D5017" s="21">
        <f t="shared" si="13"/>
        <v>217536825121</v>
      </c>
    </row>
    <row r="5018" spans="1:4" ht="14">
      <c r="A5018" s="16">
        <v>45393</v>
      </c>
      <c r="B5018" s="17">
        <v>70046.55</v>
      </c>
      <c r="C5018" s="18">
        <v>30153382941</v>
      </c>
      <c r="D5018" s="21">
        <f t="shared" si="13"/>
        <v>221367408528</v>
      </c>
    </row>
    <row r="5019" spans="1:4" ht="14">
      <c r="A5019" s="16">
        <v>45394</v>
      </c>
      <c r="B5019" s="17">
        <v>67098.11</v>
      </c>
      <c r="C5019" s="18">
        <v>44129299406</v>
      </c>
      <c r="D5019" s="21">
        <f t="shared" si="13"/>
        <v>217081264027</v>
      </c>
    </row>
    <row r="5020" spans="1:4" ht="14">
      <c r="A5020" s="16">
        <v>45395</v>
      </c>
      <c r="B5020" s="17">
        <v>64551.65</v>
      </c>
      <c r="C5020" s="18">
        <v>52869738185</v>
      </c>
      <c r="D5020" s="21">
        <f t="shared" si="13"/>
        <v>227462333377</v>
      </c>
    </row>
    <row r="5021" spans="1:4" ht="14">
      <c r="A5021" s="16">
        <v>45396</v>
      </c>
      <c r="B5021" s="17">
        <v>65648.81</v>
      </c>
      <c r="C5021" s="18">
        <v>49084320047</v>
      </c>
      <c r="D5021" s="21">
        <f t="shared" si="13"/>
        <v>260364285753</v>
      </c>
    </row>
    <row r="5022" spans="1:4" ht="14">
      <c r="A5022" s="16">
        <v>45397</v>
      </c>
      <c r="B5022" s="17">
        <v>63393.33</v>
      </c>
      <c r="C5022" s="18">
        <v>43595917654</v>
      </c>
      <c r="D5022" s="21">
        <f t="shared" si="13"/>
        <v>288243675431</v>
      </c>
    </row>
    <row r="5023" spans="1:4" ht="14">
      <c r="A5023" s="16">
        <v>45398</v>
      </c>
      <c r="B5023" s="17">
        <v>63784.82</v>
      </c>
      <c r="C5023" s="18">
        <v>42847528078</v>
      </c>
      <c r="D5023" s="21">
        <f t="shared" si="13"/>
        <v>294578160416</v>
      </c>
    </row>
    <row r="5024" spans="1:4" ht="14">
      <c r="A5024" s="16">
        <v>45399</v>
      </c>
      <c r="B5024" s="17">
        <v>61324.22</v>
      </c>
      <c r="C5024" s="18">
        <v>41915247049</v>
      </c>
      <c r="D5024" s="21">
        <f t="shared" si="13"/>
        <v>300998788085</v>
      </c>
    </row>
    <row r="5025" spans="1:4" ht="14">
      <c r="A5025" s="16">
        <v>45400</v>
      </c>
      <c r="B5025" s="17">
        <v>63510.15</v>
      </c>
      <c r="C5025" s="18">
        <v>36006307335</v>
      </c>
      <c r="D5025" s="21">
        <f t="shared" si="13"/>
        <v>304595433360</v>
      </c>
    </row>
    <row r="5026" spans="1:4" ht="14">
      <c r="A5026" s="16">
        <v>45401</v>
      </c>
      <c r="B5026" s="17">
        <v>63762.63</v>
      </c>
      <c r="C5026" s="18">
        <v>49920425401</v>
      </c>
      <c r="D5026" s="21">
        <f t="shared" si="13"/>
        <v>310448357754</v>
      </c>
    </row>
    <row r="5027" spans="1:4" ht="14">
      <c r="A5027" s="16">
        <v>45402</v>
      </c>
      <c r="B5027" s="17">
        <v>64907.99</v>
      </c>
      <c r="C5027" s="18">
        <v>23097485495</v>
      </c>
      <c r="D5027" s="21">
        <f t="shared" si="13"/>
        <v>316239483749</v>
      </c>
    </row>
    <row r="5028" spans="1:4" ht="14">
      <c r="A5028" s="16">
        <v>45403</v>
      </c>
      <c r="B5028" s="17">
        <v>64968.19</v>
      </c>
      <c r="C5028" s="18">
        <v>20506644853</v>
      </c>
      <c r="D5028" s="21">
        <f t="shared" si="13"/>
        <v>286467231059</v>
      </c>
    </row>
    <row r="5029" spans="1:4" ht="14">
      <c r="A5029" s="16">
        <v>45404</v>
      </c>
      <c r="B5029" s="17">
        <v>66944.600000000006</v>
      </c>
      <c r="C5029" s="18">
        <v>28282686673</v>
      </c>
      <c r="D5029" s="21">
        <f t="shared" si="13"/>
        <v>257889555865</v>
      </c>
    </row>
    <row r="5030" spans="1:4" ht="14">
      <c r="A5030" s="16">
        <v>45405</v>
      </c>
      <c r="B5030" s="17">
        <v>66385.3</v>
      </c>
      <c r="C5030" s="18">
        <v>24310975583</v>
      </c>
      <c r="D5030" s="21">
        <f t="shared" si="13"/>
        <v>242576324884</v>
      </c>
    </row>
    <row r="5031" spans="1:4" ht="14">
      <c r="A5031" s="16">
        <v>45406</v>
      </c>
      <c r="B5031" s="17">
        <v>64189.97</v>
      </c>
      <c r="C5031" s="18">
        <v>30276655120</v>
      </c>
      <c r="D5031" s="21">
        <f t="shared" si="13"/>
        <v>224039772389</v>
      </c>
    </row>
    <row r="5032" spans="1:4" ht="14">
      <c r="A5032" s="16">
        <v>45407</v>
      </c>
      <c r="B5032" s="17">
        <v>64515.39</v>
      </c>
      <c r="C5032" s="18">
        <v>32155786816</v>
      </c>
      <c r="D5032" s="21">
        <f t="shared" si="13"/>
        <v>212401180460</v>
      </c>
    </row>
    <row r="5033" spans="1:4" ht="14">
      <c r="A5033" s="16">
        <v>45408</v>
      </c>
      <c r="B5033" s="17">
        <v>63777.47</v>
      </c>
      <c r="C5033" s="18">
        <v>24139372950</v>
      </c>
      <c r="D5033" s="21">
        <f t="shared" si="13"/>
        <v>208550659941</v>
      </c>
    </row>
    <row r="5034" spans="1:4" ht="14">
      <c r="A5034" s="16">
        <v>45409</v>
      </c>
      <c r="B5034" s="17">
        <v>63429.31</v>
      </c>
      <c r="C5034" s="18">
        <v>19530783039</v>
      </c>
      <c r="D5034" s="21">
        <f t="shared" si="13"/>
        <v>182769607490</v>
      </c>
    </row>
    <row r="5035" spans="1:4" ht="14">
      <c r="A5035" s="16">
        <v>45410</v>
      </c>
      <c r="B5035" s="17">
        <v>62978.58</v>
      </c>
      <c r="C5035" s="18">
        <v>17334827993</v>
      </c>
      <c r="D5035" s="21">
        <f t="shared" si="13"/>
        <v>179202905034</v>
      </c>
    </row>
    <row r="5036" spans="1:4" ht="14">
      <c r="A5036" s="16">
        <v>45411</v>
      </c>
      <c r="B5036" s="17">
        <v>63908.39</v>
      </c>
      <c r="C5036" s="18">
        <v>26635912073</v>
      </c>
      <c r="D5036" s="21">
        <f t="shared" si="13"/>
        <v>176031088174</v>
      </c>
    </row>
    <row r="5037" spans="1:4" ht="14">
      <c r="A5037" s="16">
        <v>45412</v>
      </c>
      <c r="B5037" s="17">
        <v>60636.33</v>
      </c>
      <c r="C5037" s="18">
        <v>37840840057</v>
      </c>
      <c r="D5037" s="21">
        <f t="shared" si="13"/>
        <v>174384313574</v>
      </c>
    </row>
    <row r="5038" spans="1:4" ht="14">
      <c r="A5038" s="16">
        <v>45413</v>
      </c>
      <c r="B5038" s="17">
        <v>58141.78</v>
      </c>
      <c r="C5038" s="18">
        <v>48439780271</v>
      </c>
      <c r="D5038" s="21">
        <f t="shared" si="13"/>
        <v>187914178048</v>
      </c>
    </row>
    <row r="5039" spans="1:4" ht="14">
      <c r="A5039" s="16">
        <v>45414</v>
      </c>
      <c r="B5039" s="17">
        <v>59170.11</v>
      </c>
      <c r="C5039" s="18">
        <v>32711813559</v>
      </c>
      <c r="D5039" s="21">
        <f t="shared" si="13"/>
        <v>206077303199</v>
      </c>
    </row>
    <row r="5040" spans="1:4" ht="14">
      <c r="A5040" s="16">
        <v>45415</v>
      </c>
      <c r="B5040" s="17">
        <v>62983.66</v>
      </c>
      <c r="C5040" s="18">
        <v>33172023048</v>
      </c>
      <c r="D5040" s="21">
        <f t="shared" si="13"/>
        <v>206633329942</v>
      </c>
    </row>
    <row r="5041" spans="1:4" ht="14">
      <c r="A5041" s="16">
        <v>45416</v>
      </c>
      <c r="B5041" s="17">
        <v>63881.13</v>
      </c>
      <c r="C5041" s="18">
        <v>20620477992</v>
      </c>
      <c r="D5041" s="21">
        <f t="shared" si="13"/>
        <v>215665980040</v>
      </c>
    </row>
    <row r="5042" spans="1:4" ht="14">
      <c r="A5042" s="16">
        <v>45417</v>
      </c>
      <c r="B5042" s="17">
        <v>64067.6</v>
      </c>
      <c r="C5042" s="18">
        <v>18296164805</v>
      </c>
      <c r="D5042" s="21">
        <f t="shared" si="13"/>
        <v>216755674993</v>
      </c>
    </row>
    <row r="5043" spans="1:4" ht="14">
      <c r="A5043" s="16">
        <v>45418</v>
      </c>
      <c r="B5043" s="17">
        <v>63228.1</v>
      </c>
      <c r="C5043" s="18">
        <v>28697928697</v>
      </c>
      <c r="D5043" s="21">
        <f t="shared" si="13"/>
        <v>217717011805</v>
      </c>
    </row>
    <row r="5044" spans="1:4" ht="14">
      <c r="A5044" s="16">
        <v>45419</v>
      </c>
      <c r="B5044" s="17">
        <v>62397</v>
      </c>
      <c r="C5044" s="18">
        <v>25930730982</v>
      </c>
      <c r="D5044" s="21">
        <f t="shared" si="13"/>
        <v>219779028429</v>
      </c>
    </row>
    <row r="5045" spans="1:4" ht="14">
      <c r="A5045" s="16">
        <v>45420</v>
      </c>
      <c r="B5045" s="17">
        <v>61079.27</v>
      </c>
      <c r="C5045" s="18">
        <v>26088172222</v>
      </c>
      <c r="D5045" s="21">
        <f t="shared" si="13"/>
        <v>207868919354</v>
      </c>
    </row>
    <row r="5046" spans="1:4" ht="14">
      <c r="A5046" s="16">
        <v>45421</v>
      </c>
      <c r="B5046" s="17">
        <v>62998.49</v>
      </c>
      <c r="C5046" s="18">
        <v>25453338161</v>
      </c>
      <c r="D5046" s="21">
        <f t="shared" si="13"/>
        <v>185517311305</v>
      </c>
    </row>
    <row r="5047" spans="1:4" ht="14">
      <c r="A5047" s="16">
        <v>45422</v>
      </c>
      <c r="B5047" s="17">
        <v>60896.639999999999</v>
      </c>
      <c r="C5047" s="18">
        <v>27804954694</v>
      </c>
      <c r="D5047" s="21">
        <f t="shared" si="13"/>
        <v>178258835907</v>
      </c>
    </row>
    <row r="5048" spans="1:4" ht="14">
      <c r="A5048" s="16">
        <v>45423</v>
      </c>
      <c r="B5048" s="17">
        <v>60843.57</v>
      </c>
      <c r="C5048" s="18">
        <v>13842272968</v>
      </c>
      <c r="D5048" s="21">
        <f t="shared" si="13"/>
        <v>172891767553</v>
      </c>
    </row>
    <row r="5049" spans="1:4" ht="14">
      <c r="A5049" s="16">
        <v>45424</v>
      </c>
      <c r="B5049" s="17">
        <v>61431.27</v>
      </c>
      <c r="C5049" s="18">
        <v>13800459405</v>
      </c>
      <c r="D5049" s="21">
        <f t="shared" si="13"/>
        <v>166113562529</v>
      </c>
    </row>
    <row r="5050" spans="1:4" ht="14">
      <c r="A5050" s="16">
        <v>45425</v>
      </c>
      <c r="B5050" s="17">
        <v>62886.94</v>
      </c>
      <c r="C5050" s="18">
        <v>27889181179</v>
      </c>
      <c r="D5050" s="21">
        <f t="shared" si="13"/>
        <v>161617857129</v>
      </c>
    </row>
    <row r="5051" spans="1:4" ht="14">
      <c r="A5051" s="16">
        <v>45426</v>
      </c>
      <c r="B5051" s="17">
        <v>61555.57</v>
      </c>
      <c r="C5051" s="18">
        <v>28186271527</v>
      </c>
      <c r="D5051" s="21">
        <f t="shared" si="13"/>
        <v>160809109611</v>
      </c>
    </row>
    <row r="5052" spans="1:4" ht="14">
      <c r="A5052" s="16">
        <v>45427</v>
      </c>
      <c r="B5052" s="17">
        <v>66281.53</v>
      </c>
      <c r="C5052" s="18">
        <v>39815167074</v>
      </c>
      <c r="D5052" s="21">
        <f t="shared" si="13"/>
        <v>163064650156</v>
      </c>
    </row>
    <row r="5053" spans="1:4" ht="14">
      <c r="A5053" s="16">
        <v>45428</v>
      </c>
      <c r="B5053" s="17">
        <v>65269.26</v>
      </c>
      <c r="C5053" s="18">
        <v>31573077994</v>
      </c>
      <c r="D5053" s="21">
        <f t="shared" si="13"/>
        <v>176791645008</v>
      </c>
    </row>
    <row r="5054" spans="1:4" ht="14">
      <c r="A5054" s="16">
        <v>45429</v>
      </c>
      <c r="B5054" s="17">
        <v>66956.44</v>
      </c>
      <c r="C5054" s="18">
        <v>28031279310</v>
      </c>
      <c r="D5054" s="21">
        <f t="shared" si="13"/>
        <v>182911384841</v>
      </c>
    </row>
    <row r="5055" spans="1:4" ht="14">
      <c r="A5055" s="16">
        <v>45430</v>
      </c>
      <c r="B5055" s="17">
        <v>66977.600000000006</v>
      </c>
      <c r="C5055" s="18">
        <v>16712277406</v>
      </c>
      <c r="D5055" s="21">
        <f t="shared" si="13"/>
        <v>183137709457</v>
      </c>
    </row>
    <row r="5056" spans="1:4" ht="14">
      <c r="A5056" s="16">
        <v>45431</v>
      </c>
      <c r="B5056" s="17">
        <v>66259.47</v>
      </c>
      <c r="C5056" s="18">
        <v>19249094538</v>
      </c>
      <c r="D5056" s="21">
        <f t="shared" si="13"/>
        <v>186007713895</v>
      </c>
    </row>
    <row r="5057" spans="1:4" ht="14">
      <c r="A5057" s="16">
        <v>45432</v>
      </c>
      <c r="B5057" s="17">
        <v>71202.2</v>
      </c>
      <c r="C5057" s="18">
        <v>43850655717</v>
      </c>
      <c r="D5057" s="21">
        <f t="shared" si="13"/>
        <v>191456349028</v>
      </c>
    </row>
    <row r="5058" spans="1:4" ht="14">
      <c r="A5058" s="16">
        <v>45433</v>
      </c>
      <c r="B5058" s="17">
        <v>70217.25</v>
      </c>
      <c r="C5058" s="18">
        <v>46932005990</v>
      </c>
      <c r="D5058" s="21">
        <f t="shared" si="13"/>
        <v>207417823566</v>
      </c>
    </row>
    <row r="5059" spans="1:4" ht="14">
      <c r="A5059" s="16">
        <v>45434</v>
      </c>
      <c r="B5059" s="17">
        <v>69074.91</v>
      </c>
      <c r="C5059" s="18">
        <v>32802561717</v>
      </c>
      <c r="D5059" s="21">
        <f t="shared" si="13"/>
        <v>226163558029</v>
      </c>
    </row>
    <row r="5060" spans="1:4" ht="14">
      <c r="A5060" s="16">
        <v>45435</v>
      </c>
      <c r="B5060" s="17">
        <v>67758.73</v>
      </c>
      <c r="C5060" s="18">
        <v>41895680979</v>
      </c>
      <c r="D5060" s="21">
        <f t="shared" si="13"/>
        <v>219150952672</v>
      </c>
    </row>
    <row r="5061" spans="1:4" ht="14">
      <c r="A5061" s="16">
        <v>45436</v>
      </c>
      <c r="B5061" s="17">
        <v>68609</v>
      </c>
      <c r="C5061" s="18">
        <v>29197308153</v>
      </c>
      <c r="D5061" s="21">
        <f t="shared" si="13"/>
        <v>229473555657</v>
      </c>
    </row>
    <row r="5062" spans="1:4" ht="14">
      <c r="A5062" s="16">
        <v>45437</v>
      </c>
      <c r="B5062" s="17">
        <v>69282.789999999994</v>
      </c>
      <c r="C5062" s="18">
        <v>15473071741</v>
      </c>
      <c r="D5062" s="21">
        <f t="shared" si="13"/>
        <v>230639584500</v>
      </c>
    </row>
    <row r="5063" spans="1:4" ht="14">
      <c r="A5063" s="16">
        <v>45438</v>
      </c>
      <c r="B5063" s="17">
        <v>68445.009999999995</v>
      </c>
      <c r="C5063" s="18">
        <v>15628433737</v>
      </c>
      <c r="D5063" s="21">
        <f t="shared" si="13"/>
        <v>229400378835</v>
      </c>
    </row>
    <row r="5064" spans="1:4" ht="14">
      <c r="A5064" s="16">
        <v>45439</v>
      </c>
      <c r="B5064" s="17">
        <v>69347.820000000007</v>
      </c>
      <c r="C5064" s="18">
        <v>25870990717</v>
      </c>
      <c r="D5064" s="21">
        <f t="shared" si="13"/>
        <v>225779718034</v>
      </c>
    </row>
    <row r="5065" spans="1:4" ht="14">
      <c r="A5065" s="16">
        <v>45440</v>
      </c>
      <c r="B5065" s="17">
        <v>68342.820000000007</v>
      </c>
      <c r="C5065" s="18">
        <v>32722265965</v>
      </c>
      <c r="D5065" s="21">
        <f t="shared" si="13"/>
        <v>207800053034</v>
      </c>
    </row>
    <row r="5066" spans="1:4" ht="14">
      <c r="A5066" s="16">
        <v>45441</v>
      </c>
      <c r="B5066" s="17">
        <v>67584.259999999995</v>
      </c>
      <c r="C5066" s="18">
        <v>26707072906</v>
      </c>
      <c r="D5066" s="21">
        <f t="shared" si="13"/>
        <v>193590313009</v>
      </c>
    </row>
    <row r="5067" spans="1:4" ht="14">
      <c r="A5067" s="16">
        <v>45442</v>
      </c>
      <c r="B5067" s="17">
        <v>68375.48</v>
      </c>
      <c r="C5067" s="18">
        <v>29509712534</v>
      </c>
      <c r="D5067" s="21">
        <f t="shared" si="13"/>
        <v>187494824198</v>
      </c>
    </row>
    <row r="5068" spans="1:4" ht="14">
      <c r="A5068" s="16">
        <v>45443</v>
      </c>
      <c r="B5068" s="17">
        <v>67377.759999999995</v>
      </c>
      <c r="C5068" s="18">
        <v>27387283769</v>
      </c>
      <c r="D5068" s="21">
        <f t="shared" si="13"/>
        <v>175108855753</v>
      </c>
    </row>
    <row r="5069" spans="1:4" ht="14">
      <c r="A5069" s="16">
        <v>45444</v>
      </c>
      <c r="B5069" s="17">
        <v>67714.350000000006</v>
      </c>
      <c r="C5069" s="18">
        <v>11641495604</v>
      </c>
      <c r="D5069" s="21">
        <f t="shared" si="13"/>
        <v>173298831369</v>
      </c>
    </row>
    <row r="5070" spans="1:4" ht="14">
      <c r="A5070" s="16">
        <v>45445</v>
      </c>
      <c r="B5070" s="17">
        <v>67805.490000000005</v>
      </c>
      <c r="C5070" s="18">
        <v>17110588415</v>
      </c>
      <c r="D5070" s="21">
        <f t="shared" si="13"/>
        <v>169467255232</v>
      </c>
    </row>
    <row r="5071" spans="1:4" ht="14">
      <c r="A5071" s="16">
        <v>45446</v>
      </c>
      <c r="B5071" s="17">
        <v>68833.3</v>
      </c>
      <c r="C5071" s="18">
        <v>32401285324</v>
      </c>
      <c r="D5071" s="21">
        <f t="shared" si="13"/>
        <v>170949409910</v>
      </c>
    </row>
    <row r="5072" spans="1:4" ht="14">
      <c r="A5072" s="16">
        <v>45447</v>
      </c>
      <c r="B5072" s="17">
        <v>70554.09</v>
      </c>
      <c r="C5072" s="18">
        <v>62214120727</v>
      </c>
      <c r="D5072" s="21">
        <f t="shared" si="13"/>
        <v>177479704517</v>
      </c>
    </row>
    <row r="5073" spans="1:4" ht="14">
      <c r="A5073" s="16">
        <v>45448</v>
      </c>
      <c r="B5073" s="17">
        <v>71087.44</v>
      </c>
      <c r="C5073" s="18">
        <v>32810771409</v>
      </c>
      <c r="D5073" s="21">
        <f t="shared" si="13"/>
        <v>206971559279</v>
      </c>
    </row>
    <row r="5074" spans="1:4" ht="14">
      <c r="A5074" s="16">
        <v>45449</v>
      </c>
      <c r="B5074" s="17">
        <v>70788.5</v>
      </c>
      <c r="C5074" s="18">
        <v>25223152007</v>
      </c>
      <c r="D5074" s="21">
        <f t="shared" si="13"/>
        <v>213075257782</v>
      </c>
    </row>
    <row r="5075" spans="1:4" ht="14">
      <c r="A5075" s="16">
        <v>45450</v>
      </c>
      <c r="B5075" s="17">
        <v>69338.16</v>
      </c>
      <c r="C5075" s="18">
        <v>36188381096</v>
      </c>
      <c r="D5075" s="21">
        <f t="shared" si="13"/>
        <v>208788697255</v>
      </c>
    </row>
    <row r="5076" spans="1:4" ht="14">
      <c r="A5076" s="16">
        <v>45451</v>
      </c>
      <c r="B5076" s="17">
        <v>69310.11</v>
      </c>
      <c r="C5076" s="18">
        <v>14262185861</v>
      </c>
      <c r="D5076" s="21">
        <f t="shared" si="13"/>
        <v>217589794582</v>
      </c>
    </row>
    <row r="5077" spans="1:4" ht="14">
      <c r="A5077" s="16">
        <v>45452</v>
      </c>
      <c r="B5077" s="17">
        <v>69644.02</v>
      </c>
      <c r="C5077" s="18">
        <v>62214120727</v>
      </c>
      <c r="D5077" s="21">
        <f t="shared" si="13"/>
        <v>220210484839</v>
      </c>
    </row>
    <row r="5078" spans="1:4" ht="14">
      <c r="A5078" s="16">
        <v>45453</v>
      </c>
      <c r="B5078" s="17">
        <v>69465.94</v>
      </c>
      <c r="C5078" s="18">
        <v>20597699541</v>
      </c>
      <c r="D5078" s="21">
        <f t="shared" si="13"/>
        <v>265314017151</v>
      </c>
    </row>
    <row r="5079" spans="1:4" ht="14">
      <c r="A5079" s="16">
        <v>45454</v>
      </c>
      <c r="B5079" s="17">
        <v>67368.259999999995</v>
      </c>
      <c r="C5079" s="18">
        <v>37116136345</v>
      </c>
      <c r="D5079" s="21">
        <f t="shared" si="13"/>
        <v>253510431368</v>
      </c>
    </row>
    <row r="5080" spans="1:4" ht="14">
      <c r="A5080" s="16">
        <v>45455</v>
      </c>
      <c r="B5080" s="17">
        <v>68213.83</v>
      </c>
      <c r="C5080" s="18">
        <v>34497940694</v>
      </c>
      <c r="D5080" s="21">
        <f t="shared" si="13"/>
        <v>228412446986</v>
      </c>
    </row>
    <row r="5081" spans="1:4" ht="14">
      <c r="A5081" s="16">
        <v>45456</v>
      </c>
      <c r="B5081" s="17">
        <v>66783.490000000005</v>
      </c>
      <c r="C5081" s="18">
        <v>28955204146</v>
      </c>
      <c r="D5081" s="21">
        <f t="shared" si="13"/>
        <v>230099616271</v>
      </c>
    </row>
    <row r="5082" spans="1:4" ht="14">
      <c r="A5082" s="16">
        <v>45457</v>
      </c>
      <c r="B5082" s="17">
        <v>65982.19</v>
      </c>
      <c r="C5082" s="18">
        <v>27403884779</v>
      </c>
      <c r="D5082" s="21">
        <f t="shared" si="13"/>
        <v>233831668410</v>
      </c>
    </row>
    <row r="5083" spans="1:4" ht="14">
      <c r="A5083" s="16">
        <v>45458</v>
      </c>
      <c r="B5083" s="17">
        <v>66204.899999999994</v>
      </c>
      <c r="C5083" s="18">
        <v>14121265576</v>
      </c>
      <c r="D5083" s="21">
        <f t="shared" si="13"/>
        <v>225047172093</v>
      </c>
    </row>
    <row r="5084" spans="1:4" ht="14">
      <c r="A5084" s="16">
        <v>45459</v>
      </c>
      <c r="B5084" s="17">
        <v>66622.600000000006</v>
      </c>
      <c r="C5084" s="18">
        <v>13281140541</v>
      </c>
      <c r="D5084" s="21">
        <f t="shared" si="13"/>
        <v>224906251808</v>
      </c>
    </row>
    <row r="5085" spans="1:4" ht="14">
      <c r="A5085" s="16">
        <v>45460</v>
      </c>
      <c r="B5085" s="17">
        <v>66483.88</v>
      </c>
      <c r="C5085" s="18">
        <v>30006354476</v>
      </c>
      <c r="D5085" s="21">
        <f t="shared" si="13"/>
        <v>175973271622</v>
      </c>
    </row>
    <row r="5086" spans="1:4" ht="14">
      <c r="A5086" s="16">
        <v>45461</v>
      </c>
      <c r="B5086" s="17">
        <v>65112.12</v>
      </c>
      <c r="C5086" s="18">
        <v>39481285950</v>
      </c>
      <c r="D5086" s="21">
        <f t="shared" si="13"/>
        <v>185381926557</v>
      </c>
    </row>
    <row r="5087" spans="1:4" ht="14">
      <c r="A5087" s="16">
        <v>45462</v>
      </c>
      <c r="B5087" s="17">
        <v>64878.71</v>
      </c>
      <c r="C5087" s="18">
        <v>21103423504</v>
      </c>
      <c r="D5087" s="21">
        <f t="shared" si="13"/>
        <v>187747076162</v>
      </c>
    </row>
    <row r="5088" spans="1:4" ht="14">
      <c r="A5088" s="16">
        <v>45463</v>
      </c>
      <c r="B5088" s="17">
        <v>64897.7</v>
      </c>
      <c r="C5088" s="18">
        <v>25641109124</v>
      </c>
      <c r="D5088" s="21">
        <f t="shared" si="13"/>
        <v>174352558972</v>
      </c>
    </row>
    <row r="5089" spans="1:4" ht="14">
      <c r="A5089" s="16">
        <v>45464</v>
      </c>
      <c r="B5089" s="17">
        <v>64086.05</v>
      </c>
      <c r="C5089" s="18">
        <v>26188171739</v>
      </c>
      <c r="D5089" s="21">
        <f t="shared" si="13"/>
        <v>171038463950</v>
      </c>
    </row>
    <row r="5090" spans="1:4" ht="14">
      <c r="A5090" s="16">
        <v>45465</v>
      </c>
      <c r="B5090" s="17">
        <v>64258.14</v>
      </c>
      <c r="C5090" s="18">
        <v>9858198793</v>
      </c>
      <c r="D5090" s="21">
        <f t="shared" si="13"/>
        <v>169822750910</v>
      </c>
    </row>
    <row r="5091" spans="1:4" ht="14">
      <c r="A5091" s="16">
        <v>45466</v>
      </c>
      <c r="B5091" s="17">
        <v>63345.02</v>
      </c>
      <c r="C5091" s="18">
        <v>11170471802</v>
      </c>
      <c r="D5091" s="21">
        <f t="shared" si="13"/>
        <v>165559684127</v>
      </c>
    </row>
    <row r="5092" spans="1:4" ht="14">
      <c r="A5092" s="16">
        <v>45467</v>
      </c>
      <c r="B5092" s="17">
        <v>60258.96</v>
      </c>
      <c r="C5092" s="18">
        <v>43152133651</v>
      </c>
      <c r="D5092" s="21">
        <f t="shared" si="13"/>
        <v>163449015388</v>
      </c>
    </row>
    <row r="5093" spans="1:4" ht="14">
      <c r="A5093" s="16">
        <v>45468</v>
      </c>
      <c r="B5093" s="17">
        <v>61739.67</v>
      </c>
      <c r="C5093" s="18">
        <v>29201215431</v>
      </c>
      <c r="D5093" s="21">
        <f t="shared" si="13"/>
        <v>176594794563</v>
      </c>
    </row>
    <row r="5094" spans="1:4" ht="14">
      <c r="A5094" s="16">
        <v>45469</v>
      </c>
      <c r="B5094" s="17">
        <v>60794.48</v>
      </c>
      <c r="C5094" s="18">
        <v>22506003064</v>
      </c>
      <c r="D5094" s="21">
        <f t="shared" ref="D5094:D5348" si="14">IF(C5087&lt;&gt;"",SUM(C5087:C5093),"")</f>
        <v>166314724044</v>
      </c>
    </row>
    <row r="5095" spans="1:4" ht="14">
      <c r="A5095" s="16">
        <v>45470</v>
      </c>
      <c r="B5095" s="17">
        <v>61569.919999999998</v>
      </c>
      <c r="C5095" s="18">
        <v>21231745045</v>
      </c>
      <c r="D5095" s="21">
        <f t="shared" si="14"/>
        <v>167717303604</v>
      </c>
    </row>
    <row r="5096" spans="1:4" ht="14">
      <c r="A5096" s="16">
        <v>45471</v>
      </c>
      <c r="B5096" s="17">
        <v>60303.31</v>
      </c>
      <c r="C5096" s="18">
        <v>24952866877</v>
      </c>
      <c r="D5096" s="21">
        <f t="shared" si="14"/>
        <v>163307939525</v>
      </c>
    </row>
    <row r="5097" spans="1:4" ht="14">
      <c r="A5097" s="16">
        <v>45472</v>
      </c>
      <c r="B5097" s="17">
        <v>60889.33</v>
      </c>
      <c r="C5097" s="18">
        <v>12652903396</v>
      </c>
      <c r="D5097" s="21">
        <f t="shared" si="14"/>
        <v>162072634663</v>
      </c>
    </row>
    <row r="5098" spans="1:4" ht="14">
      <c r="A5098" s="16">
        <v>45473</v>
      </c>
      <c r="B5098" s="17">
        <v>62763.28</v>
      </c>
      <c r="C5098" s="18">
        <v>17333226409</v>
      </c>
      <c r="D5098" s="21">
        <f t="shared" si="14"/>
        <v>164867339266</v>
      </c>
    </row>
    <row r="5099" spans="1:4" ht="14">
      <c r="A5099" s="16">
        <v>45474</v>
      </c>
      <c r="B5099" s="17">
        <v>62835.4</v>
      </c>
      <c r="C5099" s="18">
        <v>25468379421</v>
      </c>
      <c r="D5099" s="21">
        <f t="shared" si="14"/>
        <v>171030093873</v>
      </c>
    </row>
    <row r="5100" spans="1:4" ht="14">
      <c r="A5100" s="16">
        <v>45475</v>
      </c>
      <c r="B5100" s="17">
        <v>62028.62</v>
      </c>
      <c r="C5100" s="18">
        <v>20151616992</v>
      </c>
      <c r="D5100" s="21">
        <f t="shared" si="14"/>
        <v>153346339643</v>
      </c>
    </row>
    <row r="5101" spans="1:4" ht="14">
      <c r="A5101" s="16">
        <v>45476</v>
      </c>
      <c r="B5101" s="17">
        <v>60216.39</v>
      </c>
      <c r="C5101" s="18">
        <v>29756701685</v>
      </c>
      <c r="D5101" s="21">
        <f t="shared" si="14"/>
        <v>144296741204</v>
      </c>
    </row>
    <row r="5102" spans="1:4" ht="14">
      <c r="A5102" s="16">
        <v>45477</v>
      </c>
      <c r="B5102" s="17">
        <v>57418.239999999998</v>
      </c>
      <c r="C5102" s="18">
        <v>41149609230</v>
      </c>
      <c r="D5102" s="21">
        <f t="shared" si="14"/>
        <v>151547439825</v>
      </c>
    </row>
    <row r="5103" spans="1:4" ht="14">
      <c r="A5103" s="16">
        <v>45478</v>
      </c>
      <c r="B5103" s="17">
        <v>56720.99</v>
      </c>
      <c r="C5103" s="18">
        <v>55417544033</v>
      </c>
      <c r="D5103" s="21">
        <f t="shared" si="14"/>
        <v>171465304010</v>
      </c>
    </row>
    <row r="5104" spans="1:4" ht="14">
      <c r="A5104" s="16">
        <v>45479</v>
      </c>
      <c r="B5104" s="17">
        <v>58259.22</v>
      </c>
      <c r="C5104" s="18">
        <v>20610320577</v>
      </c>
      <c r="D5104" s="21">
        <f t="shared" si="14"/>
        <v>201929981166</v>
      </c>
    </row>
    <row r="5105" spans="1:4" ht="14">
      <c r="A5105" s="16">
        <v>45480</v>
      </c>
      <c r="B5105" s="17">
        <v>56112.57</v>
      </c>
      <c r="C5105" s="18">
        <v>20553359505</v>
      </c>
      <c r="D5105" s="21">
        <f t="shared" si="14"/>
        <v>209887398347</v>
      </c>
    </row>
    <row r="5106" spans="1:4" ht="14">
      <c r="A5106" s="16">
        <v>45481</v>
      </c>
      <c r="B5106" s="17">
        <v>56691.91</v>
      </c>
      <c r="C5106" s="18">
        <v>39766159899</v>
      </c>
      <c r="D5106" s="21">
        <f t="shared" si="14"/>
        <v>213107531443</v>
      </c>
    </row>
    <row r="5107" spans="1:4" ht="14">
      <c r="A5107" s="16">
        <v>45482</v>
      </c>
      <c r="B5107" s="17">
        <v>57981.43</v>
      </c>
      <c r="C5107" s="18">
        <v>27849512607</v>
      </c>
      <c r="D5107" s="21">
        <f t="shared" si="14"/>
        <v>227405311921</v>
      </c>
    </row>
    <row r="5108" spans="1:4" ht="14">
      <c r="A5108" s="16">
        <v>45483</v>
      </c>
      <c r="B5108" s="17">
        <v>57722.01</v>
      </c>
      <c r="C5108" s="18">
        <v>26175260526</v>
      </c>
      <c r="D5108" s="21">
        <f t="shared" si="14"/>
        <v>235103207536</v>
      </c>
    </row>
    <row r="5109" spans="1:4" ht="14">
      <c r="A5109" s="16">
        <v>45484</v>
      </c>
      <c r="B5109" s="17">
        <v>57307.71</v>
      </c>
      <c r="C5109" s="18">
        <v>28707803842</v>
      </c>
      <c r="D5109" s="21">
        <f t="shared" si="14"/>
        <v>231521766377</v>
      </c>
    </row>
    <row r="5110" spans="1:4" ht="14">
      <c r="A5110" s="16">
        <v>45485</v>
      </c>
      <c r="B5110" s="17">
        <v>57859.12</v>
      </c>
      <c r="C5110" s="18">
        <v>25604805221</v>
      </c>
      <c r="D5110" s="21">
        <f t="shared" si="14"/>
        <v>219079960989</v>
      </c>
    </row>
    <row r="5111" spans="1:4" ht="14">
      <c r="A5111" s="16">
        <v>45486</v>
      </c>
      <c r="B5111" s="17">
        <v>59329.04</v>
      </c>
      <c r="C5111" s="18">
        <v>17080061806</v>
      </c>
      <c r="D5111" s="21">
        <f t="shared" si="14"/>
        <v>189267222177</v>
      </c>
    </row>
    <row r="5112" spans="1:4" ht="14">
      <c r="A5112" s="16">
        <v>45487</v>
      </c>
      <c r="B5112" s="17">
        <v>61015.03</v>
      </c>
      <c r="C5112" s="18">
        <v>22223416061</v>
      </c>
      <c r="D5112" s="21">
        <f t="shared" si="14"/>
        <v>185736963406</v>
      </c>
    </row>
    <row r="5113" spans="1:4" ht="14">
      <c r="A5113" s="16">
        <v>45488</v>
      </c>
      <c r="B5113" s="17">
        <v>64734.76</v>
      </c>
      <c r="C5113" s="18">
        <v>38094526099</v>
      </c>
      <c r="D5113" s="21">
        <f t="shared" si="14"/>
        <v>187407019962</v>
      </c>
    </row>
    <row r="5114" spans="1:4" ht="14">
      <c r="A5114" s="16">
        <v>45489</v>
      </c>
      <c r="B5114" s="17">
        <v>65118.83</v>
      </c>
      <c r="C5114" s="18">
        <v>41617346768</v>
      </c>
      <c r="D5114" s="21">
        <f t="shared" si="14"/>
        <v>185735386162</v>
      </c>
    </row>
    <row r="5115" spans="1:4" ht="14">
      <c r="A5115" s="16">
        <v>45490</v>
      </c>
      <c r="B5115" s="17">
        <v>64201.37</v>
      </c>
      <c r="C5115" s="18">
        <v>32525071311</v>
      </c>
      <c r="D5115" s="21">
        <f t="shared" si="14"/>
        <v>199503220323</v>
      </c>
    </row>
    <row r="5116" spans="1:4" ht="14">
      <c r="A5116" s="16">
        <v>45491</v>
      </c>
      <c r="B5116" s="17">
        <v>63984.3</v>
      </c>
      <c r="C5116" s="18">
        <v>27239305337</v>
      </c>
      <c r="D5116" s="21">
        <f t="shared" si="14"/>
        <v>205853031108</v>
      </c>
    </row>
    <row r="5117" spans="1:4" ht="14">
      <c r="A5117" s="16">
        <v>45492</v>
      </c>
      <c r="B5117" s="17">
        <v>66755.78</v>
      </c>
      <c r="C5117" s="18">
        <v>37003855410</v>
      </c>
      <c r="D5117" s="21">
        <f t="shared" si="14"/>
        <v>204384532603</v>
      </c>
    </row>
    <row r="5118" spans="1:4" ht="14">
      <c r="A5118" s="16">
        <v>45493</v>
      </c>
      <c r="B5118" s="17">
        <v>67185.5</v>
      </c>
      <c r="C5118" s="18">
        <v>19029581250</v>
      </c>
      <c r="D5118" s="21">
        <f t="shared" si="14"/>
        <v>215783582792</v>
      </c>
    </row>
    <row r="5119" spans="1:4" ht="14">
      <c r="A5119" s="16">
        <v>45494</v>
      </c>
      <c r="B5119" s="17">
        <v>68056.62</v>
      </c>
      <c r="C5119" s="18">
        <v>26652190004</v>
      </c>
      <c r="D5119" s="21">
        <f t="shared" si="14"/>
        <v>217733102236</v>
      </c>
    </row>
    <row r="5120" spans="1:4" ht="14">
      <c r="A5120" s="16">
        <v>45495</v>
      </c>
      <c r="B5120" s="17">
        <v>67535.199999999997</v>
      </c>
      <c r="C5120" s="18">
        <v>42649109453</v>
      </c>
      <c r="D5120" s="21">
        <f t="shared" si="14"/>
        <v>222161876179</v>
      </c>
    </row>
    <row r="5121" spans="1:4" ht="14">
      <c r="A5121" s="16">
        <v>45496</v>
      </c>
      <c r="B5121" s="17">
        <v>65916.41</v>
      </c>
      <c r="C5121" s="18">
        <v>35605668666</v>
      </c>
      <c r="D5121" s="21">
        <f t="shared" si="14"/>
        <v>226716459533</v>
      </c>
    </row>
    <row r="5122" spans="1:4" ht="14">
      <c r="A5122" s="16">
        <v>45497</v>
      </c>
      <c r="B5122" s="17">
        <v>65353.39</v>
      </c>
      <c r="C5122" s="18">
        <v>27470942309</v>
      </c>
      <c r="D5122" s="21">
        <f t="shared" si="14"/>
        <v>220704781431</v>
      </c>
    </row>
    <row r="5123" spans="1:4" ht="14">
      <c r="A5123" s="16">
        <v>45498</v>
      </c>
      <c r="B5123" s="17">
        <v>65722.06</v>
      </c>
      <c r="C5123" s="18">
        <v>38315761670</v>
      </c>
      <c r="D5123" s="21">
        <f t="shared" si="14"/>
        <v>215650652429</v>
      </c>
    </row>
    <row r="5124" spans="1:4" ht="14">
      <c r="A5124" s="16">
        <v>45499</v>
      </c>
      <c r="B5124" s="17">
        <v>67912.240000000005</v>
      </c>
      <c r="C5124" s="18">
        <v>30488630457</v>
      </c>
      <c r="D5124" s="21">
        <f t="shared" si="14"/>
        <v>226727108762</v>
      </c>
    </row>
    <row r="5125" spans="1:4" ht="14">
      <c r="A5125" s="16">
        <v>45500</v>
      </c>
      <c r="B5125" s="17">
        <v>68077.37</v>
      </c>
      <c r="C5125" s="18">
        <v>34691905492</v>
      </c>
      <c r="D5125" s="21">
        <f t="shared" si="14"/>
        <v>220211883809</v>
      </c>
    </row>
    <row r="5126" spans="1:4" ht="14">
      <c r="A5126" s="16">
        <v>45501</v>
      </c>
      <c r="B5126" s="17">
        <v>68170.67</v>
      </c>
      <c r="C5126" s="18">
        <v>18043166945</v>
      </c>
      <c r="D5126" s="21">
        <f t="shared" si="14"/>
        <v>235874208051</v>
      </c>
    </row>
    <row r="5127" spans="1:4" ht="14">
      <c r="A5127" s="16">
        <v>45502</v>
      </c>
      <c r="B5127" s="17">
        <v>66867.17</v>
      </c>
      <c r="C5127" s="18">
        <v>40780682628</v>
      </c>
      <c r="D5127" s="21">
        <f t="shared" si="14"/>
        <v>227265184992</v>
      </c>
    </row>
    <row r="5128" spans="1:4" ht="14">
      <c r="A5128" s="16">
        <v>45503</v>
      </c>
      <c r="B5128" s="17">
        <v>66438.600000000006</v>
      </c>
      <c r="C5128" s="18">
        <v>31380492109</v>
      </c>
      <c r="D5128" s="21">
        <f t="shared" si="14"/>
        <v>225396758167</v>
      </c>
    </row>
    <row r="5129" spans="1:4" ht="14">
      <c r="A5129" s="16">
        <v>45504</v>
      </c>
      <c r="B5129" s="17">
        <v>64690.63</v>
      </c>
      <c r="C5129" s="18">
        <v>31292785994</v>
      </c>
      <c r="D5129" s="21">
        <f t="shared" si="14"/>
        <v>221171581610</v>
      </c>
    </row>
    <row r="5130" spans="1:4" ht="14">
      <c r="A5130" s="16">
        <v>45505</v>
      </c>
      <c r="B5130" s="17">
        <v>65178.06</v>
      </c>
      <c r="C5130" s="18">
        <v>40975554494</v>
      </c>
      <c r="D5130" s="21">
        <f t="shared" si="14"/>
        <v>224993425295</v>
      </c>
    </row>
    <row r="5131" spans="1:4" ht="14">
      <c r="A5131" s="16">
        <v>45506</v>
      </c>
      <c r="B5131" s="17">
        <v>61506.77</v>
      </c>
      <c r="C5131" s="18">
        <v>43060875727</v>
      </c>
      <c r="D5131" s="21">
        <f t="shared" si="14"/>
        <v>227653218119</v>
      </c>
    </row>
    <row r="5132" spans="1:4" ht="14">
      <c r="A5132" s="16">
        <v>45507</v>
      </c>
      <c r="B5132" s="17">
        <v>60688.24</v>
      </c>
      <c r="C5132" s="18">
        <v>31753030589</v>
      </c>
      <c r="D5132" s="21">
        <f t="shared" si="14"/>
        <v>240225463389</v>
      </c>
    </row>
    <row r="5133" spans="1:4" ht="14">
      <c r="A5133" s="16">
        <v>45508</v>
      </c>
      <c r="B5133" s="17">
        <v>58306.26</v>
      </c>
      <c r="C5133" s="18">
        <v>31758917219</v>
      </c>
      <c r="D5133" s="21">
        <f t="shared" si="14"/>
        <v>237286588486</v>
      </c>
    </row>
    <row r="5134" spans="1:4" ht="14">
      <c r="A5134" s="16">
        <v>45509</v>
      </c>
      <c r="B5134" s="17">
        <v>54343.63</v>
      </c>
      <c r="C5134" s="18">
        <v>108991085584</v>
      </c>
      <c r="D5134" s="21">
        <f t="shared" si="14"/>
        <v>251002338760</v>
      </c>
    </row>
    <row r="5135" spans="1:4" ht="14">
      <c r="A5135" s="16">
        <v>45510</v>
      </c>
      <c r="B5135" s="17">
        <v>56047.47</v>
      </c>
      <c r="C5135" s="18">
        <v>49300484106</v>
      </c>
      <c r="D5135" s="21">
        <f t="shared" si="14"/>
        <v>319212741716</v>
      </c>
    </row>
    <row r="5136" spans="1:4" ht="14">
      <c r="A5136" s="16">
        <v>45511</v>
      </c>
      <c r="B5136" s="17">
        <v>55129.74</v>
      </c>
      <c r="C5136" s="18">
        <v>41637562185</v>
      </c>
      <c r="D5136" s="21">
        <f t="shared" si="14"/>
        <v>337132733713</v>
      </c>
    </row>
    <row r="5137" spans="1:4" ht="14">
      <c r="A5137" s="16">
        <v>45512</v>
      </c>
      <c r="B5137" s="17">
        <v>60750.400000000001</v>
      </c>
      <c r="C5137" s="18">
        <v>45298472567</v>
      </c>
      <c r="D5137" s="21">
        <f t="shared" si="14"/>
        <v>347477509904</v>
      </c>
    </row>
    <row r="5138" spans="1:4" ht="14">
      <c r="A5138" s="16">
        <v>45513</v>
      </c>
      <c r="B5138" s="17">
        <v>60720.94</v>
      </c>
      <c r="C5138" s="18">
        <v>33425553115</v>
      </c>
      <c r="D5138" s="21">
        <f t="shared" si="14"/>
        <v>351800427977</v>
      </c>
    </row>
    <row r="5139" spans="1:4" ht="14">
      <c r="A5139" s="16">
        <v>45514</v>
      </c>
      <c r="B5139" s="17">
        <v>60871.56</v>
      </c>
      <c r="C5139" s="18">
        <v>15745822278</v>
      </c>
      <c r="D5139" s="21">
        <f t="shared" si="14"/>
        <v>342165105365</v>
      </c>
    </row>
    <row r="5140" spans="1:4" ht="14">
      <c r="A5140" s="16">
        <v>45515</v>
      </c>
      <c r="B5140" s="17">
        <v>58836.1</v>
      </c>
      <c r="C5140" s="18">
        <v>22759754812</v>
      </c>
      <c r="D5140" s="21">
        <f t="shared" si="14"/>
        <v>326157897054</v>
      </c>
    </row>
    <row r="5141" spans="1:4" ht="14">
      <c r="A5141" s="16">
        <v>45516</v>
      </c>
      <c r="B5141" s="17">
        <v>59394.16</v>
      </c>
      <c r="C5141" s="18">
        <v>37078637820</v>
      </c>
      <c r="D5141" s="21">
        <f t="shared" si="14"/>
        <v>317158734647</v>
      </c>
    </row>
    <row r="5142" spans="1:4" ht="14">
      <c r="A5142" s="16">
        <v>45517</v>
      </c>
      <c r="B5142" s="17">
        <v>60536.25</v>
      </c>
      <c r="C5142" s="18">
        <v>30327698167</v>
      </c>
      <c r="D5142" s="21">
        <f t="shared" si="14"/>
        <v>245246286883</v>
      </c>
    </row>
    <row r="5143" spans="1:4" ht="14">
      <c r="A5143" s="16">
        <v>45518</v>
      </c>
      <c r="B5143" s="17">
        <v>58840.65</v>
      </c>
      <c r="C5143" s="18">
        <v>29961696180</v>
      </c>
      <c r="D5143" s="21">
        <f t="shared" si="14"/>
        <v>226273500944</v>
      </c>
    </row>
    <row r="5144" spans="1:4" ht="14">
      <c r="A5144" s="16">
        <v>45519</v>
      </c>
      <c r="B5144" s="17">
        <v>57644.19</v>
      </c>
      <c r="C5144" s="18">
        <v>35682112440</v>
      </c>
      <c r="D5144" s="21">
        <f t="shared" si="14"/>
        <v>214597634939</v>
      </c>
    </row>
    <row r="5145" spans="1:4" ht="14">
      <c r="A5145" s="16">
        <v>45520</v>
      </c>
      <c r="B5145" s="17">
        <v>58927.28</v>
      </c>
      <c r="C5145" s="18">
        <v>29350938673</v>
      </c>
      <c r="D5145" s="21">
        <f t="shared" si="14"/>
        <v>204981274812</v>
      </c>
    </row>
    <row r="5146" spans="1:4" ht="14">
      <c r="A5146" s="16">
        <v>45521</v>
      </c>
      <c r="B5146" s="17">
        <v>59414.67</v>
      </c>
      <c r="C5146" s="18">
        <v>13589684021</v>
      </c>
      <c r="D5146" s="21">
        <f t="shared" si="14"/>
        <v>200906660370</v>
      </c>
    </row>
    <row r="5147" spans="1:4" ht="14">
      <c r="A5147" s="16">
        <v>45522</v>
      </c>
      <c r="B5147" s="17">
        <v>58793.21</v>
      </c>
      <c r="C5147" s="18">
        <v>17740625837</v>
      </c>
      <c r="D5147" s="21">
        <f t="shared" si="14"/>
        <v>198750522113</v>
      </c>
    </row>
    <row r="5148" spans="1:4" ht="14">
      <c r="A5148" s="16">
        <v>45523</v>
      </c>
      <c r="B5148" s="17">
        <v>59411.519999999997</v>
      </c>
      <c r="C5148" s="18">
        <v>25911207712</v>
      </c>
      <c r="D5148" s="21">
        <f t="shared" si="14"/>
        <v>193731393138</v>
      </c>
    </row>
    <row r="5149" spans="1:4" ht="14">
      <c r="A5149" s="16">
        <v>45524</v>
      </c>
      <c r="B5149" s="17">
        <v>59123.3</v>
      </c>
      <c r="C5149" s="18">
        <v>31613400008</v>
      </c>
      <c r="D5149" s="21">
        <f t="shared" si="14"/>
        <v>182563963030</v>
      </c>
    </row>
    <row r="5150" spans="1:4" ht="14">
      <c r="A5150" s="16">
        <v>45525</v>
      </c>
      <c r="B5150" s="17">
        <v>61133.03</v>
      </c>
      <c r="C5150" s="18">
        <v>32731154072</v>
      </c>
      <c r="D5150" s="21">
        <f t="shared" si="14"/>
        <v>183849664871</v>
      </c>
    </row>
    <row r="5151" spans="1:4" ht="14">
      <c r="A5151" s="16">
        <v>45526</v>
      </c>
      <c r="B5151" s="17">
        <v>60394.47</v>
      </c>
      <c r="C5151" s="18">
        <v>27625734377</v>
      </c>
      <c r="D5151" s="21">
        <f t="shared" si="14"/>
        <v>186619122763</v>
      </c>
    </row>
    <row r="5152" spans="1:4" ht="14">
      <c r="A5152" s="16">
        <v>45527</v>
      </c>
      <c r="B5152" s="17">
        <v>64106.8</v>
      </c>
      <c r="C5152" s="18">
        <v>42530509233</v>
      </c>
      <c r="D5152" s="21">
        <f t="shared" si="14"/>
        <v>178562744700</v>
      </c>
    </row>
    <row r="5153" spans="1:4" ht="14">
      <c r="A5153" s="16">
        <v>45528</v>
      </c>
      <c r="B5153" s="17">
        <v>64023.23</v>
      </c>
      <c r="C5153" s="18">
        <v>21430585163</v>
      </c>
      <c r="D5153" s="21">
        <f t="shared" si="14"/>
        <v>191742315260</v>
      </c>
    </row>
    <row r="5154" spans="1:4" ht="14">
      <c r="A5154" s="16">
        <v>45529</v>
      </c>
      <c r="B5154" s="17">
        <v>64498.02</v>
      </c>
      <c r="C5154" s="18">
        <v>18827683555</v>
      </c>
      <c r="D5154" s="21">
        <f t="shared" si="14"/>
        <v>199583216402</v>
      </c>
    </row>
    <row r="5155" spans="1:4" ht="14">
      <c r="A5155" s="16">
        <v>45530</v>
      </c>
      <c r="B5155" s="17">
        <v>62983.44</v>
      </c>
      <c r="C5155" s="18">
        <v>27682040631</v>
      </c>
      <c r="D5155" s="21">
        <f t="shared" si="14"/>
        <v>200670274120</v>
      </c>
    </row>
    <row r="5156" spans="1:4" ht="14">
      <c r="A5156" s="16">
        <v>45531</v>
      </c>
      <c r="B5156" s="17">
        <v>59548.01</v>
      </c>
      <c r="C5156" s="18">
        <v>39103882198</v>
      </c>
      <c r="D5156" s="21">
        <f t="shared" si="14"/>
        <v>202441107039</v>
      </c>
    </row>
    <row r="5157" spans="1:4" ht="14">
      <c r="A5157" s="16">
        <v>45532</v>
      </c>
      <c r="B5157" s="17">
        <v>59100.77</v>
      </c>
      <c r="C5157" s="18">
        <v>40289564698</v>
      </c>
      <c r="D5157" s="21">
        <f t="shared" si="14"/>
        <v>209931589229</v>
      </c>
    </row>
    <row r="5158" spans="1:4" ht="14">
      <c r="A5158" s="16">
        <v>45533</v>
      </c>
      <c r="B5158" s="17">
        <v>59339.79</v>
      </c>
      <c r="C5158" s="18">
        <v>32224990582</v>
      </c>
      <c r="D5158" s="21">
        <f t="shared" si="14"/>
        <v>217489999855</v>
      </c>
    </row>
    <row r="5159" spans="1:4" ht="14">
      <c r="A5159" s="16">
        <v>45534</v>
      </c>
      <c r="B5159" s="17">
        <v>59142.94</v>
      </c>
      <c r="C5159" s="18">
        <v>32292756405</v>
      </c>
      <c r="D5159" s="21">
        <f t="shared" si="14"/>
        <v>222089256060</v>
      </c>
    </row>
    <row r="5160" spans="1:4" ht="14">
      <c r="A5160" s="16">
        <v>45535</v>
      </c>
      <c r="B5160" s="17">
        <v>58959.93</v>
      </c>
      <c r="C5160" s="18">
        <v>12403470760</v>
      </c>
      <c r="D5160" s="21">
        <f t="shared" si="14"/>
        <v>211851503232</v>
      </c>
    </row>
    <row r="5161" spans="1:4" ht="14">
      <c r="A5161" s="16">
        <v>45536</v>
      </c>
      <c r="B5161" s="17">
        <v>57349.08</v>
      </c>
      <c r="C5161" s="18">
        <v>24592449997</v>
      </c>
      <c r="D5161" s="21">
        <f t="shared" si="14"/>
        <v>202824388829</v>
      </c>
    </row>
    <row r="5162" spans="1:4" ht="14">
      <c r="A5162" s="16">
        <v>45537</v>
      </c>
      <c r="B5162" s="17">
        <v>59159.02</v>
      </c>
      <c r="C5162" s="18">
        <v>27036454524</v>
      </c>
      <c r="D5162" s="21">
        <f t="shared" si="14"/>
        <v>208589155271</v>
      </c>
    </row>
    <row r="5163" spans="1:4" ht="14">
      <c r="A5163" s="16">
        <v>45538</v>
      </c>
      <c r="B5163" s="17">
        <v>57637.78</v>
      </c>
      <c r="C5163" s="18">
        <v>26666961053</v>
      </c>
      <c r="D5163" s="21">
        <f t="shared" si="14"/>
        <v>207943569164</v>
      </c>
    </row>
    <row r="5164" spans="1:4" ht="14">
      <c r="A5164" s="16">
        <v>45539</v>
      </c>
      <c r="B5164" s="17">
        <v>58033.4</v>
      </c>
      <c r="C5164" s="18">
        <v>35627680312</v>
      </c>
      <c r="D5164" s="21">
        <f t="shared" si="14"/>
        <v>195506648019</v>
      </c>
    </row>
    <row r="5165" spans="1:4" ht="14">
      <c r="A5165" s="16">
        <v>45540</v>
      </c>
      <c r="B5165" s="17">
        <v>56160</v>
      </c>
      <c r="C5165" s="18">
        <v>31030280656</v>
      </c>
      <c r="D5165" s="21">
        <f t="shared" si="14"/>
        <v>190844763633</v>
      </c>
    </row>
    <row r="5166" spans="1:4" ht="14">
      <c r="A5166" s="16">
        <v>45541</v>
      </c>
      <c r="B5166" s="17">
        <v>53838.95</v>
      </c>
      <c r="C5166" s="18">
        <v>49361693566</v>
      </c>
      <c r="D5166" s="21">
        <f t="shared" si="14"/>
        <v>189650053707</v>
      </c>
    </row>
    <row r="5167" spans="1:4" ht="14">
      <c r="A5167" s="16">
        <v>45542</v>
      </c>
      <c r="B5167" s="17">
        <v>54066.44</v>
      </c>
      <c r="C5167" s="18">
        <v>19061486526</v>
      </c>
      <c r="D5167" s="21">
        <f t="shared" si="14"/>
        <v>206718990868</v>
      </c>
    </row>
    <row r="5168" spans="1:4" ht="14">
      <c r="A5168" s="16">
        <v>45543</v>
      </c>
      <c r="B5168" s="17">
        <v>54859.26</v>
      </c>
      <c r="C5168" s="18">
        <v>18268287531</v>
      </c>
      <c r="D5168" s="21">
        <f t="shared" si="14"/>
        <v>213377006634</v>
      </c>
    </row>
    <row r="5169" spans="1:4" ht="14">
      <c r="A5169" s="16">
        <v>45544</v>
      </c>
      <c r="B5169" s="17">
        <v>57135.78</v>
      </c>
      <c r="C5169" s="18">
        <v>34618096173</v>
      </c>
      <c r="D5169" s="21">
        <f t="shared" si="14"/>
        <v>207052844168</v>
      </c>
    </row>
    <row r="5170" spans="1:4" ht="14">
      <c r="A5170" s="16">
        <v>45545</v>
      </c>
      <c r="B5170" s="17">
        <v>57664.5</v>
      </c>
      <c r="C5170" s="18">
        <v>28857630507</v>
      </c>
      <c r="D5170" s="21">
        <f t="shared" si="14"/>
        <v>214634485817</v>
      </c>
    </row>
    <row r="5171" spans="1:4" ht="14">
      <c r="A5171" s="16">
        <v>45546</v>
      </c>
      <c r="B5171" s="17">
        <v>57409.2</v>
      </c>
      <c r="C5171" s="18">
        <v>37049062672</v>
      </c>
      <c r="D5171" s="21">
        <f t="shared" si="14"/>
        <v>216825155271</v>
      </c>
    </row>
    <row r="5172" spans="1:4" ht="14">
      <c r="A5172" s="16">
        <v>45547</v>
      </c>
      <c r="B5172" s="17">
        <v>58124.639999999999</v>
      </c>
      <c r="C5172" s="18">
        <v>33835707949</v>
      </c>
      <c r="D5172" s="21">
        <f t="shared" si="14"/>
        <v>218246537631</v>
      </c>
    </row>
    <row r="5173" spans="1:4" ht="14">
      <c r="A5173" s="16">
        <v>45548</v>
      </c>
      <c r="B5173" s="17">
        <v>60536.88</v>
      </c>
      <c r="C5173" s="18">
        <v>32490528356</v>
      </c>
      <c r="D5173" s="21">
        <f t="shared" si="14"/>
        <v>221051964924</v>
      </c>
    </row>
    <row r="5174" spans="1:4" ht="14">
      <c r="A5174" s="16">
        <v>45549</v>
      </c>
      <c r="B5174" s="17">
        <v>60007.17</v>
      </c>
      <c r="C5174" s="18">
        <v>16428405496</v>
      </c>
      <c r="D5174" s="21">
        <f t="shared" si="14"/>
        <v>204180799714</v>
      </c>
    </row>
    <row r="5175" spans="1:4" ht="14">
      <c r="A5175" s="16">
        <v>45550</v>
      </c>
      <c r="B5175" s="17">
        <v>59129.919999999998</v>
      </c>
      <c r="C5175" s="18">
        <v>18120960867</v>
      </c>
      <c r="D5175" s="21">
        <f t="shared" si="14"/>
        <v>201547718684</v>
      </c>
    </row>
    <row r="5176" spans="1:4" ht="14">
      <c r="A5176" s="16">
        <v>45551</v>
      </c>
      <c r="B5176" s="17">
        <v>58227.46</v>
      </c>
      <c r="C5176" s="18">
        <v>32032822113</v>
      </c>
      <c r="D5176" s="21">
        <f t="shared" si="14"/>
        <v>201400392020</v>
      </c>
    </row>
    <row r="5177" spans="1:4" ht="14">
      <c r="A5177" s="16">
        <v>45552</v>
      </c>
      <c r="B5177" s="17">
        <v>60238.22</v>
      </c>
      <c r="C5177" s="18">
        <v>38075570118</v>
      </c>
      <c r="D5177" s="21">
        <f t="shared" si="14"/>
        <v>198815117960</v>
      </c>
    </row>
    <row r="5178" spans="1:4" ht="14">
      <c r="A5178" s="16">
        <v>45553</v>
      </c>
      <c r="B5178" s="17">
        <v>61306.23</v>
      </c>
      <c r="C5178" s="18">
        <v>40990702891</v>
      </c>
      <c r="D5178" s="21">
        <f t="shared" si="14"/>
        <v>208033057571</v>
      </c>
    </row>
    <row r="5179" spans="1:4" ht="14">
      <c r="A5179" s="16">
        <v>45554</v>
      </c>
      <c r="B5179" s="17">
        <v>62994.61</v>
      </c>
      <c r="C5179" s="18">
        <v>42710252573</v>
      </c>
      <c r="D5179" s="21">
        <f t="shared" si="14"/>
        <v>211974697790</v>
      </c>
    </row>
    <row r="5180" spans="1:4" ht="14">
      <c r="A5180" s="16">
        <v>45555</v>
      </c>
      <c r="B5180" s="17">
        <v>63153.95</v>
      </c>
      <c r="C5180" s="18">
        <v>35177164222</v>
      </c>
      <c r="D5180" s="21">
        <f t="shared" si="14"/>
        <v>220849242414</v>
      </c>
    </row>
    <row r="5181" spans="1:4" ht="14">
      <c r="A5181" s="16">
        <v>45556</v>
      </c>
      <c r="B5181" s="17">
        <v>63367.73</v>
      </c>
      <c r="C5181" s="18">
        <v>14408616220</v>
      </c>
      <c r="D5181" s="21">
        <f t="shared" si="14"/>
        <v>223535878280</v>
      </c>
    </row>
    <row r="5182" spans="1:4" ht="14">
      <c r="A5182" s="16">
        <v>45557</v>
      </c>
      <c r="B5182" s="17">
        <v>63571.95</v>
      </c>
      <c r="C5182" s="18">
        <v>20183348802</v>
      </c>
      <c r="D5182" s="21">
        <f t="shared" si="14"/>
        <v>221516089004</v>
      </c>
    </row>
    <row r="5183" spans="1:4" ht="14">
      <c r="A5183" s="16">
        <v>45558</v>
      </c>
      <c r="B5183" s="17">
        <v>63336.01</v>
      </c>
      <c r="C5183" s="18">
        <v>31400285425</v>
      </c>
      <c r="D5183" s="21">
        <f t="shared" si="14"/>
        <v>223578476939</v>
      </c>
    </row>
    <row r="5184" spans="1:4" ht="14">
      <c r="A5184" s="16">
        <v>45559</v>
      </c>
      <c r="B5184" s="17">
        <v>64342.79</v>
      </c>
      <c r="C5184" s="18">
        <v>29938335243</v>
      </c>
      <c r="D5184" s="21">
        <f t="shared" si="14"/>
        <v>222945940251</v>
      </c>
    </row>
    <row r="5185" spans="1:4" ht="14">
      <c r="A5185" s="16">
        <v>45560</v>
      </c>
      <c r="B5185" s="17">
        <v>63059.63</v>
      </c>
      <c r="C5185" s="18">
        <v>25078377700</v>
      </c>
      <c r="D5185" s="21">
        <f t="shared" si="14"/>
        <v>214808705376</v>
      </c>
    </row>
    <row r="5186" spans="1:4" ht="14">
      <c r="A5186" s="16">
        <v>45561</v>
      </c>
      <c r="B5186" s="17">
        <v>65057.79</v>
      </c>
      <c r="C5186" s="18">
        <v>36873129847</v>
      </c>
      <c r="D5186" s="21">
        <f t="shared" si="14"/>
        <v>198896380185</v>
      </c>
    </row>
    <row r="5187" spans="1:4" ht="14">
      <c r="A5187" s="16">
        <v>45562</v>
      </c>
      <c r="B5187" s="17">
        <v>65767.710000000006</v>
      </c>
      <c r="C5187" s="18">
        <v>32058813449</v>
      </c>
      <c r="D5187" s="21">
        <f t="shared" si="14"/>
        <v>193059257459</v>
      </c>
    </row>
    <row r="5188" spans="1:4" ht="14">
      <c r="A5188" s="16">
        <v>45563</v>
      </c>
      <c r="B5188" s="17">
        <v>65770.53</v>
      </c>
      <c r="C5188" s="18">
        <v>15243637984</v>
      </c>
      <c r="D5188" s="21">
        <f t="shared" si="14"/>
        <v>189940906686</v>
      </c>
    </row>
    <row r="5189" spans="1:4" ht="14">
      <c r="A5189" s="16">
        <v>45564</v>
      </c>
      <c r="B5189" s="17">
        <v>65617.759999999995</v>
      </c>
      <c r="C5189" s="18">
        <v>14788214575</v>
      </c>
      <c r="D5189" s="21">
        <f t="shared" si="14"/>
        <v>190775928450</v>
      </c>
    </row>
    <row r="5190" spans="1:4" ht="14">
      <c r="A5190" s="16">
        <v>45565</v>
      </c>
      <c r="B5190" s="17">
        <v>63260.04</v>
      </c>
      <c r="C5190" s="18">
        <v>37112957475</v>
      </c>
      <c r="D5190" s="21">
        <f t="shared" si="14"/>
        <v>185380794223</v>
      </c>
    </row>
    <row r="5191" spans="1:4" ht="14">
      <c r="A5191" s="16">
        <v>45566</v>
      </c>
      <c r="B5191" s="17">
        <v>60858.25</v>
      </c>
      <c r="C5191" s="18">
        <v>50220923500</v>
      </c>
      <c r="D5191" s="21">
        <f t="shared" si="14"/>
        <v>191093466273</v>
      </c>
    </row>
    <row r="5192" spans="1:4" ht="14">
      <c r="A5192" s="16">
        <v>45567</v>
      </c>
      <c r="B5192" s="17">
        <v>60686.1</v>
      </c>
      <c r="C5192" s="18">
        <v>40762722398</v>
      </c>
      <c r="D5192" s="21">
        <f t="shared" si="14"/>
        <v>211376054530</v>
      </c>
    </row>
    <row r="5193" spans="1:4" ht="14">
      <c r="A5193" s="16">
        <v>45568</v>
      </c>
      <c r="B5193" s="17">
        <v>60765.24</v>
      </c>
      <c r="C5193" s="18">
        <v>36106447279</v>
      </c>
      <c r="D5193" s="21">
        <f t="shared" si="14"/>
        <v>227060399228</v>
      </c>
    </row>
    <row r="5194" spans="1:4" ht="14">
      <c r="A5194" s="16">
        <v>45569</v>
      </c>
      <c r="B5194" s="17">
        <v>62052.51</v>
      </c>
      <c r="C5194" s="18">
        <v>29585472513</v>
      </c>
      <c r="D5194" s="21">
        <f t="shared" si="14"/>
        <v>226293716660</v>
      </c>
    </row>
    <row r="5195" spans="1:4" ht="14">
      <c r="A5195" s="16">
        <v>45570</v>
      </c>
      <c r="B5195" s="17">
        <v>62030.45</v>
      </c>
      <c r="C5195" s="18">
        <v>13305410749</v>
      </c>
      <c r="D5195" s="21">
        <f t="shared" si="14"/>
        <v>223820375724</v>
      </c>
    </row>
    <row r="5196" spans="1:4" ht="14">
      <c r="A5196" s="16">
        <v>45571</v>
      </c>
      <c r="B5196" s="17">
        <v>62789.88</v>
      </c>
      <c r="C5196" s="18">
        <v>14776233667</v>
      </c>
      <c r="D5196" s="21">
        <f t="shared" si="14"/>
        <v>221882148489</v>
      </c>
    </row>
    <row r="5197" spans="1:4" ht="14">
      <c r="A5197" s="16">
        <v>45572</v>
      </c>
      <c r="B5197" s="17">
        <v>62416.51</v>
      </c>
      <c r="C5197" s="18">
        <v>34253562610</v>
      </c>
      <c r="D5197" s="21">
        <f t="shared" si="14"/>
        <v>221870167581</v>
      </c>
    </row>
    <row r="5198" spans="1:4" ht="14">
      <c r="A5198" s="16">
        <v>45573</v>
      </c>
      <c r="B5198" s="17">
        <v>62126.33</v>
      </c>
      <c r="C5198" s="18">
        <v>28134475157</v>
      </c>
      <c r="D5198" s="21">
        <f t="shared" si="14"/>
        <v>219010772716</v>
      </c>
    </row>
    <row r="5199" spans="1:4" ht="14">
      <c r="A5199" s="16">
        <v>45574</v>
      </c>
      <c r="B5199" s="17">
        <v>60615.26</v>
      </c>
      <c r="C5199" s="18">
        <v>27670982363</v>
      </c>
      <c r="D5199" s="21">
        <f t="shared" si="14"/>
        <v>196924324373</v>
      </c>
    </row>
    <row r="5200" spans="1:4" ht="14">
      <c r="A5200" s="16">
        <v>45575</v>
      </c>
      <c r="B5200" s="17">
        <v>60221.120000000003</v>
      </c>
      <c r="C5200" s="18">
        <v>30452813570</v>
      </c>
      <c r="D5200" s="21">
        <f t="shared" si="14"/>
        <v>183832584338</v>
      </c>
    </row>
    <row r="5201" spans="1:4" ht="14">
      <c r="A5201" s="16">
        <v>45576</v>
      </c>
      <c r="B5201" s="17">
        <v>62462.54</v>
      </c>
      <c r="C5201" s="18">
        <v>30327141594</v>
      </c>
      <c r="D5201" s="21">
        <f t="shared" si="14"/>
        <v>178178950629</v>
      </c>
    </row>
    <row r="5202" spans="1:4" ht="14">
      <c r="A5202" s="16">
        <v>45577</v>
      </c>
      <c r="B5202" s="17">
        <v>63202.879999999997</v>
      </c>
      <c r="C5202" s="18">
        <v>16744110886</v>
      </c>
      <c r="D5202" s="21">
        <f t="shared" si="14"/>
        <v>178920619710</v>
      </c>
    </row>
    <row r="5203" spans="1:4" ht="14">
      <c r="A5203" s="16">
        <v>45578</v>
      </c>
      <c r="B5203" s="17">
        <v>62759.43</v>
      </c>
      <c r="C5203" s="18">
        <v>18177529690</v>
      </c>
      <c r="D5203" s="21">
        <f t="shared" si="14"/>
        <v>182359319847</v>
      </c>
    </row>
    <row r="5204" spans="1:4" ht="14">
      <c r="A5204" s="16">
        <v>45579</v>
      </c>
      <c r="B5204" s="17">
        <v>66089.759999999995</v>
      </c>
      <c r="C5204" s="18">
        <v>43706958056</v>
      </c>
      <c r="D5204" s="21">
        <f t="shared" si="14"/>
        <v>185760615870</v>
      </c>
    </row>
    <row r="5205" spans="1:4" ht="14">
      <c r="A5205" s="16">
        <v>45580</v>
      </c>
      <c r="B5205" s="17">
        <v>66933.97</v>
      </c>
      <c r="C5205" s="18">
        <v>48863870879</v>
      </c>
      <c r="D5205" s="21">
        <f t="shared" si="14"/>
        <v>195214011316</v>
      </c>
    </row>
    <row r="5206" spans="1:4" ht="14">
      <c r="A5206" s="16">
        <v>45581</v>
      </c>
      <c r="B5206" s="17">
        <v>67662.95</v>
      </c>
      <c r="C5206" s="18">
        <v>38195189534</v>
      </c>
      <c r="D5206" s="21">
        <f t="shared" si="14"/>
        <v>215943407038</v>
      </c>
    </row>
    <row r="5207" spans="1:4" ht="14">
      <c r="A5207" s="16">
        <v>45582</v>
      </c>
      <c r="B5207" s="17">
        <v>67337.91</v>
      </c>
      <c r="C5207" s="18">
        <v>32790898511</v>
      </c>
      <c r="D5207" s="21">
        <f t="shared" si="14"/>
        <v>226467614209</v>
      </c>
    </row>
    <row r="5208" spans="1:4" ht="14">
      <c r="A5208" s="16">
        <v>45583</v>
      </c>
      <c r="B5208" s="17">
        <v>68390.539999999994</v>
      </c>
      <c r="C5208" s="18">
        <v>36857165014</v>
      </c>
      <c r="D5208" s="21">
        <f t="shared" si="14"/>
        <v>228805699150</v>
      </c>
    </row>
    <row r="5209" spans="1:4" ht="14">
      <c r="A5209" s="16">
        <v>45584</v>
      </c>
      <c r="B5209" s="17">
        <v>68357.899999999994</v>
      </c>
      <c r="C5209" s="18">
        <v>14443497908</v>
      </c>
      <c r="D5209" s="21">
        <f t="shared" si="14"/>
        <v>235335722570</v>
      </c>
    </row>
    <row r="5210" spans="1:4" ht="14">
      <c r="A5210" s="16">
        <v>45585</v>
      </c>
      <c r="B5210" s="17">
        <v>69012.350000000006</v>
      </c>
      <c r="C5210" s="18">
        <v>18975847518</v>
      </c>
      <c r="D5210" s="21">
        <f t="shared" si="14"/>
        <v>233035109592</v>
      </c>
    </row>
    <row r="5211" spans="1:4" ht="14">
      <c r="A5211" s="16">
        <v>45586</v>
      </c>
      <c r="B5211" s="17">
        <v>67440.460000000006</v>
      </c>
      <c r="C5211" s="18">
        <v>37498611780</v>
      </c>
      <c r="D5211" s="21">
        <f t="shared" si="14"/>
        <v>233833427420</v>
      </c>
    </row>
    <row r="5212" spans="1:4" ht="14">
      <c r="A5212" s="16">
        <v>45587</v>
      </c>
      <c r="B5212" s="17">
        <v>67425.759999999995</v>
      </c>
      <c r="C5212" s="18">
        <v>31808472566</v>
      </c>
      <c r="D5212" s="21">
        <f t="shared" si="14"/>
        <v>227625081144</v>
      </c>
    </row>
    <row r="5213" spans="1:4" ht="14">
      <c r="A5213" s="16">
        <v>45588</v>
      </c>
      <c r="B5213" s="17">
        <v>66647.289999999994</v>
      </c>
      <c r="C5213" s="18">
        <v>32263980353</v>
      </c>
      <c r="D5213" s="21">
        <f t="shared" si="14"/>
        <v>210569682831</v>
      </c>
    </row>
    <row r="5214" spans="1:4" ht="14">
      <c r="A5214" s="16">
        <v>45589</v>
      </c>
      <c r="B5214" s="17">
        <v>68130.990000000005</v>
      </c>
      <c r="C5214" s="18">
        <v>31414428647</v>
      </c>
      <c r="D5214" s="21">
        <f t="shared" si="14"/>
        <v>204638473650</v>
      </c>
    </row>
    <row r="5215" spans="1:4" ht="14">
      <c r="A5215" s="16">
        <v>45590</v>
      </c>
      <c r="B5215" s="17">
        <v>66261.539999999994</v>
      </c>
      <c r="C5215" s="18">
        <v>41469984306</v>
      </c>
      <c r="D5215" s="21">
        <f t="shared" si="14"/>
        <v>203262003786</v>
      </c>
    </row>
    <row r="5216" spans="1:4" ht="14">
      <c r="A5216" s="16">
        <v>45591</v>
      </c>
      <c r="B5216" s="17">
        <v>67023.34</v>
      </c>
      <c r="C5216" s="18">
        <v>19588098156</v>
      </c>
      <c r="D5216" s="21">
        <f t="shared" si="14"/>
        <v>207874823078</v>
      </c>
    </row>
    <row r="5217" spans="1:4" ht="14">
      <c r="A5217" s="16">
        <v>45592</v>
      </c>
      <c r="B5217" s="17">
        <v>68000.149999999994</v>
      </c>
      <c r="C5217" s="18">
        <v>16721307878</v>
      </c>
      <c r="D5217" s="21">
        <f t="shared" si="14"/>
        <v>213019423326</v>
      </c>
    </row>
    <row r="5218" spans="1:4" ht="14">
      <c r="A5218" s="16">
        <v>45593</v>
      </c>
      <c r="B5218" s="17">
        <v>69862.52</v>
      </c>
      <c r="C5218" s="18">
        <v>38799856657</v>
      </c>
      <c r="D5218" s="21">
        <f t="shared" si="14"/>
        <v>210764883686</v>
      </c>
    </row>
    <row r="5219" spans="1:4" ht="14">
      <c r="A5219" s="16">
        <v>45594</v>
      </c>
      <c r="B5219" s="17">
        <v>72678.789999999994</v>
      </c>
      <c r="C5219" s="18">
        <v>58541874402</v>
      </c>
      <c r="D5219" s="21">
        <f t="shared" si="14"/>
        <v>212066128563</v>
      </c>
    </row>
    <row r="5220" spans="1:4" ht="14">
      <c r="A5220" s="16">
        <v>45595</v>
      </c>
      <c r="B5220" s="17">
        <v>72450.28</v>
      </c>
      <c r="C5220" s="18">
        <v>40646637831</v>
      </c>
      <c r="D5220" s="21">
        <f t="shared" si="14"/>
        <v>238799530399</v>
      </c>
    </row>
    <row r="5221" spans="1:4" ht="14">
      <c r="A5221" s="16">
        <v>45596</v>
      </c>
      <c r="B5221" s="17">
        <v>70367.08</v>
      </c>
      <c r="C5221" s="18">
        <v>40627912076</v>
      </c>
      <c r="D5221" s="21">
        <f t="shared" si="14"/>
        <v>247182187877</v>
      </c>
    </row>
    <row r="5222" spans="1:4" ht="14">
      <c r="A5222" s="16">
        <v>45597</v>
      </c>
      <c r="B5222" s="17">
        <v>69483.58</v>
      </c>
      <c r="C5222" s="18">
        <v>49989795365</v>
      </c>
      <c r="D5222" s="21">
        <f t="shared" si="14"/>
        <v>256395671306</v>
      </c>
    </row>
    <row r="5223" spans="1:4" ht="14">
      <c r="A5223" s="16">
        <v>45598</v>
      </c>
      <c r="B5223" s="17">
        <v>69241.679999999993</v>
      </c>
      <c r="C5223" s="18">
        <v>18184612091</v>
      </c>
      <c r="D5223" s="21">
        <f t="shared" si="14"/>
        <v>264915482365</v>
      </c>
    </row>
    <row r="5224" spans="1:4" ht="14">
      <c r="A5224" s="16">
        <v>45599</v>
      </c>
      <c r="B5224" s="17">
        <v>68742.75</v>
      </c>
      <c r="C5224" s="18">
        <v>34868307655</v>
      </c>
      <c r="D5224" s="21">
        <f t="shared" si="14"/>
        <v>263511996300</v>
      </c>
    </row>
    <row r="5225" spans="1:4" ht="14">
      <c r="A5225" s="16">
        <v>45600</v>
      </c>
      <c r="B5225" s="17">
        <v>67779.100000000006</v>
      </c>
      <c r="C5225" s="18">
        <v>41184819348</v>
      </c>
      <c r="D5225" s="21">
        <f t="shared" si="14"/>
        <v>281658996077</v>
      </c>
    </row>
    <row r="5226" spans="1:4" ht="14">
      <c r="A5226" s="16">
        <v>45601</v>
      </c>
      <c r="B5226" s="17">
        <v>69538.02</v>
      </c>
      <c r="C5226" s="18">
        <v>46046889204</v>
      </c>
      <c r="D5226" s="21">
        <f t="shared" si="14"/>
        <v>284043958768</v>
      </c>
    </row>
    <row r="5227" spans="1:4" ht="14">
      <c r="A5227" s="16">
        <v>45602</v>
      </c>
      <c r="B5227" s="17">
        <v>75696.039999999994</v>
      </c>
      <c r="C5227" s="18">
        <v>118592653963</v>
      </c>
      <c r="D5227" s="21">
        <f t="shared" si="14"/>
        <v>271548973570</v>
      </c>
    </row>
    <row r="5228" spans="1:4" ht="14">
      <c r="A5228" s="16">
        <v>45603</v>
      </c>
      <c r="B5228" s="17">
        <v>75972.3</v>
      </c>
      <c r="C5228" s="18">
        <v>63467654989</v>
      </c>
      <c r="D5228" s="21">
        <f t="shared" si="14"/>
        <v>349494989702</v>
      </c>
    </row>
    <row r="5229" spans="1:4" ht="14">
      <c r="A5229" s="16">
        <v>45604</v>
      </c>
      <c r="B5229" s="17">
        <v>76507.45</v>
      </c>
      <c r="C5229" s="18">
        <v>55176858003</v>
      </c>
      <c r="D5229" s="21">
        <f t="shared" si="14"/>
        <v>372334732615</v>
      </c>
    </row>
    <row r="5230" spans="1:4" ht="14">
      <c r="A5230" s="16">
        <v>45605</v>
      </c>
      <c r="B5230" s="17">
        <v>76799.25</v>
      </c>
      <c r="C5230" s="18">
        <v>29009480361</v>
      </c>
      <c r="D5230" s="21">
        <f t="shared" si="14"/>
        <v>377521795253</v>
      </c>
    </row>
    <row r="5231" spans="1:4" ht="14">
      <c r="A5231" s="16">
        <v>45606</v>
      </c>
      <c r="B5231" s="17">
        <v>80409.289999999994</v>
      </c>
      <c r="C5231" s="18">
        <v>82570594495</v>
      </c>
      <c r="D5231" s="21">
        <f t="shared" si="14"/>
        <v>388346663523</v>
      </c>
    </row>
    <row r="5232" spans="1:4" ht="14">
      <c r="A5232" s="16">
        <v>45607</v>
      </c>
      <c r="B5232" s="17">
        <v>88860</v>
      </c>
      <c r="C5232" s="18">
        <v>117966845037</v>
      </c>
      <c r="D5232" s="21">
        <f t="shared" si="14"/>
        <v>436048950363</v>
      </c>
    </row>
    <row r="5233" spans="1:4" ht="14">
      <c r="A5233" s="16">
        <v>45608</v>
      </c>
      <c r="B5233" s="17">
        <v>88048.75</v>
      </c>
      <c r="C5233" s="18">
        <v>133673285375</v>
      </c>
      <c r="D5233" s="21">
        <f t="shared" si="14"/>
        <v>512830976052</v>
      </c>
    </row>
    <row r="5234" spans="1:4" ht="14">
      <c r="A5234" s="16">
        <v>45609</v>
      </c>
      <c r="B5234" s="17">
        <v>90369.38</v>
      </c>
      <c r="C5234" s="18">
        <v>123559027869</v>
      </c>
      <c r="D5234" s="21">
        <f t="shared" si="14"/>
        <v>600457372223</v>
      </c>
    </row>
    <row r="5235" spans="1:4" ht="14">
      <c r="A5235" s="16">
        <v>45610</v>
      </c>
      <c r="B5235" s="17">
        <v>87204.26</v>
      </c>
      <c r="C5235" s="18">
        <v>87616705248</v>
      </c>
      <c r="D5235" s="21">
        <f t="shared" si="14"/>
        <v>605423746129</v>
      </c>
    </row>
    <row r="5236" spans="1:4" ht="14">
      <c r="A5236" s="16">
        <v>45611</v>
      </c>
      <c r="B5236" s="17">
        <v>91139.08</v>
      </c>
      <c r="C5236" s="18">
        <v>78243109518</v>
      </c>
      <c r="D5236" s="21">
        <f t="shared" si="14"/>
        <v>629572796388</v>
      </c>
    </row>
    <row r="5237" spans="1:4" ht="14">
      <c r="A5237" s="16">
        <v>45612</v>
      </c>
      <c r="B5237" s="17">
        <v>90567.7</v>
      </c>
      <c r="C5237" s="18">
        <v>44333192814</v>
      </c>
      <c r="D5237" s="21">
        <f t="shared" si="14"/>
        <v>652639047903</v>
      </c>
    </row>
    <row r="5238" spans="1:4" ht="14">
      <c r="A5238" s="16">
        <v>45613</v>
      </c>
      <c r="B5238" s="17">
        <v>89732.97</v>
      </c>
      <c r="C5238" s="18">
        <v>46350159305</v>
      </c>
      <c r="D5238" s="21">
        <f t="shared" si="14"/>
        <v>667962760356</v>
      </c>
    </row>
    <row r="5239" spans="1:4" ht="14">
      <c r="A5239" s="16">
        <v>45614</v>
      </c>
      <c r="B5239" s="17">
        <v>90587.7</v>
      </c>
      <c r="C5239" s="18">
        <v>75535775084</v>
      </c>
      <c r="D5239" s="21">
        <f t="shared" si="14"/>
        <v>631742325166</v>
      </c>
    </row>
    <row r="5240" spans="1:4" ht="14">
      <c r="A5240" s="16">
        <v>45615</v>
      </c>
      <c r="B5240" s="17">
        <v>92254.14</v>
      </c>
      <c r="C5240" s="18">
        <v>74521048295</v>
      </c>
      <c r="D5240" s="21">
        <f t="shared" si="14"/>
        <v>589311255213</v>
      </c>
    </row>
    <row r="5241" spans="1:4" ht="14">
      <c r="A5241" s="16">
        <v>45616</v>
      </c>
      <c r="B5241" s="17">
        <v>94160.04</v>
      </c>
      <c r="C5241" s="18">
        <v>71730956426</v>
      </c>
      <c r="D5241" s="21">
        <f t="shared" si="14"/>
        <v>530159018133</v>
      </c>
    </row>
    <row r="5242" spans="1:4" ht="14">
      <c r="A5242" s="16">
        <v>45617</v>
      </c>
      <c r="B5242" s="17">
        <v>98545.57</v>
      </c>
      <c r="C5242" s="18">
        <v>106024505582</v>
      </c>
      <c r="D5242" s="21">
        <f t="shared" si="14"/>
        <v>478330946690</v>
      </c>
    </row>
    <row r="5243" spans="1:4" ht="14">
      <c r="A5243" s="16">
        <v>45618</v>
      </c>
      <c r="B5243" s="17">
        <v>98938.35</v>
      </c>
      <c r="C5243" s="18">
        <v>78473580551</v>
      </c>
      <c r="D5243" s="21">
        <f t="shared" si="14"/>
        <v>496738747024</v>
      </c>
    </row>
    <row r="5244" spans="1:4" ht="14">
      <c r="A5244" s="16">
        <v>45619</v>
      </c>
      <c r="B5244" s="17">
        <v>97707.05</v>
      </c>
      <c r="C5244" s="18">
        <v>44414644677</v>
      </c>
      <c r="D5244" s="21">
        <f t="shared" si="14"/>
        <v>496969218057</v>
      </c>
    </row>
    <row r="5245" spans="1:4" ht="14">
      <c r="A5245" s="16">
        <v>45620</v>
      </c>
      <c r="B5245" s="17">
        <v>97980.21</v>
      </c>
      <c r="C5245" s="18">
        <v>51712020623</v>
      </c>
      <c r="D5245" s="21">
        <f t="shared" si="14"/>
        <v>497050669920</v>
      </c>
    </row>
    <row r="5246" spans="1:4" ht="14">
      <c r="A5246" s="16">
        <v>45621</v>
      </c>
      <c r="B5246" s="17">
        <v>93343.03</v>
      </c>
      <c r="C5246" s="18">
        <v>80909462490</v>
      </c>
      <c r="D5246" s="21">
        <f t="shared" si="14"/>
        <v>502412531238</v>
      </c>
    </row>
    <row r="5247" spans="1:4" ht="14">
      <c r="A5247" s="16">
        <v>45622</v>
      </c>
      <c r="B5247" s="17">
        <v>91875.57</v>
      </c>
      <c r="C5247" s="18">
        <v>91656519855</v>
      </c>
      <c r="D5247" s="21">
        <f t="shared" si="14"/>
        <v>507786218644</v>
      </c>
    </row>
    <row r="5248" spans="1:4" ht="14">
      <c r="A5248" s="16">
        <v>45623</v>
      </c>
      <c r="B5248" s="17">
        <v>95989.08</v>
      </c>
      <c r="C5248" s="18">
        <v>71133452438</v>
      </c>
      <c r="D5248" s="21">
        <f t="shared" si="14"/>
        <v>524921690204</v>
      </c>
    </row>
    <row r="5249" spans="1:4" ht="14">
      <c r="A5249" s="16">
        <v>45624</v>
      </c>
      <c r="B5249" s="17">
        <v>95737.94</v>
      </c>
      <c r="C5249" s="18">
        <v>52260008261</v>
      </c>
      <c r="D5249" s="21">
        <f t="shared" si="14"/>
        <v>524324186216</v>
      </c>
    </row>
    <row r="5250" spans="1:4" ht="14">
      <c r="A5250" s="16">
        <v>45625</v>
      </c>
      <c r="B5250" s="17">
        <v>97398.94</v>
      </c>
      <c r="C5250" s="18">
        <v>54968682476</v>
      </c>
      <c r="D5250" s="21">
        <f t="shared" si="14"/>
        <v>470559688895</v>
      </c>
    </row>
    <row r="5251" spans="1:4" ht="14">
      <c r="A5251" s="16">
        <v>45626</v>
      </c>
      <c r="B5251" s="17">
        <v>96463.62</v>
      </c>
      <c r="C5251" s="18">
        <v>31634227866</v>
      </c>
      <c r="D5251" s="21">
        <f t="shared" si="14"/>
        <v>447054790820</v>
      </c>
    </row>
    <row r="5252" spans="1:4" ht="14">
      <c r="A5252" s="16">
        <v>45627</v>
      </c>
      <c r="B5252" s="17">
        <v>97469.6</v>
      </c>
      <c r="C5252" s="18">
        <v>36590695296</v>
      </c>
      <c r="D5252" s="21">
        <f t="shared" si="14"/>
        <v>434274374009</v>
      </c>
    </row>
    <row r="5253" spans="1:4" ht="14">
      <c r="A5253" s="16">
        <v>45628</v>
      </c>
      <c r="B5253" s="17">
        <v>95726.44</v>
      </c>
      <c r="C5253" s="18">
        <v>72680784305</v>
      </c>
      <c r="D5253" s="21">
        <f t="shared" si="14"/>
        <v>419153048682</v>
      </c>
    </row>
    <row r="5254" spans="1:4" ht="14">
      <c r="A5254" s="16">
        <v>45629</v>
      </c>
      <c r="B5254" s="17">
        <v>96010.880000000005</v>
      </c>
      <c r="C5254" s="18">
        <v>67067810961</v>
      </c>
      <c r="D5254" s="21">
        <f t="shared" si="14"/>
        <v>410924370497</v>
      </c>
    </row>
    <row r="5255" spans="1:4" ht="14">
      <c r="A5255" s="16">
        <v>45630</v>
      </c>
      <c r="B5255" s="17">
        <v>98920.25</v>
      </c>
      <c r="C5255" s="18">
        <v>77199817112</v>
      </c>
      <c r="D5255" s="21">
        <f t="shared" si="14"/>
        <v>386335661603</v>
      </c>
    </row>
    <row r="5256" spans="1:4" ht="14">
      <c r="A5256" s="16">
        <v>45631</v>
      </c>
      <c r="B5256" s="17">
        <v>96949.66</v>
      </c>
      <c r="C5256" s="18">
        <v>149218945580</v>
      </c>
      <c r="D5256" s="21">
        <f t="shared" si="14"/>
        <v>392402026277</v>
      </c>
    </row>
    <row r="5257" spans="1:4" ht="14">
      <c r="A5257" s="16">
        <v>45632</v>
      </c>
      <c r="B5257" s="17">
        <v>99953.11</v>
      </c>
      <c r="C5257" s="18">
        <v>94534772658</v>
      </c>
      <c r="D5257" s="21">
        <f t="shared" si="14"/>
        <v>489360963596</v>
      </c>
    </row>
    <row r="5258" spans="1:4" ht="14">
      <c r="A5258" s="16">
        <v>45633</v>
      </c>
      <c r="B5258" s="17">
        <v>99977.7</v>
      </c>
      <c r="C5258" s="18">
        <v>44177510897</v>
      </c>
      <c r="D5258" s="21">
        <f t="shared" si="14"/>
        <v>528927053778</v>
      </c>
    </row>
    <row r="5259" spans="1:4" ht="14">
      <c r="A5259" s="16">
        <v>45634</v>
      </c>
      <c r="B5259" s="17">
        <v>100798.98</v>
      </c>
      <c r="C5259" s="18">
        <v>44125751925</v>
      </c>
      <c r="D5259" s="21">
        <f t="shared" si="14"/>
        <v>541470336809</v>
      </c>
    </row>
    <row r="5260" spans="1:4" ht="14">
      <c r="A5260" s="16">
        <v>45635</v>
      </c>
      <c r="B5260" s="17">
        <v>97390.2</v>
      </c>
      <c r="C5260" s="18">
        <v>110676473908</v>
      </c>
      <c r="D5260" s="21">
        <f t="shared" si="14"/>
        <v>549005393438</v>
      </c>
    </row>
    <row r="5261" spans="1:4" ht="14">
      <c r="A5261" s="16">
        <v>45636</v>
      </c>
      <c r="B5261" s="17">
        <v>96835.5</v>
      </c>
      <c r="C5261" s="18">
        <v>104823780634</v>
      </c>
      <c r="D5261" s="21">
        <f t="shared" si="14"/>
        <v>587001083041</v>
      </c>
    </row>
    <row r="5262" spans="1:4" ht="14">
      <c r="A5262" s="16">
        <v>45637</v>
      </c>
      <c r="B5262" s="17">
        <v>101310.2</v>
      </c>
      <c r="C5262" s="18">
        <v>85391409936</v>
      </c>
      <c r="D5262" s="21">
        <f t="shared" si="14"/>
        <v>624757052714</v>
      </c>
    </row>
    <row r="5263" spans="1:4" ht="14">
      <c r="A5263" s="16">
        <v>45638</v>
      </c>
      <c r="B5263" s="17">
        <v>100090.89</v>
      </c>
      <c r="C5263" s="18">
        <v>72073983533</v>
      </c>
      <c r="D5263" s="21">
        <f t="shared" si="14"/>
        <v>632948645538</v>
      </c>
    </row>
    <row r="5264" spans="1:4" ht="14">
      <c r="A5264" s="16">
        <v>45639</v>
      </c>
      <c r="B5264" s="17">
        <v>101289.82</v>
      </c>
      <c r="C5264" s="22">
        <v>56894751583</v>
      </c>
      <c r="D5264" s="21">
        <f t="shared" si="14"/>
        <v>555803683491</v>
      </c>
    </row>
    <row r="5265" spans="1:4" ht="14">
      <c r="A5265" s="16">
        <v>45640</v>
      </c>
      <c r="B5265" s="17">
        <v>101366.87</v>
      </c>
      <c r="C5265" s="22">
        <v>40422968793</v>
      </c>
      <c r="D5265" s="21">
        <f t="shared" si="14"/>
        <v>518163662416</v>
      </c>
    </row>
    <row r="5266" spans="1:4" ht="14">
      <c r="A5266" s="16">
        <v>45641</v>
      </c>
      <c r="B5266" s="17">
        <v>104551.37</v>
      </c>
      <c r="C5266" s="22">
        <v>51145914137</v>
      </c>
      <c r="D5266" s="21">
        <f t="shared" si="14"/>
        <v>514409120312</v>
      </c>
    </row>
    <row r="5267" spans="1:4" ht="14">
      <c r="A5267" s="16">
        <v>45642</v>
      </c>
      <c r="B5267" s="17">
        <v>105855.67</v>
      </c>
      <c r="C5267" s="22">
        <v>91020417816</v>
      </c>
      <c r="D5267" s="21">
        <f t="shared" si="14"/>
        <v>521429282524</v>
      </c>
    </row>
    <row r="5268" spans="1:4" ht="14">
      <c r="A5268" s="16">
        <v>45643</v>
      </c>
      <c r="B5268" s="17">
        <v>106115.91</v>
      </c>
      <c r="C5268" s="22">
        <v>68589364868</v>
      </c>
      <c r="D5268" s="21">
        <f t="shared" si="14"/>
        <v>501773226432</v>
      </c>
    </row>
    <row r="5269" spans="1:4" ht="14">
      <c r="A5269" s="16">
        <v>45644</v>
      </c>
      <c r="B5269" s="17">
        <v>100469.77</v>
      </c>
      <c r="C5269" s="22">
        <v>93865656139</v>
      </c>
      <c r="D5269" s="21">
        <f t="shared" si="14"/>
        <v>465538810666</v>
      </c>
    </row>
    <row r="5270" spans="1:4" ht="14">
      <c r="A5270" s="16">
        <v>45645</v>
      </c>
      <c r="B5270" s="17">
        <v>97697.05</v>
      </c>
      <c r="C5270" s="22">
        <v>97221662392</v>
      </c>
      <c r="D5270" s="21">
        <f t="shared" si="14"/>
        <v>474013056869</v>
      </c>
    </row>
    <row r="5271" spans="1:4" ht="14">
      <c r="A5271" s="16">
        <v>45646</v>
      </c>
      <c r="B5271" s="17">
        <v>97617.44</v>
      </c>
      <c r="C5271" s="22">
        <v>105634083408</v>
      </c>
      <c r="D5271" s="21">
        <f t="shared" si="14"/>
        <v>499160735728</v>
      </c>
    </row>
    <row r="5272" spans="1:4" ht="14">
      <c r="A5272" s="16">
        <v>45647</v>
      </c>
      <c r="B5272" s="17">
        <v>97093.02</v>
      </c>
      <c r="C5272" s="22">
        <v>51765334294</v>
      </c>
      <c r="D5272" s="21">
        <f t="shared" si="14"/>
        <v>547900067553</v>
      </c>
    </row>
    <row r="5273" spans="1:4" ht="14">
      <c r="A5273" s="16">
        <v>45648</v>
      </c>
      <c r="B5273" s="17">
        <v>95149.11</v>
      </c>
      <c r="C5273" s="22">
        <v>43147981314</v>
      </c>
      <c r="D5273" s="21">
        <f t="shared" si="14"/>
        <v>559242433054</v>
      </c>
    </row>
    <row r="5274" spans="1:4" ht="14">
      <c r="A5274" s="16">
        <v>45649</v>
      </c>
      <c r="B5274" s="17">
        <v>94800.76</v>
      </c>
      <c r="C5274" s="22">
        <v>65239002919</v>
      </c>
      <c r="D5274" s="21">
        <f t="shared" si="14"/>
        <v>551244500231</v>
      </c>
    </row>
    <row r="5275" spans="1:4" ht="14">
      <c r="A5275" s="16">
        <v>45650</v>
      </c>
      <c r="B5275" s="17">
        <v>98637.73</v>
      </c>
      <c r="C5275" s="22">
        <v>47114953674</v>
      </c>
      <c r="D5275" s="21">
        <f t="shared" si="14"/>
        <v>525463085334</v>
      </c>
    </row>
    <row r="5276" spans="1:4" ht="14">
      <c r="A5276" s="16">
        <v>45651</v>
      </c>
      <c r="B5276" s="17">
        <v>99235.37</v>
      </c>
      <c r="C5276" s="22">
        <v>33700394629</v>
      </c>
      <c r="D5276" s="21">
        <f t="shared" si="14"/>
        <v>503988674140</v>
      </c>
    </row>
    <row r="5277" spans="1:4" ht="14">
      <c r="A5277" s="16">
        <v>45652</v>
      </c>
      <c r="B5277" s="17">
        <v>95628.3</v>
      </c>
      <c r="C5277" s="22">
        <v>47054980873</v>
      </c>
      <c r="D5277" s="21">
        <f t="shared" si="14"/>
        <v>443823412630</v>
      </c>
    </row>
    <row r="5278" spans="1:4" ht="14">
      <c r="A5278" s="16">
        <v>45653</v>
      </c>
      <c r="B5278" s="17">
        <v>94219.98</v>
      </c>
      <c r="C5278" s="22">
        <v>52419934565</v>
      </c>
      <c r="D5278" s="21">
        <f t="shared" si="14"/>
        <v>393656731111</v>
      </c>
    </row>
    <row r="5279" spans="1:4" ht="14">
      <c r="A5279" s="16">
        <v>45654</v>
      </c>
      <c r="B5279" s="17">
        <v>95123.58</v>
      </c>
      <c r="C5279" s="22">
        <v>24107436185</v>
      </c>
      <c r="D5279" s="21">
        <f t="shared" si="14"/>
        <v>340442582268</v>
      </c>
    </row>
    <row r="5280" spans="1:4" ht="14">
      <c r="A5280" s="16">
        <v>45655</v>
      </c>
      <c r="B5280" s="17">
        <v>93457.58</v>
      </c>
      <c r="C5280" s="22">
        <v>29635885267</v>
      </c>
      <c r="D5280" s="21">
        <f t="shared" si="14"/>
        <v>312784684159</v>
      </c>
    </row>
    <row r="5281" spans="1:4" ht="14">
      <c r="A5281" s="16">
        <v>45656</v>
      </c>
      <c r="B5281" s="17">
        <v>92523.16</v>
      </c>
      <c r="C5281" s="22">
        <v>56188003691</v>
      </c>
      <c r="D5281" s="21">
        <f t="shared" si="14"/>
        <v>299272588112</v>
      </c>
    </row>
    <row r="5282" spans="1:4" ht="14">
      <c r="A5282" s="16">
        <v>45657</v>
      </c>
      <c r="B5282" s="17">
        <v>93389.73</v>
      </c>
      <c r="C5282" s="22">
        <v>43625106843</v>
      </c>
      <c r="D5282" s="21">
        <f t="shared" si="14"/>
        <v>290221588884</v>
      </c>
    </row>
    <row r="5283" spans="1:4" ht="14">
      <c r="A5283" s="16">
        <v>45658</v>
      </c>
      <c r="B5283" s="17">
        <v>94455.8</v>
      </c>
      <c r="C5283" s="22">
        <v>24519888919</v>
      </c>
      <c r="D5283" s="21">
        <f t="shared" si="14"/>
        <v>286731742053</v>
      </c>
    </row>
    <row r="5284" spans="1:4" ht="14">
      <c r="A5284" s="16">
        <v>45659</v>
      </c>
      <c r="B5284" s="17">
        <v>96851.39</v>
      </c>
      <c r="C5284" s="22">
        <v>46009564411</v>
      </c>
      <c r="D5284" s="21">
        <f t="shared" si="14"/>
        <v>277551236343</v>
      </c>
    </row>
    <row r="5285" spans="1:4" ht="14">
      <c r="A5285" s="16">
        <v>45660</v>
      </c>
      <c r="B5285" s="17">
        <v>98120.68</v>
      </c>
      <c r="C5285" s="22">
        <v>35611391163</v>
      </c>
      <c r="D5285" s="21">
        <f t="shared" si="14"/>
        <v>276505819881</v>
      </c>
    </row>
    <row r="5286" spans="1:4" ht="14">
      <c r="A5286" s="16">
        <v>45661</v>
      </c>
      <c r="B5286" s="17">
        <v>98230.05</v>
      </c>
      <c r="C5286" s="22">
        <v>22342608078</v>
      </c>
      <c r="D5286" s="21">
        <f t="shared" si="14"/>
        <v>259697276479</v>
      </c>
    </row>
    <row r="5287" spans="1:4" ht="14">
      <c r="A5287" s="16">
        <v>45662</v>
      </c>
      <c r="B5287" s="17">
        <v>98414.81</v>
      </c>
      <c r="C5287" s="22">
        <v>20525254825</v>
      </c>
      <c r="D5287" s="21">
        <f t="shared" si="14"/>
        <v>257932448372</v>
      </c>
    </row>
    <row r="5288" spans="1:4" ht="14">
      <c r="A5288" s="16">
        <v>45663</v>
      </c>
      <c r="B5288" s="17">
        <v>102179.56</v>
      </c>
      <c r="C5288" s="22">
        <v>51823432705</v>
      </c>
      <c r="D5288" s="21">
        <f t="shared" si="14"/>
        <v>248821817930</v>
      </c>
    </row>
    <row r="5289" spans="1:4" ht="14">
      <c r="A5289" s="16">
        <v>45664</v>
      </c>
      <c r="B5289" s="17">
        <v>96975</v>
      </c>
      <c r="C5289" s="22">
        <v>58685738547</v>
      </c>
      <c r="D5289" s="21">
        <f t="shared" si="14"/>
        <v>244457246944</v>
      </c>
    </row>
    <row r="5290" spans="1:4" ht="14">
      <c r="A5290" s="16">
        <v>45665</v>
      </c>
      <c r="B5290" s="17">
        <v>95039.28</v>
      </c>
      <c r="C5290" s="22">
        <v>63875859171</v>
      </c>
      <c r="D5290" s="21">
        <f t="shared" si="14"/>
        <v>259517878648</v>
      </c>
    </row>
    <row r="5291" spans="1:4" ht="14">
      <c r="A5291" s="16">
        <v>45666</v>
      </c>
      <c r="B5291" s="17">
        <v>92346.17</v>
      </c>
      <c r="C5291" s="22">
        <v>62777261693</v>
      </c>
      <c r="D5291" s="21">
        <f t="shared" si="14"/>
        <v>298873848900</v>
      </c>
    </row>
    <row r="5292" spans="1:4" ht="14">
      <c r="A5292" s="16">
        <v>45667</v>
      </c>
      <c r="B5292" s="17">
        <v>94759.12</v>
      </c>
      <c r="C5292" s="22">
        <v>62058693684</v>
      </c>
      <c r="D5292" s="21">
        <f t="shared" si="14"/>
        <v>315641546182</v>
      </c>
    </row>
    <row r="5293" spans="1:4" ht="14">
      <c r="A5293" s="16">
        <v>45668</v>
      </c>
      <c r="B5293" s="17">
        <v>94606.51</v>
      </c>
      <c r="C5293" s="22">
        <v>18860894100</v>
      </c>
      <c r="D5293" s="21">
        <f t="shared" si="14"/>
        <v>342088848703</v>
      </c>
    </row>
    <row r="5294" spans="1:4" ht="14">
      <c r="A5294" s="16">
        <v>45669</v>
      </c>
      <c r="B5294" s="17">
        <v>94353.78</v>
      </c>
      <c r="C5294" s="22">
        <v>20885130965</v>
      </c>
      <c r="D5294" s="21">
        <f t="shared" si="14"/>
        <v>338607134725</v>
      </c>
    </row>
    <row r="5295" spans="1:4" ht="14">
      <c r="A5295" s="16">
        <v>45670</v>
      </c>
      <c r="B5295" s="17">
        <v>94375.73</v>
      </c>
      <c r="C5295" s="22">
        <v>72978998252</v>
      </c>
      <c r="D5295" s="21">
        <f t="shared" si="14"/>
        <v>338967010865</v>
      </c>
    </row>
    <row r="5296" spans="1:4" ht="14">
      <c r="A5296" s="16">
        <v>45671</v>
      </c>
      <c r="B5296" s="17">
        <v>96569.48</v>
      </c>
      <c r="C5296" s="22">
        <v>53769675818</v>
      </c>
      <c r="D5296" s="21">
        <f t="shared" si="14"/>
        <v>360122576412</v>
      </c>
    </row>
    <row r="5297" spans="1:4" ht="14">
      <c r="A5297" s="16">
        <v>45672</v>
      </c>
      <c r="B5297" s="17">
        <v>100172.41</v>
      </c>
      <c r="C5297" s="22">
        <v>51241728229</v>
      </c>
      <c r="D5297" s="21">
        <f t="shared" si="14"/>
        <v>355206513683</v>
      </c>
    </row>
    <row r="5298" spans="1:4" ht="14">
      <c r="A5298" s="16">
        <v>45673</v>
      </c>
      <c r="B5298" s="17">
        <v>99977.73</v>
      </c>
      <c r="C5298" s="22">
        <v>54103781805</v>
      </c>
      <c r="D5298" s="21">
        <f t="shared" si="14"/>
        <v>342572382741</v>
      </c>
    </row>
    <row r="5299" spans="1:4" ht="14">
      <c r="A5299" s="16">
        <v>45674</v>
      </c>
      <c r="B5299" s="17">
        <v>104296.59</v>
      </c>
      <c r="C5299" s="22">
        <v>71888972663</v>
      </c>
      <c r="D5299" s="21">
        <f t="shared" si="14"/>
        <v>333898902853</v>
      </c>
    </row>
    <row r="5300" spans="1:4" ht="14">
      <c r="A5300" s="16">
        <v>45675</v>
      </c>
      <c r="B5300" s="17">
        <v>104398.16</v>
      </c>
      <c r="C5300" s="22">
        <v>50445655726</v>
      </c>
      <c r="D5300" s="21">
        <f t="shared" si="14"/>
        <v>343729181832</v>
      </c>
    </row>
    <row r="5301" spans="1:4" ht="14">
      <c r="A5301" s="16">
        <v>45676</v>
      </c>
      <c r="B5301" s="17">
        <v>100954.57</v>
      </c>
      <c r="C5301" s="22">
        <v>76789928525</v>
      </c>
      <c r="D5301" s="21">
        <f t="shared" si="14"/>
        <v>375313943458</v>
      </c>
    </row>
    <row r="5302" spans="1:4" ht="14">
      <c r="A5302" s="16">
        <v>45677</v>
      </c>
      <c r="B5302" s="17">
        <v>102589</v>
      </c>
      <c r="C5302" s="22">
        <v>126279678351</v>
      </c>
      <c r="D5302" s="21">
        <f t="shared" si="14"/>
        <v>431218741018</v>
      </c>
    </row>
    <row r="5303" spans="1:4" ht="14">
      <c r="A5303" s="16">
        <v>45678</v>
      </c>
      <c r="B5303" s="17">
        <v>105987.89</v>
      </c>
      <c r="C5303" s="22">
        <v>88733878242</v>
      </c>
      <c r="D5303" s="21">
        <f t="shared" si="14"/>
        <v>484519421117</v>
      </c>
    </row>
    <row r="5304" spans="1:4" ht="14">
      <c r="A5304" s="16">
        <v>45679</v>
      </c>
      <c r="B5304" s="17">
        <v>103791.13</v>
      </c>
      <c r="C5304" s="22">
        <v>53878181052</v>
      </c>
      <c r="D5304" s="21">
        <f t="shared" si="14"/>
        <v>519483623541</v>
      </c>
    </row>
    <row r="5305" spans="1:4" ht="14">
      <c r="A5305" s="16">
        <v>45680</v>
      </c>
      <c r="B5305" s="17">
        <v>104184.62</v>
      </c>
      <c r="C5305" s="22">
        <v>104104515428</v>
      </c>
      <c r="D5305" s="21">
        <f t="shared" si="14"/>
        <v>522120076364</v>
      </c>
    </row>
    <row r="5306" spans="1:4" ht="14">
      <c r="A5306" s="16">
        <v>45681</v>
      </c>
      <c r="B5306" s="17">
        <v>104716.12</v>
      </c>
      <c r="C5306" s="22">
        <v>52388229265</v>
      </c>
      <c r="D5306" s="21">
        <f t="shared" si="14"/>
        <v>572120809987</v>
      </c>
    </row>
    <row r="5307" spans="1:4" ht="14">
      <c r="A5307" s="16">
        <v>45682</v>
      </c>
      <c r="B5307" s="17">
        <v>104866.09</v>
      </c>
      <c r="C5307" s="22">
        <v>23888996502</v>
      </c>
      <c r="D5307" s="21">
        <f t="shared" si="14"/>
        <v>552620066589</v>
      </c>
    </row>
    <row r="5308" spans="1:4" ht="14">
      <c r="A5308" s="16">
        <v>45683</v>
      </c>
      <c r="B5308" s="17">
        <v>102833.37</v>
      </c>
      <c r="C5308" s="22">
        <v>22543395879</v>
      </c>
      <c r="D5308" s="21">
        <f t="shared" si="14"/>
        <v>526063407365</v>
      </c>
    </row>
    <row r="5309" spans="1:4" ht="14">
      <c r="A5309" s="16">
        <v>45684</v>
      </c>
      <c r="B5309" s="17">
        <v>101907.45</v>
      </c>
      <c r="C5309" s="22">
        <v>20639818380</v>
      </c>
      <c r="D5309" s="21">
        <f t="shared" si="14"/>
        <v>471816874719</v>
      </c>
    </row>
    <row r="5310" spans="1:4" ht="14">
      <c r="A5310" s="16">
        <v>45685</v>
      </c>
      <c r="B5310" s="17">
        <v>101332.48</v>
      </c>
      <c r="C5310" s="22">
        <v>47180685494</v>
      </c>
      <c r="D5310" s="21">
        <f t="shared" si="14"/>
        <v>366177014748</v>
      </c>
    </row>
    <row r="5311" spans="1:4" ht="14">
      <c r="A5311" s="16">
        <v>45686</v>
      </c>
      <c r="B5311" s="17">
        <v>103918.8</v>
      </c>
      <c r="C5311" s="22">
        <v>47432049818</v>
      </c>
      <c r="D5311" s="21">
        <f t="shared" si="14"/>
        <v>324623822000</v>
      </c>
    </row>
    <row r="5312" spans="1:4" ht="14">
      <c r="A5312" s="16">
        <v>45687</v>
      </c>
      <c r="B5312" s="17">
        <v>104987.45</v>
      </c>
      <c r="C5312" s="22">
        <v>41915744521</v>
      </c>
      <c r="D5312" s="21">
        <f t="shared" si="14"/>
        <v>318177690766</v>
      </c>
    </row>
    <row r="5313" spans="1:4" ht="14">
      <c r="A5313" s="16">
        <v>45688</v>
      </c>
      <c r="B5313" s="17">
        <v>102263.03999999999</v>
      </c>
      <c r="C5313" s="22">
        <v>45732764360</v>
      </c>
      <c r="D5313" s="21">
        <f t="shared" si="14"/>
        <v>255988919859</v>
      </c>
    </row>
    <row r="5314" spans="1:4" ht="14">
      <c r="A5314" s="16">
        <v>45689</v>
      </c>
      <c r="B5314" s="17">
        <v>100610.29</v>
      </c>
      <c r="C5314" s="22">
        <v>27757944848</v>
      </c>
      <c r="D5314" s="21">
        <f t="shared" si="14"/>
        <v>249333454954</v>
      </c>
    </row>
    <row r="5315" spans="1:4" ht="14">
      <c r="A5315" s="16">
        <v>45690</v>
      </c>
      <c r="B5315" s="17">
        <v>97424.78</v>
      </c>
      <c r="C5315" s="22">
        <v>63091816853</v>
      </c>
      <c r="D5315" s="21">
        <f t="shared" si="14"/>
        <v>253202403300</v>
      </c>
    </row>
    <row r="5316" spans="1:4" ht="14">
      <c r="A5316" s="16">
        <v>45691</v>
      </c>
      <c r="B5316" s="17">
        <v>101582.41</v>
      </c>
      <c r="C5316" s="22">
        <v>115400897748</v>
      </c>
      <c r="D5316" s="21">
        <f t="shared" si="14"/>
        <v>293750824274</v>
      </c>
    </row>
    <row r="5317" spans="1:4" ht="14">
      <c r="A5317" s="16">
        <v>45692</v>
      </c>
      <c r="B5317" s="17">
        <v>97848.15</v>
      </c>
      <c r="C5317" s="22">
        <v>73002130211</v>
      </c>
      <c r="D5317" s="21">
        <f t="shared" si="14"/>
        <v>388511903642</v>
      </c>
    </row>
    <row r="5318" spans="1:4" ht="14">
      <c r="A5318" s="16">
        <v>45693</v>
      </c>
      <c r="B5318" s="17">
        <v>96559.33</v>
      </c>
      <c r="C5318" s="22">
        <v>49125911241</v>
      </c>
      <c r="D5318" s="21">
        <f t="shared" si="14"/>
        <v>414333348359</v>
      </c>
    </row>
    <row r="5319" spans="1:4" ht="14">
      <c r="A5319" s="16">
        <v>45694</v>
      </c>
      <c r="B5319" s="17">
        <v>96541.3</v>
      </c>
      <c r="C5319" s="22">
        <v>45302471947</v>
      </c>
      <c r="D5319" s="21">
        <f t="shared" si="14"/>
        <v>416027209782</v>
      </c>
    </row>
    <row r="5320" spans="1:4" ht="14">
      <c r="A5320" s="16">
        <v>45695</v>
      </c>
      <c r="B5320" s="17">
        <v>96384.11</v>
      </c>
      <c r="C5320" s="22">
        <v>55741290456</v>
      </c>
      <c r="D5320" s="21">
        <f t="shared" si="14"/>
        <v>419413937208</v>
      </c>
    </row>
    <row r="5321" spans="1:4" ht="14">
      <c r="A5321" s="16">
        <v>45696</v>
      </c>
      <c r="B5321" s="17">
        <v>96603.32</v>
      </c>
      <c r="C5321" s="22">
        <v>22447526395</v>
      </c>
      <c r="D5321" s="21">
        <f t="shared" si="14"/>
        <v>429422463304</v>
      </c>
    </row>
    <row r="5322" spans="1:4" ht="14">
      <c r="A5322" s="16">
        <v>45697</v>
      </c>
      <c r="B5322" s="17">
        <v>96309.75</v>
      </c>
      <c r="C5322" s="22">
        <v>27732901800</v>
      </c>
      <c r="D5322" s="21">
        <f t="shared" si="14"/>
        <v>424112044851</v>
      </c>
    </row>
    <row r="5323" spans="1:4" ht="14">
      <c r="A5323" s="16">
        <v>45698</v>
      </c>
      <c r="B5323" s="17">
        <v>97375.23</v>
      </c>
      <c r="C5323" s="22">
        <v>40078962391</v>
      </c>
      <c r="D5323" s="21">
        <f t="shared" si="14"/>
        <v>388753129798</v>
      </c>
    </row>
    <row r="5324" spans="1:4" ht="14">
      <c r="A5324" s="16">
        <v>45699</v>
      </c>
      <c r="B5324" s="17">
        <v>95806.26</v>
      </c>
      <c r="C5324" s="22">
        <v>37488783272</v>
      </c>
      <c r="D5324" s="21">
        <f t="shared" si="14"/>
        <v>313431194441</v>
      </c>
    </row>
    <row r="5325" spans="1:4" ht="14">
      <c r="A5325" s="16">
        <v>45700</v>
      </c>
      <c r="B5325" s="17">
        <v>97756.5</v>
      </c>
      <c r="C5325" s="22">
        <v>49340445530</v>
      </c>
      <c r="D5325" s="21">
        <f t="shared" si="14"/>
        <v>277917847502</v>
      </c>
    </row>
    <row r="5326" spans="1:4" ht="14">
      <c r="A5326" s="16">
        <v>45701</v>
      </c>
      <c r="B5326" s="17">
        <v>96534.74</v>
      </c>
      <c r="C5326" s="22">
        <v>37147280860</v>
      </c>
      <c r="D5326" s="21">
        <f t="shared" si="14"/>
        <v>278132381791</v>
      </c>
    </row>
    <row r="5327" spans="1:4" ht="14">
      <c r="A5327" s="16">
        <v>45702</v>
      </c>
      <c r="B5327" s="17">
        <v>97414.36</v>
      </c>
      <c r="C5327" s="22">
        <v>32697987277</v>
      </c>
      <c r="D5327" s="21">
        <f t="shared" si="14"/>
        <v>269977190704</v>
      </c>
    </row>
    <row r="5328" spans="1:4" ht="14">
      <c r="A5328" s="16">
        <v>45703</v>
      </c>
      <c r="B5328" s="17">
        <v>97583.24</v>
      </c>
      <c r="C5328" s="22">
        <v>17047266288</v>
      </c>
      <c r="D5328" s="21">
        <f t="shared" si="14"/>
        <v>246933887525</v>
      </c>
    </row>
    <row r="5329" spans="1:4" ht="14">
      <c r="A5329" s="16">
        <v>45704</v>
      </c>
      <c r="B5329" s="17">
        <v>96182.27</v>
      </c>
      <c r="C5329" s="22">
        <v>16536755396</v>
      </c>
      <c r="D5329" s="21">
        <f t="shared" si="14"/>
        <v>241533627418</v>
      </c>
    </row>
    <row r="5330" spans="1:4" ht="14">
      <c r="A5330" s="16">
        <v>45705</v>
      </c>
      <c r="B5330" s="17">
        <v>95790.51</v>
      </c>
      <c r="C5330" s="22">
        <v>27336550690</v>
      </c>
      <c r="D5330" s="21">
        <f t="shared" si="14"/>
        <v>230337481014</v>
      </c>
    </row>
    <row r="5331" spans="1:4" ht="14">
      <c r="A5331" s="16">
        <v>45706</v>
      </c>
      <c r="B5331" s="17">
        <v>95444.03</v>
      </c>
      <c r="C5331" s="22">
        <v>37325720482</v>
      </c>
      <c r="D5331" s="21">
        <f t="shared" si="14"/>
        <v>217595069313</v>
      </c>
    </row>
    <row r="5332" spans="1:4" ht="14">
      <c r="A5332" s="16">
        <v>45707</v>
      </c>
      <c r="B5332" s="17">
        <v>96647.91</v>
      </c>
      <c r="C5332" s="22">
        <v>28990872862</v>
      </c>
      <c r="D5332" s="21">
        <f t="shared" si="14"/>
        <v>217432006523</v>
      </c>
    </row>
    <row r="5333" spans="1:4" ht="14">
      <c r="A5333" s="16">
        <v>45708</v>
      </c>
      <c r="B5333" s="17">
        <v>98392.22</v>
      </c>
      <c r="C5333" s="22">
        <v>31668022771</v>
      </c>
      <c r="D5333" s="21">
        <f t="shared" si="14"/>
        <v>197082433855</v>
      </c>
    </row>
    <row r="5334" spans="1:4" ht="14">
      <c r="A5334" s="16">
        <v>45709</v>
      </c>
      <c r="B5334" s="17">
        <v>96048.99</v>
      </c>
      <c r="C5334" s="22">
        <v>49608706470</v>
      </c>
      <c r="D5334" s="21">
        <f t="shared" si="14"/>
        <v>191603175766</v>
      </c>
    </row>
    <row r="5335" spans="1:4" ht="14">
      <c r="A5335" s="16">
        <v>45710</v>
      </c>
      <c r="B5335" s="17">
        <v>96605.71</v>
      </c>
      <c r="C5335" s="22">
        <v>18353824477</v>
      </c>
      <c r="D5335" s="21">
        <f t="shared" si="14"/>
        <v>208513894959</v>
      </c>
    </row>
    <row r="5336" spans="1:4" ht="14">
      <c r="A5336" s="16">
        <v>45711</v>
      </c>
      <c r="B5336" s="17">
        <v>96091.63</v>
      </c>
      <c r="C5336" s="22">
        <v>16999478976</v>
      </c>
      <c r="D5336" s="21">
        <f t="shared" si="14"/>
        <v>209820453148</v>
      </c>
    </row>
    <row r="5337" spans="1:4" ht="14">
      <c r="A5337" s="16">
        <v>45712</v>
      </c>
      <c r="B5337" s="17">
        <v>91869.65</v>
      </c>
      <c r="C5337" s="22">
        <v>44046480529</v>
      </c>
      <c r="D5337" s="21">
        <f t="shared" si="14"/>
        <v>210283176728</v>
      </c>
    </row>
    <row r="5338" spans="1:4" ht="14">
      <c r="A5338" s="16">
        <v>45713</v>
      </c>
      <c r="B5338" s="17">
        <v>88769.74</v>
      </c>
      <c r="C5338" s="22">
        <v>92139104128</v>
      </c>
      <c r="D5338" s="21">
        <f t="shared" si="14"/>
        <v>226993106567</v>
      </c>
    </row>
    <row r="5339" spans="1:4" ht="14">
      <c r="A5339" s="16">
        <v>45714</v>
      </c>
      <c r="B5339" s="17">
        <v>83987.9</v>
      </c>
      <c r="C5339" s="22">
        <v>64597492134</v>
      </c>
      <c r="D5339" s="21">
        <f t="shared" si="14"/>
        <v>281806490213</v>
      </c>
    </row>
    <row r="5340" spans="1:4" ht="14">
      <c r="A5340" s="16">
        <v>45715</v>
      </c>
      <c r="B5340" s="17">
        <v>84625.42</v>
      </c>
      <c r="C5340" s="22">
        <v>52659591954</v>
      </c>
      <c r="D5340" s="21">
        <f t="shared" si="14"/>
        <v>317413109485</v>
      </c>
    </row>
    <row r="5341" spans="1:4" ht="14">
      <c r="A5341" s="16">
        <v>45716</v>
      </c>
      <c r="B5341" s="17">
        <v>84243.78</v>
      </c>
      <c r="C5341" s="22">
        <v>83610570576</v>
      </c>
      <c r="D5341" s="21">
        <f t="shared" si="14"/>
        <v>338404678668</v>
      </c>
    </row>
    <row r="5342" spans="1:4" ht="14">
      <c r="A5342" s="16">
        <v>45717</v>
      </c>
      <c r="B5342" s="17">
        <v>85844.37</v>
      </c>
      <c r="C5342" s="22">
        <v>29190628396</v>
      </c>
      <c r="D5342" s="21">
        <f t="shared" si="14"/>
        <v>372406542774</v>
      </c>
    </row>
    <row r="5343" spans="1:4" ht="14">
      <c r="A5343" s="16">
        <v>45718</v>
      </c>
      <c r="B5343" s="17">
        <v>94328.01</v>
      </c>
      <c r="C5343" s="22">
        <v>58398341092</v>
      </c>
      <c r="D5343" s="21">
        <f t="shared" si="14"/>
        <v>383243346693</v>
      </c>
    </row>
    <row r="5344" spans="1:4" ht="14">
      <c r="A5344" s="16">
        <v>45719</v>
      </c>
      <c r="B5344" s="17">
        <v>86315.93</v>
      </c>
      <c r="C5344" s="22">
        <v>70072228536</v>
      </c>
      <c r="D5344" s="21">
        <f t="shared" si="14"/>
        <v>424642208809</v>
      </c>
    </row>
    <row r="5345" spans="1:4" ht="14">
      <c r="A5345" s="16">
        <v>45720</v>
      </c>
      <c r="B5345" s="17">
        <v>87323.69</v>
      </c>
      <c r="C5345" s="22">
        <v>68095241474</v>
      </c>
      <c r="D5345" s="21">
        <f t="shared" si="14"/>
        <v>450667956816</v>
      </c>
    </row>
    <row r="5346" spans="1:4" ht="14">
      <c r="A5346" s="16">
        <v>45721</v>
      </c>
      <c r="B5346" s="17">
        <v>90619.41</v>
      </c>
      <c r="C5346" s="22">
        <v>50498988027</v>
      </c>
      <c r="D5346" s="21">
        <f t="shared" si="14"/>
        <v>426624094162</v>
      </c>
    </row>
    <row r="5347" spans="1:4" ht="14">
      <c r="A5347" s="16">
        <v>45722</v>
      </c>
      <c r="B5347" s="17">
        <v>90222.07</v>
      </c>
      <c r="C5347" s="22">
        <v>47749810486</v>
      </c>
      <c r="D5347" s="21">
        <f t="shared" si="14"/>
        <v>412525590055</v>
      </c>
    </row>
    <row r="5348" spans="1:4" ht="14">
      <c r="A5348" s="16">
        <v>45723</v>
      </c>
      <c r="B5348" s="17">
        <v>86553.59</v>
      </c>
      <c r="C5348" s="22">
        <v>65945677657</v>
      </c>
      <c r="D5348" s="21">
        <f t="shared" si="14"/>
        <v>407615808587</v>
      </c>
    </row>
    <row r="5349" spans="1:4" ht="14">
      <c r="A5349" s="16">
        <v>45724</v>
      </c>
      <c r="B5349" s="17">
        <v>86171.28</v>
      </c>
      <c r="C5349" s="22">
        <v>18206118081</v>
      </c>
      <c r="D5349" s="21">
        <f t="shared" ref="D5349:D5603" si="15">IF(C5342&lt;&gt;"",SUM(C5342:C5348),"")</f>
        <v>389950915668</v>
      </c>
    </row>
    <row r="5350" spans="1:4" ht="14">
      <c r="A5350" s="16">
        <v>45725</v>
      </c>
      <c r="B5350" s="17">
        <v>80647.8</v>
      </c>
      <c r="C5350" s="22">
        <v>30899345977</v>
      </c>
      <c r="D5350" s="21">
        <f t="shared" si="15"/>
        <v>378966405353</v>
      </c>
    </row>
    <row r="5351" spans="1:4" ht="14">
      <c r="A5351" s="16">
        <v>45726</v>
      </c>
      <c r="B5351" s="17">
        <v>79005.960000000006</v>
      </c>
      <c r="C5351" s="22">
        <v>54061099422</v>
      </c>
      <c r="D5351" s="21">
        <f t="shared" si="15"/>
        <v>351467410238</v>
      </c>
    </row>
    <row r="5352" spans="1:4" ht="14">
      <c r="A5352" s="16">
        <v>45727</v>
      </c>
      <c r="B5352" s="17">
        <v>82747.16</v>
      </c>
      <c r="C5352" s="22">
        <v>54702837196</v>
      </c>
      <c r="D5352" s="21">
        <f t="shared" si="15"/>
        <v>335456281124</v>
      </c>
    </row>
    <row r="5353" spans="1:4" ht="14">
      <c r="A5353" s="16">
        <v>45728</v>
      </c>
      <c r="B5353" s="17">
        <v>83630.16</v>
      </c>
      <c r="C5353" s="22">
        <v>40353484454</v>
      </c>
      <c r="D5353" s="21">
        <f t="shared" si="15"/>
        <v>322063876846</v>
      </c>
    </row>
    <row r="5354" spans="1:4" ht="14">
      <c r="A5354" s="16">
        <v>45729</v>
      </c>
      <c r="B5354" s="17">
        <v>81110.289999999994</v>
      </c>
      <c r="C5354" s="22">
        <v>31412940153</v>
      </c>
      <c r="D5354" s="21">
        <f t="shared" si="15"/>
        <v>311918373273</v>
      </c>
    </row>
    <row r="5355" spans="1:4" ht="14">
      <c r="A5355" s="16">
        <v>45730</v>
      </c>
      <c r="B5355" s="17">
        <v>84105.83</v>
      </c>
      <c r="C5355" s="22">
        <v>29588112414</v>
      </c>
      <c r="D5355" s="21">
        <f t="shared" si="15"/>
        <v>295581502940</v>
      </c>
    </row>
    <row r="5356" spans="1:4" ht="14">
      <c r="A5356" s="16">
        <v>45731</v>
      </c>
      <c r="B5356" s="17">
        <v>84352.88</v>
      </c>
      <c r="C5356" s="22">
        <v>13650491277</v>
      </c>
      <c r="D5356" s="21">
        <f t="shared" si="15"/>
        <v>259223937697</v>
      </c>
    </row>
    <row r="5357" spans="1:4" ht="14">
      <c r="A5357" s="16">
        <v>45732</v>
      </c>
      <c r="B5357" s="17">
        <v>82492.100000000006</v>
      </c>
      <c r="C5357" s="22">
        <v>21330270174</v>
      </c>
      <c r="D5357" s="21">
        <f t="shared" si="15"/>
        <v>254668310893</v>
      </c>
    </row>
    <row r="5358" spans="1:4" ht="14">
      <c r="A5358" s="16">
        <v>45733</v>
      </c>
      <c r="B5358" s="17">
        <v>84013.95</v>
      </c>
      <c r="C5358" s="22">
        <v>25092785558</v>
      </c>
      <c r="D5358" s="21">
        <f t="shared" si="15"/>
        <v>245099235090</v>
      </c>
    </row>
    <row r="5359" spans="1:4" ht="14">
      <c r="A5359" s="16">
        <v>45734</v>
      </c>
      <c r="B5359" s="17">
        <v>82680.81</v>
      </c>
      <c r="C5359" s="22">
        <v>24095774594</v>
      </c>
      <c r="D5359" s="21">
        <f t="shared" si="15"/>
        <v>216130921226</v>
      </c>
    </row>
    <row r="5360" spans="1:4" ht="14">
      <c r="A5360" s="16">
        <v>45735</v>
      </c>
      <c r="B5360" s="17">
        <v>86774.24</v>
      </c>
      <c r="C5360" s="22">
        <v>34931960257</v>
      </c>
      <c r="D5360" s="21">
        <f t="shared" si="15"/>
        <v>185523858624</v>
      </c>
    </row>
    <row r="5361" spans="1:4" ht="14">
      <c r="A5361" s="16">
        <v>45736</v>
      </c>
      <c r="B5361" s="17">
        <v>84124.97</v>
      </c>
      <c r="C5361" s="22">
        <v>29028988961</v>
      </c>
      <c r="D5361" s="21">
        <f t="shared" si="15"/>
        <v>180102334427</v>
      </c>
    </row>
    <row r="5362" spans="1:4" ht="14">
      <c r="A5362" s="16">
        <v>45737</v>
      </c>
      <c r="B5362" s="17">
        <v>84069.41</v>
      </c>
      <c r="C5362" s="22">
        <v>19030452299</v>
      </c>
      <c r="D5362" s="21">
        <f t="shared" si="15"/>
        <v>177718383235</v>
      </c>
    </row>
    <row r="5363" spans="1:4" ht="14">
      <c r="A5363" s="16">
        <v>45738</v>
      </c>
      <c r="B5363" s="17">
        <v>83821.22</v>
      </c>
      <c r="C5363" s="22">
        <v>9863214091</v>
      </c>
      <c r="D5363" s="21">
        <f t="shared" si="15"/>
        <v>167160723120</v>
      </c>
    </row>
    <row r="5364" spans="1:4" ht="14">
      <c r="A5364" s="16">
        <v>45739</v>
      </c>
      <c r="B5364" s="17">
        <v>85760.88</v>
      </c>
      <c r="C5364" s="22">
        <v>12594615537</v>
      </c>
      <c r="D5364" s="21">
        <f t="shared" si="15"/>
        <v>163373445934</v>
      </c>
    </row>
    <row r="5365" spans="1:4" ht="14">
      <c r="A5365" s="16">
        <v>45740</v>
      </c>
      <c r="B5365" s="17">
        <v>87322.57</v>
      </c>
      <c r="C5365" s="22">
        <v>34582604933</v>
      </c>
      <c r="D5365" s="21">
        <f t="shared" si="15"/>
        <v>154637791297</v>
      </c>
    </row>
    <row r="5366" spans="1:4" ht="14">
      <c r="A5366" s="16">
        <v>45741</v>
      </c>
      <c r="B5366" s="17">
        <v>87422.84</v>
      </c>
      <c r="C5366" s="22">
        <v>30005840049</v>
      </c>
      <c r="D5366" s="21">
        <f t="shared" si="15"/>
        <v>164127610672</v>
      </c>
    </row>
    <row r="5367" spans="1:4" ht="14">
      <c r="A5367" s="16">
        <v>45742</v>
      </c>
      <c r="B5367" s="17">
        <v>86836.68</v>
      </c>
      <c r="C5367" s="22">
        <v>26704046038</v>
      </c>
      <c r="D5367" s="21">
        <f t="shared" si="15"/>
        <v>170037676127</v>
      </c>
    </row>
    <row r="5368" spans="1:4" ht="14">
      <c r="A5368" s="16">
        <v>45743</v>
      </c>
      <c r="B5368" s="17">
        <v>87211.32</v>
      </c>
      <c r="C5368" s="22">
        <v>24413471941</v>
      </c>
      <c r="D5368" s="21">
        <f t="shared" si="15"/>
        <v>161809761908</v>
      </c>
    </row>
    <row r="5369" spans="1:4" ht="14">
      <c r="A5369" s="16">
        <v>45744</v>
      </c>
      <c r="B5369" s="17">
        <v>84309.08</v>
      </c>
      <c r="C5369" s="22">
        <v>34198619509</v>
      </c>
      <c r="D5369" s="21">
        <f t="shared" si="15"/>
        <v>157194244888</v>
      </c>
    </row>
    <row r="5370" spans="1:4" ht="14">
      <c r="A5370" s="16">
        <v>45745</v>
      </c>
      <c r="B5370" s="17">
        <v>82497.179999999993</v>
      </c>
      <c r="C5370" s="22">
        <v>16969396135</v>
      </c>
      <c r="D5370" s="21">
        <f t="shared" si="15"/>
        <v>172362412098</v>
      </c>
    </row>
    <row r="5371" spans="1:4" ht="14">
      <c r="A5371" s="16">
        <v>45746</v>
      </c>
      <c r="B5371" s="17">
        <v>82216.47</v>
      </c>
      <c r="C5371" s="22">
        <v>14763760943</v>
      </c>
      <c r="D5371" s="21">
        <f t="shared" si="15"/>
        <v>179468594142</v>
      </c>
    </row>
    <row r="5372" spans="1:4" ht="14">
      <c r="A5372" s="16">
        <v>45747</v>
      </c>
      <c r="B5372" s="17">
        <v>82461.45</v>
      </c>
      <c r="C5372" s="22">
        <v>29004228247</v>
      </c>
      <c r="D5372" s="21">
        <f t="shared" si="15"/>
        <v>181637739548</v>
      </c>
    </row>
    <row r="5373" spans="1:4" ht="14">
      <c r="A5373" s="16">
        <v>45748</v>
      </c>
      <c r="B5373" s="17">
        <v>85226.71</v>
      </c>
      <c r="C5373" s="22">
        <v>28175650319</v>
      </c>
      <c r="D5373" s="21">
        <f t="shared" si="15"/>
        <v>176059362862</v>
      </c>
    </row>
    <row r="5374" spans="1:4" ht="14">
      <c r="A5374" s="16">
        <v>45749</v>
      </c>
      <c r="B5374" s="17">
        <v>82555.63</v>
      </c>
      <c r="C5374" s="22">
        <v>47584398470</v>
      </c>
      <c r="D5374" s="21">
        <f t="shared" si="15"/>
        <v>174229173132</v>
      </c>
    </row>
    <row r="5375" spans="1:4" ht="14">
      <c r="A5375" s="16">
        <v>45750</v>
      </c>
      <c r="B5375" s="17">
        <v>82931.7</v>
      </c>
      <c r="C5375" s="22">
        <v>36852112080</v>
      </c>
      <c r="D5375" s="21">
        <f t="shared" si="15"/>
        <v>195109525564</v>
      </c>
    </row>
    <row r="5376" spans="1:4" ht="14">
      <c r="A5376" s="16">
        <v>45751</v>
      </c>
      <c r="B5376" s="17">
        <v>83774.179999999993</v>
      </c>
      <c r="C5376" s="22">
        <v>45157640207</v>
      </c>
      <c r="D5376" s="21">
        <f t="shared" si="15"/>
        <v>207548165703</v>
      </c>
    </row>
    <row r="5377" spans="1:4" ht="14">
      <c r="A5377" s="16">
        <v>45752</v>
      </c>
      <c r="B5377" s="17">
        <v>83302.17</v>
      </c>
      <c r="C5377" s="22">
        <v>14380803631</v>
      </c>
      <c r="D5377" s="21">
        <f t="shared" si="15"/>
        <v>218507186401</v>
      </c>
    </row>
    <row r="5378" spans="1:4" ht="14">
      <c r="A5378" s="16">
        <v>45753</v>
      </c>
      <c r="B5378" s="17">
        <v>77949.09</v>
      </c>
      <c r="C5378" s="22">
        <v>36294853736</v>
      </c>
      <c r="D5378" s="21">
        <f t="shared" si="15"/>
        <v>215918593897</v>
      </c>
    </row>
    <row r="5379" spans="1:4" ht="14">
      <c r="A5379" s="16">
        <v>45754</v>
      </c>
      <c r="B5379" s="17">
        <v>79421.8</v>
      </c>
      <c r="C5379" s="22">
        <v>91262424987</v>
      </c>
      <c r="D5379" s="21">
        <f t="shared" si="15"/>
        <v>237449686690</v>
      </c>
    </row>
    <row r="5380" spans="1:4" ht="14">
      <c r="A5380" s="16">
        <v>45755</v>
      </c>
      <c r="B5380" s="17">
        <v>76351.429999999993</v>
      </c>
      <c r="C5380" s="22">
        <v>48314590749</v>
      </c>
      <c r="D5380" s="21">
        <f t="shared" si="15"/>
        <v>299707883430</v>
      </c>
    </row>
    <row r="5381" spans="1:4" ht="14">
      <c r="A5381" s="16">
        <v>45756</v>
      </c>
      <c r="B5381" s="17">
        <v>82720.600000000006</v>
      </c>
      <c r="C5381" s="22">
        <v>84213627038</v>
      </c>
      <c r="D5381" s="21">
        <f t="shared" si="15"/>
        <v>319846823860</v>
      </c>
    </row>
    <row r="5382" spans="1:4" ht="14">
      <c r="A5382" s="16">
        <v>45757</v>
      </c>
      <c r="B5382" s="17">
        <v>79558.960000000006</v>
      </c>
      <c r="C5382" s="22">
        <v>44718000633</v>
      </c>
      <c r="D5382" s="21">
        <f t="shared" si="15"/>
        <v>356476052428</v>
      </c>
    </row>
    <row r="5383" spans="1:4" ht="14">
      <c r="A5383" s="16">
        <v>45758</v>
      </c>
      <c r="B5383" s="17">
        <v>83359.899999999994</v>
      </c>
      <c r="C5383" s="22">
        <v>41656778779</v>
      </c>
      <c r="D5383" s="21">
        <f t="shared" si="15"/>
        <v>364341940981</v>
      </c>
    </row>
    <row r="5384" spans="1:4" ht="14">
      <c r="A5384" s="16">
        <v>45759</v>
      </c>
      <c r="B5384" s="17">
        <v>85269.25</v>
      </c>
      <c r="C5384" s="22">
        <v>24258059104</v>
      </c>
      <c r="D5384" s="21">
        <f t="shared" si="15"/>
        <v>360841079553</v>
      </c>
    </row>
    <row r="5385" spans="1:4" ht="14">
      <c r="A5385" s="16">
        <v>45760</v>
      </c>
      <c r="B5385" s="17">
        <v>83568.95</v>
      </c>
      <c r="C5385" s="22">
        <v>28796984817</v>
      </c>
      <c r="D5385" s="21">
        <f t="shared" si="15"/>
        <v>370718335026</v>
      </c>
    </row>
    <row r="5386" spans="1:4" ht="14">
      <c r="A5386" s="16">
        <v>45761</v>
      </c>
      <c r="B5386" s="17">
        <v>84589.03</v>
      </c>
      <c r="C5386" s="22">
        <v>34090769777</v>
      </c>
      <c r="D5386" s="21">
        <f t="shared" si="15"/>
        <v>363220466107</v>
      </c>
    </row>
    <row r="5387" spans="1:4" ht="14">
      <c r="A5387" s="16">
        <v>45762</v>
      </c>
      <c r="B5387" s="17">
        <v>83671.34</v>
      </c>
      <c r="C5387" s="22">
        <v>28040322885</v>
      </c>
      <c r="D5387" s="21">
        <f t="shared" si="15"/>
        <v>306048810897</v>
      </c>
    </row>
    <row r="5388" spans="1:4" ht="14">
      <c r="A5388" s="16">
        <v>45763</v>
      </c>
      <c r="B5388" s="17">
        <v>84151.54</v>
      </c>
      <c r="C5388" s="22">
        <v>29617804112</v>
      </c>
      <c r="D5388" s="21">
        <f t="shared" si="15"/>
        <v>285774543033</v>
      </c>
    </row>
    <row r="5389" spans="1:4" ht="14">
      <c r="A5389" s="16">
        <v>45764</v>
      </c>
      <c r="B5389" s="17">
        <v>84940.58</v>
      </c>
      <c r="C5389" s="22">
        <v>21276866029</v>
      </c>
      <c r="D5389" s="21">
        <f t="shared" si="15"/>
        <v>231178720107</v>
      </c>
    </row>
    <row r="5390" spans="1:4" ht="14">
      <c r="A5390" s="16">
        <v>45765</v>
      </c>
      <c r="B5390" s="17">
        <v>84434.77</v>
      </c>
      <c r="C5390" s="22">
        <v>12728372364</v>
      </c>
      <c r="D5390" s="21">
        <f t="shared" si="15"/>
        <v>207737585503</v>
      </c>
    </row>
    <row r="5391" spans="1:4" ht="14">
      <c r="A5391" s="16">
        <v>45766</v>
      </c>
      <c r="B5391" s="17">
        <v>85124.72</v>
      </c>
      <c r="C5391" s="22">
        <v>15259300427</v>
      </c>
      <c r="D5391" s="21">
        <f t="shared" si="15"/>
        <v>178809179088</v>
      </c>
    </row>
    <row r="5392" spans="1:4" ht="14">
      <c r="A5392" s="16">
        <v>45767</v>
      </c>
      <c r="B5392" s="17">
        <v>85101.75</v>
      </c>
      <c r="C5392" s="22">
        <v>14664050812</v>
      </c>
      <c r="D5392" s="21">
        <f t="shared" si="15"/>
        <v>169810420411</v>
      </c>
    </row>
    <row r="5393" spans="1:4" ht="14">
      <c r="A5393" s="16">
        <v>45768</v>
      </c>
      <c r="B5393" s="17">
        <v>87360.72</v>
      </c>
      <c r="C5393" s="22">
        <v>41396190190</v>
      </c>
      <c r="D5393" s="21">
        <f t="shared" si="15"/>
        <v>155677486406</v>
      </c>
    </row>
    <row r="5394" spans="1:4" ht="14">
      <c r="A5394" s="16">
        <v>45769</v>
      </c>
      <c r="B5394" s="17">
        <v>93495.61</v>
      </c>
      <c r="C5394" s="22">
        <v>55899038456</v>
      </c>
      <c r="D5394" s="21">
        <f t="shared" si="15"/>
        <v>162982906819</v>
      </c>
    </row>
    <row r="5395" spans="1:4" ht="14">
      <c r="A5395" s="16">
        <v>45770</v>
      </c>
      <c r="B5395" s="17">
        <v>93695.74</v>
      </c>
      <c r="C5395" s="22">
        <v>41719568821</v>
      </c>
      <c r="D5395" s="21">
        <f t="shared" si="15"/>
        <v>190841622390</v>
      </c>
    </row>
    <row r="5396" spans="1:4" ht="14">
      <c r="A5396" s="16">
        <v>45771</v>
      </c>
      <c r="B5396" s="17">
        <v>93849.88</v>
      </c>
      <c r="C5396" s="22">
        <v>31483175315</v>
      </c>
      <c r="D5396" s="21">
        <f t="shared" si="15"/>
        <v>202943387099</v>
      </c>
    </row>
    <row r="5397" spans="1:4" ht="14">
      <c r="A5397" s="16">
        <v>45772</v>
      </c>
      <c r="B5397" s="17">
        <v>94771.41</v>
      </c>
      <c r="C5397" s="22">
        <v>40915232364</v>
      </c>
      <c r="D5397" s="21">
        <f t="shared" si="15"/>
        <v>213149696385</v>
      </c>
    </row>
    <row r="5398" spans="1:4" ht="14">
      <c r="A5398" s="16">
        <v>45773</v>
      </c>
      <c r="B5398" s="17">
        <v>94694.51</v>
      </c>
      <c r="C5398" s="22">
        <v>17612825123</v>
      </c>
      <c r="D5398" s="21">
        <f t="shared" si="15"/>
        <v>241336556385</v>
      </c>
    </row>
    <row r="5399" spans="1:4" ht="14">
      <c r="A5399" s="16">
        <v>45774</v>
      </c>
      <c r="B5399" s="17">
        <v>93812.88</v>
      </c>
      <c r="C5399" s="22">
        <v>18090367764</v>
      </c>
      <c r="D5399" s="21">
        <f t="shared" si="15"/>
        <v>243690081081</v>
      </c>
    </row>
    <row r="5400" spans="1:4" ht="14">
      <c r="A5400" s="16">
        <v>45775</v>
      </c>
      <c r="B5400" s="17">
        <v>95066.02</v>
      </c>
      <c r="C5400" s="22">
        <v>32363449569</v>
      </c>
      <c r="D5400" s="21">
        <f t="shared" si="15"/>
        <v>247116398033</v>
      </c>
    </row>
    <row r="5401" spans="1:4" ht="14">
      <c r="A5401" s="16">
        <v>45776</v>
      </c>
      <c r="B5401" s="17">
        <v>94102.84</v>
      </c>
      <c r="C5401" s="22">
        <v>25806129921</v>
      </c>
      <c r="D5401" s="21">
        <f t="shared" si="15"/>
        <v>238083657412</v>
      </c>
    </row>
    <row r="5402" spans="1:4" ht="14">
      <c r="A5402" s="16">
        <v>45777</v>
      </c>
      <c r="B5402" s="17">
        <v>94236.73</v>
      </c>
      <c r="C5402" s="22">
        <v>28344679831</v>
      </c>
      <c r="D5402" s="21">
        <f t="shared" si="15"/>
        <v>207990748877</v>
      </c>
    </row>
    <row r="5403" spans="1:4" ht="14">
      <c r="A5403" s="16">
        <v>45778</v>
      </c>
      <c r="B5403" s="17">
        <v>96411.74</v>
      </c>
      <c r="C5403" s="22">
        <v>32875889623</v>
      </c>
      <c r="D5403" s="21">
        <f t="shared" si="15"/>
        <v>194615859887</v>
      </c>
    </row>
    <row r="5404" spans="1:4" ht="14">
      <c r="A5404" s="16">
        <v>45779</v>
      </c>
      <c r="B5404" s="17">
        <v>96842.1</v>
      </c>
      <c r="C5404" s="22">
        <v>26421924677</v>
      </c>
      <c r="D5404" s="21">
        <f t="shared" si="15"/>
        <v>196008574195</v>
      </c>
    </row>
    <row r="5405" spans="1:4" ht="14">
      <c r="A5405" s="16">
        <v>45780</v>
      </c>
      <c r="B5405" s="17">
        <v>95943.61</v>
      </c>
      <c r="C5405" s="22">
        <v>15775154889</v>
      </c>
      <c r="D5405" s="21">
        <f t="shared" si="15"/>
        <v>181515266508</v>
      </c>
    </row>
    <row r="5406" spans="1:4" ht="14">
      <c r="A5406" s="16">
        <v>45781</v>
      </c>
      <c r="B5406" s="17">
        <v>94377.79</v>
      </c>
      <c r="C5406" s="22">
        <v>18198688416</v>
      </c>
      <c r="D5406" s="21">
        <f t="shared" si="15"/>
        <v>179677596274</v>
      </c>
    </row>
    <row r="5407" spans="1:4" ht="14">
      <c r="A5407" s="16">
        <v>45782</v>
      </c>
      <c r="B5407" s="17">
        <v>94853.73</v>
      </c>
      <c r="C5407" s="22">
        <v>25816260327</v>
      </c>
      <c r="D5407" s="21">
        <f t="shared" si="15"/>
        <v>179785916926</v>
      </c>
    </row>
    <row r="5408" spans="1:4" ht="14">
      <c r="A5408" s="16">
        <v>45783</v>
      </c>
      <c r="B5408" s="17">
        <v>96677.92</v>
      </c>
      <c r="C5408" s="22">
        <v>26551275827</v>
      </c>
      <c r="D5408" s="21">
        <f t="shared" si="15"/>
        <v>173238727684</v>
      </c>
    </row>
    <row r="5409" spans="1:4" ht="14">
      <c r="A5409" s="16">
        <v>45784</v>
      </c>
      <c r="B5409" s="17">
        <v>97137.38</v>
      </c>
      <c r="C5409" s="22">
        <v>76983822462</v>
      </c>
      <c r="D5409" s="21">
        <f t="shared" si="15"/>
        <v>173983873590</v>
      </c>
    </row>
    <row r="5410" spans="1:4" ht="14">
      <c r="A5410" s="16">
        <v>45785</v>
      </c>
      <c r="B5410" s="17">
        <v>103069.54</v>
      </c>
      <c r="C5410" s="22">
        <v>69895404397</v>
      </c>
      <c r="D5410" s="21">
        <f t="shared" si="15"/>
        <v>222623016221</v>
      </c>
    </row>
    <row r="5411" spans="1:4" ht="14">
      <c r="A5411" s="16">
        <v>45786</v>
      </c>
      <c r="B5411" s="17">
        <v>102940.8</v>
      </c>
      <c r="C5411" s="22">
        <v>41839425220</v>
      </c>
      <c r="D5411" s="21">
        <f t="shared" si="15"/>
        <v>259642530995</v>
      </c>
    </row>
    <row r="5412" spans="1:4" ht="14">
      <c r="A5412" s="16">
        <v>45787</v>
      </c>
      <c r="B5412" s="17">
        <v>104582.82</v>
      </c>
      <c r="C5412" s="22">
        <v>42276713994</v>
      </c>
      <c r="D5412" s="21">
        <f t="shared" si="15"/>
        <v>275060031538</v>
      </c>
    </row>
    <row r="5413" spans="1:4" ht="14">
      <c r="A5413" s="16">
        <v>45788</v>
      </c>
      <c r="B5413" s="17">
        <v>103976.14</v>
      </c>
      <c r="C5413" s="22">
        <v>46285517406</v>
      </c>
      <c r="D5413" s="21">
        <f t="shared" si="15"/>
        <v>301561590643</v>
      </c>
    </row>
    <row r="5414" spans="1:4" ht="14">
      <c r="A5414" s="16">
        <v>45789</v>
      </c>
      <c r="B5414" s="17">
        <v>102920.07</v>
      </c>
      <c r="C5414" s="22">
        <v>63250475404</v>
      </c>
      <c r="D5414" s="21">
        <f t="shared" si="15"/>
        <v>329648419633</v>
      </c>
    </row>
    <row r="5415" spans="1:4" ht="14">
      <c r="A5415" s="16">
        <v>45790</v>
      </c>
      <c r="B5415" s="17">
        <v>104145.71</v>
      </c>
      <c r="C5415" s="22">
        <v>52608876410</v>
      </c>
      <c r="D5415" s="21">
        <f t="shared" si="15"/>
        <v>367082634710</v>
      </c>
    </row>
    <row r="5416" spans="1:4" ht="14">
      <c r="A5416" s="16">
        <v>45791</v>
      </c>
      <c r="B5416" s="17">
        <v>103572.72</v>
      </c>
      <c r="C5416" s="22">
        <v>45956071155</v>
      </c>
      <c r="D5416" s="21">
        <f t="shared" si="15"/>
        <v>393140235293</v>
      </c>
    </row>
    <row r="5417" spans="1:4" ht="14">
      <c r="A5417" s="16">
        <v>45792</v>
      </c>
      <c r="B5417" s="17">
        <v>103716.28</v>
      </c>
      <c r="C5417" s="22">
        <v>50408241840</v>
      </c>
      <c r="D5417" s="21">
        <f t="shared" si="15"/>
        <v>362112483986</v>
      </c>
    </row>
    <row r="5418" spans="1:4" ht="14">
      <c r="A5418" s="16">
        <v>45793</v>
      </c>
      <c r="B5418" s="17">
        <v>103566.27</v>
      </c>
      <c r="C5418" s="22">
        <v>44386499364</v>
      </c>
      <c r="D5418" s="21">
        <f t="shared" si="15"/>
        <v>342625321429</v>
      </c>
    </row>
    <row r="5419" spans="1:4" ht="14">
      <c r="A5419" s="16">
        <v>45794</v>
      </c>
      <c r="B5419" s="17">
        <v>103190.04</v>
      </c>
      <c r="C5419" s="22">
        <v>37898552742</v>
      </c>
      <c r="D5419" s="21">
        <f t="shared" si="15"/>
        <v>345172395573</v>
      </c>
    </row>
    <row r="5420" spans="1:4" ht="14">
      <c r="A5420" s="16">
        <v>45795</v>
      </c>
      <c r="B5420" s="17">
        <v>106015.69</v>
      </c>
      <c r="C5420" s="22">
        <v>49887082058</v>
      </c>
      <c r="D5420" s="21">
        <f t="shared" si="15"/>
        <v>340794234321</v>
      </c>
    </row>
    <row r="5421" spans="1:4" ht="14">
      <c r="A5421" s="16">
        <v>45796</v>
      </c>
      <c r="B5421" s="17">
        <v>105615.83</v>
      </c>
      <c r="C5421" s="22">
        <v>61761126647</v>
      </c>
      <c r="D5421" s="21">
        <f t="shared" si="15"/>
        <v>344395798973</v>
      </c>
    </row>
    <row r="5422" spans="1:4" ht="14">
      <c r="A5422" s="16">
        <v>45797</v>
      </c>
      <c r="B5422" s="17">
        <v>106893.33</v>
      </c>
      <c r="C5422" s="22">
        <v>36515726122</v>
      </c>
      <c r="D5422" s="21">
        <f t="shared" si="15"/>
        <v>342906450216</v>
      </c>
    </row>
    <row r="5423" spans="1:4" ht="14">
      <c r="A5423" s="16">
        <v>45798</v>
      </c>
      <c r="B5423" s="17">
        <v>109704.86</v>
      </c>
      <c r="C5423" s="22">
        <v>78086364051</v>
      </c>
      <c r="D5423" s="21">
        <f t="shared" si="15"/>
        <v>326813299928</v>
      </c>
    </row>
    <row r="5424" spans="1:4" ht="14">
      <c r="A5424" s="16">
        <v>45799</v>
      </c>
      <c r="B5424" s="17">
        <v>111477.01</v>
      </c>
      <c r="C5424" s="22">
        <v>70157575642</v>
      </c>
      <c r="D5424" s="21">
        <f t="shared" si="15"/>
        <v>358943592824</v>
      </c>
    </row>
    <row r="5425" spans="1:4" ht="14">
      <c r="A5425" s="16">
        <v>45800</v>
      </c>
      <c r="B5425" s="17">
        <v>107291.89</v>
      </c>
      <c r="C5425" s="22">
        <v>67548133399</v>
      </c>
      <c r="D5425" s="21">
        <f t="shared" si="15"/>
        <v>378692926626</v>
      </c>
    </row>
    <row r="5426" spans="1:4" ht="14">
      <c r="A5426" s="16">
        <v>45801</v>
      </c>
      <c r="B5426" s="17">
        <v>107917.33</v>
      </c>
      <c r="C5426" s="22">
        <v>45903627163</v>
      </c>
      <c r="D5426" s="21">
        <f t="shared" si="15"/>
        <v>401854560661</v>
      </c>
    </row>
    <row r="5427" spans="1:4" ht="14">
      <c r="A5427" s="16">
        <v>45802</v>
      </c>
      <c r="B5427" s="17">
        <v>108914.88</v>
      </c>
      <c r="C5427" s="22">
        <v>47518041841</v>
      </c>
      <c r="D5427" s="21">
        <f t="shared" si="15"/>
        <v>409859635082</v>
      </c>
    </row>
    <row r="5428" spans="1:4" ht="14">
      <c r="A5428" s="16">
        <v>45803</v>
      </c>
      <c r="B5428" s="17">
        <v>109371.99</v>
      </c>
      <c r="C5428" s="22">
        <v>45950461571</v>
      </c>
      <c r="D5428" s="21">
        <f t="shared" si="15"/>
        <v>407490594865</v>
      </c>
    </row>
    <row r="5429" spans="1:4" ht="14">
      <c r="A5429" s="16">
        <v>45804</v>
      </c>
      <c r="B5429" s="17">
        <v>109066.35</v>
      </c>
      <c r="C5429" s="22">
        <v>57450176272</v>
      </c>
      <c r="D5429" s="21">
        <f t="shared" si="15"/>
        <v>391679929789</v>
      </c>
    </row>
    <row r="5430" spans="1:4" ht="14">
      <c r="A5430" s="16">
        <v>45805</v>
      </c>
      <c r="B5430" s="17">
        <v>107895.4</v>
      </c>
      <c r="C5430" s="22">
        <v>49155377493</v>
      </c>
      <c r="D5430" s="21">
        <f t="shared" si="15"/>
        <v>412614379939</v>
      </c>
    </row>
    <row r="5431" spans="1:4" ht="14">
      <c r="A5431" s="16">
        <v>45806</v>
      </c>
      <c r="B5431" s="17">
        <v>105732.96</v>
      </c>
      <c r="C5431" s="22">
        <v>56022752042</v>
      </c>
      <c r="D5431" s="21">
        <f t="shared" si="15"/>
        <v>383683393381</v>
      </c>
    </row>
    <row r="5432" spans="1:4" ht="14">
      <c r="A5432" s="16">
        <v>45807</v>
      </c>
      <c r="B5432" s="17">
        <v>103981.3</v>
      </c>
      <c r="C5432" s="22">
        <v>57655287183</v>
      </c>
      <c r="D5432" s="21">
        <f t="shared" si="15"/>
        <v>369548569781</v>
      </c>
    </row>
    <row r="5433" spans="1:4" ht="14">
      <c r="A5433" s="16">
        <v>45808</v>
      </c>
      <c r="B5433" s="17">
        <v>104708.96</v>
      </c>
      <c r="C5433" s="22">
        <v>38997843858</v>
      </c>
      <c r="D5433" s="21">
        <f t="shared" si="15"/>
        <v>359655723565</v>
      </c>
    </row>
    <row r="5434" spans="1:4" ht="14">
      <c r="A5434" s="16">
        <v>45809</v>
      </c>
      <c r="B5434" s="17">
        <v>105750.16</v>
      </c>
      <c r="C5434" s="22">
        <v>37397056873</v>
      </c>
      <c r="D5434" s="21">
        <f t="shared" si="15"/>
        <v>352749940260</v>
      </c>
    </row>
    <row r="5435" spans="1:4" ht="14">
      <c r="A5435" s="16">
        <v>45810</v>
      </c>
      <c r="B5435" s="17">
        <v>105899.7</v>
      </c>
      <c r="C5435" s="22">
        <v>45819706290</v>
      </c>
      <c r="D5435" s="21">
        <f t="shared" si="15"/>
        <v>342628955292</v>
      </c>
    </row>
    <row r="5436" spans="1:4" ht="14">
      <c r="A5436" s="16">
        <v>45811</v>
      </c>
      <c r="B5436" s="17">
        <v>105483.99</v>
      </c>
      <c r="C5436" s="22">
        <v>46196508367</v>
      </c>
      <c r="D5436" s="21">
        <f t="shared" si="15"/>
        <v>342498200011</v>
      </c>
    </row>
    <row r="5437" spans="1:4" ht="14">
      <c r="A5437" s="16">
        <v>45812</v>
      </c>
      <c r="B5437" s="17">
        <v>104782.84</v>
      </c>
      <c r="C5437" s="22">
        <v>44544857105</v>
      </c>
      <c r="D5437" s="21">
        <f t="shared" si="15"/>
        <v>331244532106</v>
      </c>
    </row>
    <row r="5438" spans="1:4" ht="14">
      <c r="A5438" s="16">
        <v>45813</v>
      </c>
      <c r="B5438" s="17">
        <v>101669.19</v>
      </c>
      <c r="C5438" s="22">
        <v>57479278400</v>
      </c>
      <c r="D5438" s="21">
        <f t="shared" si="15"/>
        <v>326634011718</v>
      </c>
    </row>
    <row r="5439" spans="1:4" ht="14">
      <c r="A5439" s="16">
        <v>45814</v>
      </c>
      <c r="B5439" s="17">
        <v>104421.05</v>
      </c>
      <c r="C5439" s="22">
        <v>48856653697</v>
      </c>
      <c r="D5439" s="21">
        <f t="shared" si="15"/>
        <v>328090538076</v>
      </c>
    </row>
    <row r="5440" spans="1:4" ht="14">
      <c r="A5440" s="16">
        <v>45815</v>
      </c>
      <c r="B5440" s="17">
        <v>105685.25</v>
      </c>
      <c r="C5440" s="22">
        <v>38365033776</v>
      </c>
      <c r="D5440" s="21">
        <f t="shared" si="15"/>
        <v>319291904590</v>
      </c>
    </row>
    <row r="5441" spans="1:4" ht="14">
      <c r="A5441" s="16">
        <v>45816</v>
      </c>
      <c r="B5441" s="17">
        <v>105727.74</v>
      </c>
      <c r="C5441" s="22">
        <v>36626232328</v>
      </c>
      <c r="D5441" s="21">
        <f t="shared" si="15"/>
        <v>318659094508</v>
      </c>
    </row>
    <row r="5442" spans="1:4" ht="14">
      <c r="A5442" s="16">
        <v>45817</v>
      </c>
      <c r="B5442" s="17">
        <v>110198.16</v>
      </c>
      <c r="C5442" s="22">
        <v>55903193732</v>
      </c>
      <c r="D5442" s="21">
        <f t="shared" si="15"/>
        <v>317888269963</v>
      </c>
    </row>
    <row r="5443" spans="1:4" ht="14">
      <c r="A5443" s="16">
        <v>45818</v>
      </c>
      <c r="B5443" s="17">
        <v>110074.12</v>
      </c>
      <c r="C5443" s="22">
        <v>55903193732</v>
      </c>
      <c r="D5443" s="21">
        <f t="shared" si="15"/>
        <v>327971757405</v>
      </c>
    </row>
    <row r="5444" spans="1:4" ht="14">
      <c r="A5444" s="16">
        <v>45819</v>
      </c>
      <c r="B5444" s="17">
        <v>108645.79</v>
      </c>
      <c r="C5444" s="22">
        <v>50842662052</v>
      </c>
      <c r="D5444" s="21">
        <f t="shared" si="15"/>
        <v>337678442770</v>
      </c>
    </row>
    <row r="5445" spans="1:4" ht="14">
      <c r="A5445" s="16">
        <v>45820</v>
      </c>
      <c r="B5445" s="17">
        <v>105998.99</v>
      </c>
      <c r="C5445" s="22">
        <v>54843867968</v>
      </c>
      <c r="D5445" s="21">
        <f t="shared" si="15"/>
        <v>343976247717</v>
      </c>
    </row>
    <row r="5446" spans="1:4" ht="14">
      <c r="A5446" s="16">
        <v>45821</v>
      </c>
      <c r="B5446" s="17">
        <v>106024.82</v>
      </c>
      <c r="C5446" s="22">
        <v>69550440846</v>
      </c>
      <c r="D5446" s="21">
        <f t="shared" si="15"/>
        <v>341340837285</v>
      </c>
    </row>
    <row r="5447" spans="1:4" ht="14">
      <c r="A5447" s="16">
        <v>45822</v>
      </c>
      <c r="B5447" s="17">
        <v>105467.11</v>
      </c>
      <c r="C5447" s="22">
        <v>38007870453</v>
      </c>
      <c r="D5447" s="21">
        <f t="shared" si="15"/>
        <v>362034624434</v>
      </c>
    </row>
    <row r="5448" spans="1:4" ht="14">
      <c r="A5448" s="16">
        <v>45823</v>
      </c>
      <c r="B5448" s="17">
        <v>105512.8</v>
      </c>
      <c r="C5448" s="22">
        <v>36744307742</v>
      </c>
      <c r="D5448" s="21">
        <f t="shared" si="15"/>
        <v>361677461111</v>
      </c>
    </row>
    <row r="5449" spans="1:4" ht="14">
      <c r="A5449" s="16">
        <v>45824</v>
      </c>
      <c r="B5449" s="17">
        <v>107243.93</v>
      </c>
      <c r="C5449" s="22">
        <v>50366626945</v>
      </c>
      <c r="D5449" s="21">
        <f t="shared" si="15"/>
        <v>361795536525</v>
      </c>
    </row>
    <row r="5450" spans="1:4" ht="14">
      <c r="A5450" s="16">
        <v>45825</v>
      </c>
      <c r="B5450" s="17">
        <v>104628.4</v>
      </c>
      <c r="C5450" s="22">
        <v>55964092176</v>
      </c>
      <c r="D5450" s="21">
        <f t="shared" si="15"/>
        <v>356258969738</v>
      </c>
    </row>
    <row r="5451" spans="1:4" ht="14">
      <c r="A5451" s="16">
        <v>45826</v>
      </c>
      <c r="B5451" s="17">
        <v>104813.37</v>
      </c>
      <c r="C5451" s="22">
        <v>47318089133</v>
      </c>
      <c r="D5451" s="21">
        <f t="shared" si="15"/>
        <v>356319868182</v>
      </c>
    </row>
    <row r="5452" spans="1:4" ht="14">
      <c r="A5452" s="16">
        <v>45827</v>
      </c>
      <c r="B5452" s="17">
        <v>104709.72</v>
      </c>
      <c r="C5452" s="22">
        <v>37333806920</v>
      </c>
      <c r="D5452" s="21">
        <f t="shared" si="15"/>
        <v>352795295263</v>
      </c>
    </row>
    <row r="5453" spans="1:4" ht="14">
      <c r="A5453" s="16">
        <v>45828</v>
      </c>
      <c r="B5453" s="17">
        <v>103274.96</v>
      </c>
      <c r="C5453" s="22">
        <v>50951862476</v>
      </c>
      <c r="D5453" s="21">
        <f t="shared" si="15"/>
        <v>335285234215</v>
      </c>
    </row>
    <row r="5454" spans="1:4" ht="14">
      <c r="A5454" s="16">
        <v>45829</v>
      </c>
      <c r="B5454" s="17">
        <v>101548.2</v>
      </c>
      <c r="C5454" s="22">
        <v>38360555118</v>
      </c>
      <c r="D5454" s="21">
        <f t="shared" si="15"/>
        <v>316686655845</v>
      </c>
    </row>
    <row r="5455" spans="1:4" ht="14">
      <c r="A5455" s="16">
        <v>45830</v>
      </c>
      <c r="B5455" s="17">
        <v>100899.23</v>
      </c>
      <c r="C5455" s="22">
        <v>65536997201</v>
      </c>
      <c r="D5455" s="21">
        <f t="shared" si="15"/>
        <v>317039340510</v>
      </c>
    </row>
    <row r="5456" spans="1:4" ht="14">
      <c r="A5456" s="16">
        <v>45831</v>
      </c>
      <c r="B5456" s="17">
        <v>105496.95</v>
      </c>
      <c r="C5456" s="22">
        <v>65237759656</v>
      </c>
      <c r="D5456" s="21">
        <f t="shared" si="15"/>
        <v>345832029969</v>
      </c>
    </row>
    <row r="5457" spans="1:4" ht="14">
      <c r="A5457" s="16">
        <v>45832</v>
      </c>
      <c r="B5457" s="17">
        <v>105964.07</v>
      </c>
      <c r="C5457" s="22">
        <v>48822986421</v>
      </c>
      <c r="D5457" s="21">
        <f t="shared" si="15"/>
        <v>360703162680</v>
      </c>
    </row>
    <row r="5458" spans="1:4" ht="14">
      <c r="A5458" s="16">
        <v>45833</v>
      </c>
      <c r="B5458" s="17">
        <v>107305.07</v>
      </c>
      <c r="C5458" s="22">
        <v>51624120283</v>
      </c>
      <c r="D5458" s="21">
        <f t="shared" si="15"/>
        <v>353562056925</v>
      </c>
    </row>
    <row r="5459" spans="1:4" ht="14">
      <c r="A5459" s="16">
        <v>45834</v>
      </c>
      <c r="B5459" s="17">
        <v>107012.82</v>
      </c>
      <c r="C5459" s="22">
        <v>43891990613</v>
      </c>
      <c r="D5459" s="21">
        <f t="shared" si="15"/>
        <v>357868088075</v>
      </c>
    </row>
    <row r="5460" spans="1:4" ht="14">
      <c r="A5460" s="16">
        <v>45835</v>
      </c>
      <c r="B5460" s="17">
        <v>107090.96</v>
      </c>
      <c r="C5460" s="22">
        <v>45353692675</v>
      </c>
      <c r="D5460" s="21">
        <f t="shared" si="15"/>
        <v>364426271768</v>
      </c>
    </row>
    <row r="5461" spans="1:4" ht="14">
      <c r="A5461" s="16">
        <v>45836</v>
      </c>
      <c r="B5461" s="17">
        <v>107357.62</v>
      </c>
      <c r="C5461" s="22">
        <v>30037708335</v>
      </c>
      <c r="D5461" s="21">
        <f t="shared" si="15"/>
        <v>358828101967</v>
      </c>
    </row>
    <row r="5462" spans="1:4" ht="14">
      <c r="A5462" s="16">
        <v>45837</v>
      </c>
      <c r="B5462" s="17">
        <v>108360.9</v>
      </c>
      <c r="C5462" s="22">
        <v>35534874438</v>
      </c>
      <c r="D5462" s="21">
        <f t="shared" si="15"/>
        <v>350505255184</v>
      </c>
    </row>
    <row r="5463" spans="1:4" ht="14">
      <c r="A5463" s="16">
        <v>45838</v>
      </c>
      <c r="B5463" s="17">
        <v>107153.1</v>
      </c>
      <c r="C5463" s="22">
        <v>42064804590</v>
      </c>
      <c r="D5463" s="21">
        <f t="shared" si="15"/>
        <v>320503132421</v>
      </c>
    </row>
    <row r="5464" spans="1:4" ht="14">
      <c r="A5464" s="16">
        <v>45839</v>
      </c>
      <c r="B5464" s="17">
        <v>105566.36</v>
      </c>
      <c r="C5464" s="22">
        <v>44110692247</v>
      </c>
      <c r="D5464" s="21">
        <f t="shared" si="15"/>
        <v>297330177355</v>
      </c>
    </row>
    <row r="5465" spans="1:4" ht="14">
      <c r="A5465" s="16">
        <v>45840</v>
      </c>
      <c r="B5465" s="17">
        <v>108927.13</v>
      </c>
      <c r="C5465" s="22">
        <v>56248657737</v>
      </c>
      <c r="D5465" s="21">
        <f t="shared" si="15"/>
        <v>292617883181</v>
      </c>
    </row>
    <row r="5466" spans="1:4" ht="14">
      <c r="A5466" s="16">
        <v>45841</v>
      </c>
      <c r="B5466" s="17">
        <v>109632.16</v>
      </c>
      <c r="C5466" s="22">
        <v>50494742270</v>
      </c>
      <c r="D5466" s="21">
        <f t="shared" si="15"/>
        <v>297242420635</v>
      </c>
    </row>
    <row r="5467" spans="1:4" ht="14">
      <c r="A5467" s="16">
        <v>45842</v>
      </c>
      <c r="B5467" s="17">
        <v>108081.4</v>
      </c>
      <c r="C5467" s="22">
        <v>42616442656</v>
      </c>
      <c r="D5467" s="21">
        <f t="shared" si="15"/>
        <v>303845172292</v>
      </c>
    </row>
    <row r="5468" spans="1:4" ht="14">
      <c r="A5468" s="16">
        <v>45843</v>
      </c>
      <c r="B5468" s="17">
        <v>108244.79</v>
      </c>
      <c r="C5468" s="22">
        <v>30615537520</v>
      </c>
      <c r="D5468" s="21">
        <f t="shared" si="15"/>
        <v>301107922273</v>
      </c>
    </row>
    <row r="5469" spans="1:4" ht="14">
      <c r="A5469" s="16">
        <v>45844</v>
      </c>
      <c r="B5469" s="17">
        <v>109180.01</v>
      </c>
      <c r="C5469" s="22">
        <v>36746020463</v>
      </c>
      <c r="D5469" s="21">
        <f t="shared" si="15"/>
        <v>301685751458</v>
      </c>
    </row>
    <row r="5470" spans="1:4" ht="14">
      <c r="A5470" s="16">
        <v>45845</v>
      </c>
      <c r="B5470" s="17">
        <v>108249.4</v>
      </c>
      <c r="C5470" s="22">
        <v>45415696597</v>
      </c>
      <c r="D5470" s="21">
        <f t="shared" si="15"/>
        <v>302896897483</v>
      </c>
    </row>
    <row r="5471" spans="1:4" ht="14">
      <c r="A5471" s="16">
        <v>45846</v>
      </c>
      <c r="B5471" s="17">
        <v>108956.63</v>
      </c>
      <c r="C5471" s="22">
        <v>44282204127</v>
      </c>
      <c r="D5471" s="21">
        <f t="shared" si="15"/>
        <v>306247789490</v>
      </c>
    </row>
    <row r="5472" spans="1:4" ht="14">
      <c r="A5472" s="16">
        <v>45847</v>
      </c>
      <c r="B5472" s="17">
        <v>111416.81</v>
      </c>
      <c r="C5472" s="22">
        <v>57927418065</v>
      </c>
      <c r="D5472" s="21">
        <f t="shared" si="15"/>
        <v>306419301370</v>
      </c>
    </row>
    <row r="5473" spans="1:4" ht="14">
      <c r="A5473" s="16">
        <v>45848</v>
      </c>
      <c r="B5473" s="17">
        <v>115873.9038</v>
      </c>
      <c r="C5473" s="22">
        <v>95911605728</v>
      </c>
      <c r="D5473" s="21">
        <f t="shared" si="15"/>
        <v>308098061698</v>
      </c>
    </row>
    <row r="5474" spans="1:4" ht="14">
      <c r="A5474" s="16">
        <v>45849</v>
      </c>
      <c r="B5474" s="17">
        <v>117618.6051</v>
      </c>
      <c r="C5474" s="22">
        <v>86928361085</v>
      </c>
      <c r="D5474" s="21">
        <f t="shared" si="15"/>
        <v>353514925156</v>
      </c>
    </row>
    <row r="5475" spans="1:4" ht="14">
      <c r="A5475" s="16">
        <v>45850</v>
      </c>
      <c r="B5475" s="17">
        <v>117382.37</v>
      </c>
      <c r="C5475" s="22">
        <v>45524560304</v>
      </c>
      <c r="D5475" s="21">
        <f t="shared" si="15"/>
        <v>397826843585</v>
      </c>
    </row>
    <row r="5476" spans="1:4" ht="14">
      <c r="A5476" s="16">
        <v>45851</v>
      </c>
      <c r="B5476" s="17">
        <v>118899.74</v>
      </c>
      <c r="C5476" s="22">
        <v>49021091807</v>
      </c>
      <c r="D5476" s="21">
        <f t="shared" si="15"/>
        <v>412735866369</v>
      </c>
    </row>
    <row r="5477" spans="1:4" ht="14">
      <c r="A5477" s="16">
        <v>45852</v>
      </c>
      <c r="B5477" s="17">
        <v>119871.1</v>
      </c>
      <c r="C5477" s="22">
        <v>181746419401</v>
      </c>
      <c r="D5477" s="21">
        <f t="shared" si="15"/>
        <v>425010937713</v>
      </c>
    </row>
    <row r="5478" spans="1:4" ht="14">
      <c r="A5478" s="16">
        <v>45853</v>
      </c>
      <c r="B5478" s="17">
        <v>117710.89</v>
      </c>
      <c r="C5478" s="22">
        <v>98321661181</v>
      </c>
      <c r="D5478" s="21">
        <f t="shared" si="15"/>
        <v>561341660517</v>
      </c>
    </row>
    <row r="5479" spans="1:4" ht="14">
      <c r="A5479" s="16">
        <v>45854</v>
      </c>
      <c r="B5479" s="17">
        <v>118730.19</v>
      </c>
      <c r="C5479" s="22">
        <v>72162029070</v>
      </c>
      <c r="D5479" s="21">
        <f t="shared" si="15"/>
        <v>615381117571</v>
      </c>
    </row>
    <row r="5480" spans="1:4" ht="14">
      <c r="A5480" s="16">
        <v>45855</v>
      </c>
      <c r="B5480" s="17">
        <v>119501.66</v>
      </c>
      <c r="C5480" s="22">
        <v>72363841798</v>
      </c>
      <c r="D5480" s="21">
        <f t="shared" si="15"/>
        <v>629615728576</v>
      </c>
    </row>
    <row r="5481" spans="1:4" ht="14">
      <c r="A5481" s="16">
        <v>45856</v>
      </c>
      <c r="B5481" s="17">
        <v>117958.51</v>
      </c>
      <c r="C5481" s="22">
        <v>77945799785</v>
      </c>
      <c r="D5481" s="21">
        <f t="shared" si="15"/>
        <v>606067964646</v>
      </c>
    </row>
    <row r="5482" spans="1:4" ht="14">
      <c r="A5482" s="16">
        <v>45857</v>
      </c>
      <c r="B5482" s="17">
        <v>117908.52</v>
      </c>
      <c r="C5482" s="22">
        <v>47564562765</v>
      </c>
      <c r="D5482" s="21">
        <f t="shared" si="15"/>
        <v>597085403346</v>
      </c>
    </row>
    <row r="5483" spans="1:4" ht="14">
      <c r="A5483" s="16">
        <v>45858</v>
      </c>
      <c r="B5483" s="17">
        <v>117305.68</v>
      </c>
      <c r="C5483" s="22">
        <v>57515447231</v>
      </c>
      <c r="D5483" s="21">
        <f t="shared" si="15"/>
        <v>599125405807</v>
      </c>
    </row>
    <row r="5484" spans="1:4" ht="14">
      <c r="A5484" s="16">
        <v>45859</v>
      </c>
      <c r="B5484" s="17">
        <v>117432.44</v>
      </c>
      <c r="C5484" s="22">
        <v>69820091744</v>
      </c>
      <c r="D5484" s="21">
        <f t="shared" si="15"/>
        <v>607619761231</v>
      </c>
    </row>
    <row r="5485" spans="1:4" ht="14">
      <c r="A5485" s="16">
        <v>45860</v>
      </c>
      <c r="B5485" s="17">
        <v>120068.01</v>
      </c>
      <c r="C5485" s="22">
        <v>79217583118</v>
      </c>
      <c r="D5485" s="21">
        <f t="shared" si="15"/>
        <v>495693433574</v>
      </c>
    </row>
    <row r="5486" spans="1:4" ht="14">
      <c r="A5486" s="16">
        <v>45861</v>
      </c>
      <c r="B5486" s="17">
        <v>118650.59</v>
      </c>
      <c r="C5486" s="22">
        <v>66608604537</v>
      </c>
      <c r="D5486" s="21">
        <f t="shared" si="15"/>
        <v>476589355511</v>
      </c>
    </row>
    <row r="5487" spans="1:4" ht="14">
      <c r="A5487" s="16">
        <v>45862</v>
      </c>
      <c r="B5487" s="17">
        <v>118377.08</v>
      </c>
      <c r="C5487" s="22">
        <v>72627318560</v>
      </c>
      <c r="D5487" s="21">
        <f t="shared" si="15"/>
        <v>471035930978</v>
      </c>
    </row>
    <row r="5488" spans="1:4" ht="14">
      <c r="A5488" s="16">
        <v>45863</v>
      </c>
      <c r="B5488" s="17">
        <v>117520.17</v>
      </c>
      <c r="C5488" s="22">
        <v>104857024569</v>
      </c>
      <c r="D5488" s="21">
        <f t="shared" si="15"/>
        <v>471299407740</v>
      </c>
    </row>
    <row r="5489" spans="1:4" ht="14">
      <c r="A5489" s="16">
        <v>45864</v>
      </c>
      <c r="B5489" s="17">
        <v>117983.2</v>
      </c>
      <c r="C5489" s="22">
        <v>48508954046</v>
      </c>
      <c r="D5489" s="21">
        <f t="shared" si="15"/>
        <v>498210632524</v>
      </c>
    </row>
    <row r="5490" spans="1:4" ht="14">
      <c r="A5490" s="16">
        <v>45865</v>
      </c>
      <c r="B5490" s="17">
        <v>119438.16</v>
      </c>
      <c r="C5490" s="22">
        <v>54683390892</v>
      </c>
      <c r="D5490" s="21">
        <f t="shared" si="15"/>
        <v>499155023805</v>
      </c>
    </row>
    <row r="5491" spans="1:4" ht="14">
      <c r="A5491" s="16">
        <v>45866</v>
      </c>
      <c r="B5491" s="17">
        <v>118022.64</v>
      </c>
      <c r="C5491" s="22">
        <v>64822943193</v>
      </c>
      <c r="D5491" s="21">
        <f t="shared" si="15"/>
        <v>496322967466</v>
      </c>
    </row>
    <row r="5492" spans="1:4" ht="14">
      <c r="A5492" s="16">
        <v>45867</v>
      </c>
      <c r="B5492" s="17">
        <v>117871.37</v>
      </c>
      <c r="C5492" s="22">
        <v>63238049792</v>
      </c>
      <c r="D5492" s="21">
        <f t="shared" si="15"/>
        <v>491325818915</v>
      </c>
    </row>
    <row r="5493" spans="1:4" ht="14">
      <c r="A5493" s="16">
        <v>45868</v>
      </c>
      <c r="B5493" s="17">
        <v>117732.64</v>
      </c>
      <c r="C5493" s="22">
        <v>68896148592</v>
      </c>
      <c r="D5493" s="21">
        <f t="shared" si="15"/>
        <v>475346285589</v>
      </c>
    </row>
    <row r="5494" spans="1:4" ht="14">
      <c r="A5494" s="16">
        <v>45869</v>
      </c>
      <c r="B5494" s="17">
        <v>115848.34</v>
      </c>
      <c r="C5494" s="22">
        <v>69370346018</v>
      </c>
      <c r="D5494" s="21">
        <f t="shared" si="15"/>
        <v>477633829644</v>
      </c>
    </row>
    <row r="5495" spans="1:4" ht="14">
      <c r="A5495" s="16">
        <v>45870</v>
      </c>
      <c r="B5495" s="17">
        <v>113282.14</v>
      </c>
      <c r="C5495" s="22">
        <v>91294530181</v>
      </c>
      <c r="D5495" s="21">
        <f t="shared" si="15"/>
        <v>474376857102</v>
      </c>
    </row>
    <row r="5496" spans="1:4" ht="14">
      <c r="A5496" s="16">
        <v>45871</v>
      </c>
      <c r="B5496" s="17">
        <v>112545.67</v>
      </c>
      <c r="C5496" s="22">
        <v>56870866000</v>
      </c>
      <c r="D5496" s="21">
        <f t="shared" si="15"/>
        <v>460814362714</v>
      </c>
    </row>
    <row r="5497" spans="1:4" ht="14">
      <c r="A5497" s="16">
        <v>45872</v>
      </c>
      <c r="B5497" s="17">
        <v>114263.69</v>
      </c>
      <c r="C5497" s="22">
        <v>48099615826</v>
      </c>
      <c r="D5497" s="21">
        <f t="shared" si="15"/>
        <v>469176274668</v>
      </c>
    </row>
    <row r="5498" spans="1:4" ht="14">
      <c r="A5498" s="16">
        <v>45873</v>
      </c>
      <c r="B5498" s="17">
        <v>115199.93</v>
      </c>
      <c r="C5498" s="22">
        <v>35783028986</v>
      </c>
      <c r="D5498" s="21">
        <f t="shared" si="15"/>
        <v>462592499602</v>
      </c>
    </row>
    <row r="5499" spans="1:4" ht="14">
      <c r="A5499" s="16">
        <v>45874</v>
      </c>
      <c r="B5499" s="17">
        <v>114111.36</v>
      </c>
      <c r="C5499" s="22">
        <v>61039182286</v>
      </c>
      <c r="D5499" s="21">
        <f t="shared" si="15"/>
        <v>433552585395</v>
      </c>
    </row>
    <row r="5500" spans="1:4" ht="14">
      <c r="A5500" s="16">
        <v>45875</v>
      </c>
      <c r="B5500" s="17">
        <v>115034.68</v>
      </c>
      <c r="C5500" s="22">
        <v>56379133510</v>
      </c>
      <c r="D5500" s="21">
        <f t="shared" si="15"/>
        <v>431353717889</v>
      </c>
    </row>
    <row r="5501" spans="1:4" ht="14">
      <c r="A5501" s="16">
        <v>45876</v>
      </c>
      <c r="B5501" s="17">
        <v>117444.91</v>
      </c>
      <c r="C5501" s="22">
        <v>64051649681</v>
      </c>
      <c r="D5501" s="21">
        <f t="shared" si="15"/>
        <v>418836702807</v>
      </c>
    </row>
    <row r="5502" spans="1:4" ht="14">
      <c r="A5502" s="16">
        <v>45877</v>
      </c>
      <c r="B5502" s="17">
        <v>116740.69</v>
      </c>
      <c r="C5502" s="22">
        <v>59713005166</v>
      </c>
      <c r="D5502" s="21">
        <f t="shared" si="15"/>
        <v>413518006470</v>
      </c>
    </row>
    <row r="5503" spans="1:4" ht="14">
      <c r="A5503" s="16">
        <v>45878</v>
      </c>
      <c r="B5503" s="17">
        <v>116511.66</v>
      </c>
      <c r="C5503" s="22">
        <v>54004312429</v>
      </c>
      <c r="D5503" s="21">
        <f t="shared" si="15"/>
        <v>381936481455</v>
      </c>
    </row>
    <row r="5504" spans="1:4" ht="14">
      <c r="A5504" s="16">
        <v>45879</v>
      </c>
      <c r="B5504" s="17">
        <v>119189.2</v>
      </c>
      <c r="C5504" s="22">
        <v>64755458694</v>
      </c>
      <c r="D5504" s="21">
        <f t="shared" si="15"/>
        <v>379069927884</v>
      </c>
    </row>
    <row r="5505" spans="1:4" ht="14">
      <c r="A5505" s="16">
        <v>45880</v>
      </c>
      <c r="B5505" s="17">
        <v>118742.04</v>
      </c>
      <c r="C5505" s="22">
        <v>90528784177</v>
      </c>
      <c r="D5505" s="21">
        <f t="shared" si="15"/>
        <v>395725770752</v>
      </c>
    </row>
    <row r="5506" spans="1:4" ht="14">
      <c r="A5506" s="16">
        <v>45881</v>
      </c>
      <c r="B5506" s="17">
        <v>120154.32</v>
      </c>
      <c r="C5506" s="22">
        <v>72803657984</v>
      </c>
      <c r="D5506" s="21">
        <f t="shared" si="15"/>
        <v>450471525943</v>
      </c>
    </row>
    <row r="5507" spans="1:4" ht="14">
      <c r="A5507" s="16">
        <v>45882</v>
      </c>
      <c r="B5507" s="17">
        <v>123442.68</v>
      </c>
      <c r="C5507" s="22">
        <v>90904808795</v>
      </c>
      <c r="D5507" s="21">
        <f t="shared" si="15"/>
        <v>462236001641</v>
      </c>
    </row>
    <row r="5508" spans="1:4" ht="14">
      <c r="A5508" s="16">
        <v>45883</v>
      </c>
      <c r="B5508" s="17">
        <v>118510.27</v>
      </c>
      <c r="C5508" s="22">
        <v>104055627395</v>
      </c>
      <c r="D5508" s="21">
        <f t="shared" si="15"/>
        <v>496761676926</v>
      </c>
    </row>
    <row r="5509" spans="1:4" ht="14">
      <c r="A5509" s="16">
        <v>45884</v>
      </c>
      <c r="B5509" s="17">
        <v>117311.21</v>
      </c>
      <c r="C5509" s="22">
        <v>68665353159</v>
      </c>
      <c r="D5509" s="21">
        <f t="shared" si="15"/>
        <v>536765654640</v>
      </c>
    </row>
    <row r="5510" spans="1:4" ht="14">
      <c r="A5510" s="16">
        <v>45885</v>
      </c>
      <c r="B5510" s="17">
        <v>117462.43</v>
      </c>
      <c r="C5510" s="22">
        <v>48036922378</v>
      </c>
      <c r="D5510" s="21">
        <f t="shared" si="15"/>
        <v>545718002633</v>
      </c>
    </row>
    <row r="5511" spans="1:4" ht="14">
      <c r="A5511" s="16">
        <v>45886</v>
      </c>
      <c r="B5511" s="17">
        <v>117601.95</v>
      </c>
      <c r="C5511" s="22">
        <v>45852169525</v>
      </c>
      <c r="D5511" s="21">
        <f t="shared" si="15"/>
        <v>539750612582</v>
      </c>
    </row>
    <row r="5512" spans="1:4" ht="14">
      <c r="A5512" s="16">
        <v>45887</v>
      </c>
      <c r="B5512" s="17">
        <v>116312.91</v>
      </c>
      <c r="C5512" s="22">
        <v>72787808090</v>
      </c>
      <c r="D5512" s="21">
        <f t="shared" si="15"/>
        <v>520847323413</v>
      </c>
    </row>
    <row r="5513" spans="1:4" ht="14">
      <c r="A5513" s="16">
        <v>45888</v>
      </c>
      <c r="B5513" s="17">
        <v>112886.1</v>
      </c>
      <c r="C5513" s="22">
        <v>71657600353</v>
      </c>
      <c r="D5513" s="21">
        <f t="shared" si="15"/>
        <v>503106347326</v>
      </c>
    </row>
    <row r="5514" spans="1:4" ht="14">
      <c r="A5514" s="16">
        <v>45889</v>
      </c>
      <c r="B5514" s="17">
        <v>114277.32</v>
      </c>
      <c r="C5514" s="22">
        <v>67993811526</v>
      </c>
      <c r="D5514" s="21">
        <f t="shared" si="15"/>
        <v>501960289695</v>
      </c>
    </row>
    <row r="5515" spans="1:4" ht="14">
      <c r="A5515" s="16">
        <v>45890</v>
      </c>
      <c r="B5515" s="17">
        <v>112347.1</v>
      </c>
      <c r="C5515" s="22">
        <v>57817883700</v>
      </c>
      <c r="D5515" s="21">
        <f t="shared" si="15"/>
        <v>479049292426</v>
      </c>
    </row>
    <row r="5516" spans="1:4" ht="14">
      <c r="A5516" s="16">
        <v>45891</v>
      </c>
      <c r="B5516" s="17">
        <v>116800.98</v>
      </c>
      <c r="C5516" s="22">
        <v>82528088240</v>
      </c>
      <c r="D5516" s="21">
        <f t="shared" si="15"/>
        <v>432811548731</v>
      </c>
    </row>
    <row r="5517" spans="1:4" ht="14">
      <c r="A5517" s="16">
        <v>45892</v>
      </c>
      <c r="B5517" s="17">
        <v>115280.44</v>
      </c>
      <c r="C5517" s="22">
        <v>55377142586</v>
      </c>
      <c r="D5517" s="21">
        <f t="shared" si="15"/>
        <v>446674283812</v>
      </c>
    </row>
    <row r="5518" spans="1:4" ht="14">
      <c r="A5518" s="16">
        <v>45893</v>
      </c>
      <c r="B5518" s="17">
        <v>113516.12</v>
      </c>
      <c r="C5518" s="22">
        <v>73961489632</v>
      </c>
      <c r="D5518" s="21">
        <f t="shared" si="15"/>
        <v>454014504020</v>
      </c>
    </row>
    <row r="5519" spans="1:4" ht="14">
      <c r="A5519" s="16">
        <v>45894</v>
      </c>
      <c r="B5519" s="17">
        <v>110089.53</v>
      </c>
      <c r="C5519" s="22">
        <v>85706860190</v>
      </c>
      <c r="D5519" s="21">
        <f t="shared" si="15"/>
        <v>482123824127</v>
      </c>
    </row>
    <row r="5520" spans="1:4" ht="14">
      <c r="A5520" s="16">
        <v>45895</v>
      </c>
      <c r="B5520" s="17">
        <v>111895.3</v>
      </c>
      <c r="C5520" s="22">
        <v>69396320317</v>
      </c>
      <c r="D5520" s="21">
        <f t="shared" si="15"/>
        <v>495042876227</v>
      </c>
    </row>
    <row r="5521" spans="1:4" ht="14">
      <c r="A5521" s="16">
        <v>45896</v>
      </c>
      <c r="B5521" s="17">
        <v>111252.31</v>
      </c>
      <c r="C5521" s="22">
        <v>62137056409</v>
      </c>
      <c r="D5521" s="21">
        <f t="shared" si="15"/>
        <v>492781596191</v>
      </c>
    </row>
    <row r="5522" spans="1:4" ht="14">
      <c r="A5522" s="16">
        <v>45897</v>
      </c>
      <c r="B5522" s="17">
        <v>112481.15</v>
      </c>
      <c r="C5522" s="22">
        <v>58860155962</v>
      </c>
      <c r="D5522" s="21">
        <f t="shared" si="15"/>
        <v>486924841074</v>
      </c>
    </row>
    <row r="5523" spans="1:4" ht="14">
      <c r="A5523" s="16">
        <v>45898</v>
      </c>
      <c r="B5523" s="17">
        <v>108473.33</v>
      </c>
      <c r="C5523" s="22">
        <v>77843379644</v>
      </c>
      <c r="D5523" s="21">
        <f t="shared" si="15"/>
        <v>487967113336</v>
      </c>
    </row>
    <row r="5524" spans="1:4" ht="14">
      <c r="A5524" s="16">
        <v>45899</v>
      </c>
      <c r="B5524" s="17">
        <v>108746.15</v>
      </c>
      <c r="C5524" s="22">
        <v>51486264208</v>
      </c>
      <c r="D5524" s="21">
        <f t="shared" si="15"/>
        <v>483282404740</v>
      </c>
    </row>
    <row r="5525" spans="1:4" ht="14">
      <c r="A5525" s="16">
        <v>45900</v>
      </c>
      <c r="B5525" s="17">
        <v>108316.45</v>
      </c>
      <c r="C5525" s="22">
        <v>47986191770</v>
      </c>
      <c r="D5525" s="21">
        <f t="shared" si="15"/>
        <v>479391526362</v>
      </c>
    </row>
    <row r="5526" spans="1:4" ht="14">
      <c r="A5526" s="16">
        <v>45901</v>
      </c>
      <c r="B5526" s="17">
        <v>108992.32000000001</v>
      </c>
      <c r="C5526" s="22">
        <v>66870372995</v>
      </c>
      <c r="D5526" s="21">
        <f t="shared" si="15"/>
        <v>453416228500</v>
      </c>
    </row>
    <row r="5527" spans="1:4" ht="14">
      <c r="A5527" s="16">
        <v>45902</v>
      </c>
      <c r="B5527" s="17">
        <v>111140.95</v>
      </c>
      <c r="C5527" s="22">
        <v>74776999491</v>
      </c>
      <c r="D5527" s="21">
        <f t="shared" si="15"/>
        <v>434579741305</v>
      </c>
    </row>
    <row r="5528" spans="1:4" ht="14">
      <c r="A5528" s="16">
        <v>45903</v>
      </c>
      <c r="B5528" s="17">
        <v>111780.74</v>
      </c>
      <c r="C5528" s="22">
        <v>61119643565</v>
      </c>
      <c r="D5528" s="21">
        <f t="shared" si="15"/>
        <v>439960420479</v>
      </c>
    </row>
    <row r="5529" spans="1:4" ht="14">
      <c r="A5529" s="16">
        <v>45904</v>
      </c>
      <c r="B5529" s="17">
        <v>110900.63</v>
      </c>
      <c r="C5529" s="22">
        <v>60131132901</v>
      </c>
      <c r="D5529" s="21">
        <f t="shared" si="15"/>
        <v>438943007635</v>
      </c>
    </row>
    <row r="5530" spans="1:4" ht="14">
      <c r="A5530" s="16">
        <v>45905</v>
      </c>
      <c r="B5530" s="17">
        <v>110711.23</v>
      </c>
      <c r="C5530" s="22">
        <v>60241647677</v>
      </c>
      <c r="D5530" s="21">
        <f t="shared" si="15"/>
        <v>440213984574</v>
      </c>
    </row>
    <row r="5531" spans="1:4" ht="14">
      <c r="A5531" s="16">
        <v>45906</v>
      </c>
      <c r="B5531" s="17">
        <v>110243.65</v>
      </c>
      <c r="C5531" s="22">
        <v>21500719036</v>
      </c>
      <c r="D5531" s="21">
        <f t="shared" si="15"/>
        <v>422612252607</v>
      </c>
    </row>
    <row r="5532" spans="1:4" ht="14">
      <c r="A5532" s="16">
        <v>45907</v>
      </c>
      <c r="B5532" s="17">
        <v>111307.78</v>
      </c>
      <c r="C5532" s="22">
        <v>24618007520</v>
      </c>
      <c r="D5532" s="21">
        <f t="shared" si="15"/>
        <v>392626707435</v>
      </c>
    </row>
    <row r="5533" spans="1:4" ht="14">
      <c r="A5533" s="16">
        <v>45908</v>
      </c>
      <c r="B5533" s="17">
        <v>112112.31</v>
      </c>
      <c r="C5533" s="22">
        <v>40212813407</v>
      </c>
      <c r="D5533" s="21">
        <f t="shared" si="15"/>
        <v>369258523185</v>
      </c>
    </row>
    <row r="5534" spans="1:4" ht="14">
      <c r="A5534" s="16">
        <v>45909</v>
      </c>
      <c r="B5534" s="17">
        <v>111486.39999999999</v>
      </c>
      <c r="C5534" s="22">
        <v>45984480722</v>
      </c>
      <c r="D5534" s="21">
        <f t="shared" si="15"/>
        <v>342600963597</v>
      </c>
    </row>
    <row r="5535" spans="1:4" ht="14">
      <c r="A5535" s="16">
        <v>45910</v>
      </c>
      <c r="B5535" s="17">
        <v>113930.75</v>
      </c>
      <c r="C5535" s="22">
        <v>56377473784</v>
      </c>
      <c r="D5535" s="21">
        <f t="shared" si="15"/>
        <v>313808444828</v>
      </c>
    </row>
    <row r="5536" spans="1:4" ht="14">
      <c r="A5536" s="16">
        <v>45911</v>
      </c>
      <c r="B5536" s="17">
        <v>115445.81</v>
      </c>
      <c r="C5536" s="22">
        <v>45685065332</v>
      </c>
      <c r="D5536" s="21">
        <f t="shared" si="15"/>
        <v>309066275047</v>
      </c>
    </row>
    <row r="5537" spans="1:4" ht="14">
      <c r="A5537" s="16">
        <v>45912</v>
      </c>
      <c r="B5537" s="17">
        <v>116149.17</v>
      </c>
      <c r="C5537" s="22">
        <v>54785725894</v>
      </c>
      <c r="D5537" s="21">
        <f t="shared" si="15"/>
        <v>294620207478</v>
      </c>
    </row>
    <row r="5538" spans="1:4" ht="14">
      <c r="A5538" s="16">
        <v>45913</v>
      </c>
      <c r="B5538" s="17">
        <v>115965.63</v>
      </c>
      <c r="C5538" s="22">
        <v>34549454947</v>
      </c>
      <c r="D5538" s="21">
        <f t="shared" si="15"/>
        <v>289164285695</v>
      </c>
    </row>
    <row r="5539" spans="1:4" ht="14">
      <c r="A5539" s="16">
        <v>45914</v>
      </c>
      <c r="B5539" s="17">
        <v>115395.93</v>
      </c>
      <c r="C5539" s="22">
        <v>32798036057</v>
      </c>
      <c r="D5539" s="21">
        <f t="shared" si="15"/>
        <v>302213021606</v>
      </c>
    </row>
    <row r="5540" spans="1:4" ht="14">
      <c r="A5540" s="16">
        <v>45915</v>
      </c>
      <c r="B5540" s="17">
        <v>115420.93</v>
      </c>
      <c r="C5540" s="22">
        <v>52937859416</v>
      </c>
      <c r="D5540" s="21">
        <f t="shared" si="15"/>
        <v>310393050143</v>
      </c>
    </row>
    <row r="5541" spans="1:4" ht="14">
      <c r="A5541" s="16">
        <v>45916</v>
      </c>
      <c r="B5541" s="17">
        <v>116798.87</v>
      </c>
      <c r="C5541" s="22">
        <v>45781744593</v>
      </c>
      <c r="D5541" s="21">
        <f t="shared" si="15"/>
        <v>323118096152</v>
      </c>
    </row>
    <row r="5542" spans="1:4" ht="14">
      <c r="A5542" s="16">
        <v>45917</v>
      </c>
      <c r="B5542" s="17">
        <v>116575.78</v>
      </c>
      <c r="C5542" s="22">
        <v>60528025996</v>
      </c>
      <c r="D5542" s="21">
        <f t="shared" si="15"/>
        <v>322915360023</v>
      </c>
    </row>
    <row r="5543" spans="1:4" ht="14">
      <c r="A5543" s="16">
        <v>45918</v>
      </c>
      <c r="B5543" s="17">
        <v>117014.43</v>
      </c>
      <c r="C5543" s="22">
        <v>49457272032</v>
      </c>
      <c r="D5543" s="21">
        <f t="shared" si="15"/>
        <v>327065912235</v>
      </c>
    </row>
    <row r="5544" spans="1:4" ht="14">
      <c r="A5544" s="16">
        <v>45919</v>
      </c>
      <c r="B5544" s="17">
        <v>117014.43</v>
      </c>
      <c r="C5544" s="22" t="str">
        <f ca="1">'Crypto Prices'!$N$6</f>
        <v xml:space="preserve">$26,248,888,775
</v>
      </c>
      <c r="D5544" s="21">
        <f t="shared" si="15"/>
        <v>330838118935</v>
      </c>
    </row>
    <row r="5545" spans="1:4" ht="14">
      <c r="A5545" s="16">
        <v>45920</v>
      </c>
      <c r="B5545" s="17">
        <v>117014.43</v>
      </c>
      <c r="C5545" s="22" t="str">
        <f ca="1">'Crypto Prices'!$N$6</f>
        <v xml:space="preserve">$26,248,888,775
</v>
      </c>
      <c r="D5545" s="21">
        <f t="shared" ca="1" si="15"/>
        <v>276052393041</v>
      </c>
    </row>
    <row r="5546" spans="1:4" ht="14">
      <c r="A5546" s="16">
        <v>45921</v>
      </c>
      <c r="B5546" s="17">
        <v>117014.43</v>
      </c>
      <c r="C5546" s="22" t="str">
        <f ca="1">'Crypto Prices'!$N$6</f>
        <v xml:space="preserve">$26,248,888,775
</v>
      </c>
      <c r="D5546" s="21">
        <f t="shared" ca="1" si="15"/>
        <v>241502938094</v>
      </c>
    </row>
    <row r="5547" spans="1:4" ht="14">
      <c r="A5547" s="16">
        <v>45922</v>
      </c>
      <c r="B5547" s="17">
        <v>117014.43</v>
      </c>
      <c r="C5547" s="22" t="str">
        <f ca="1">'Crypto Prices'!$N$6</f>
        <v xml:space="preserve">$26,248,888,775
</v>
      </c>
      <c r="D5547" s="21">
        <f t="shared" ca="1" si="15"/>
        <v>208704902037</v>
      </c>
    </row>
    <row r="5548" spans="1:4" ht="14">
      <c r="A5548" s="16">
        <v>45923</v>
      </c>
      <c r="B5548" s="17">
        <v>117014.43</v>
      </c>
      <c r="C5548" s="22" t="str">
        <f ca="1">'Crypto Prices'!$N$6</f>
        <v xml:space="preserve">$26,248,888,775
</v>
      </c>
      <c r="D5548" s="21">
        <f t="shared" ca="1" si="15"/>
        <v>155767042621</v>
      </c>
    </row>
    <row r="5549" spans="1:4" ht="14">
      <c r="A5549" s="16">
        <v>45924</v>
      </c>
      <c r="B5549" s="17">
        <v>117014.43</v>
      </c>
      <c r="C5549" s="22" t="str">
        <f ca="1">'Crypto Prices'!$N$6</f>
        <v xml:space="preserve">$26,248,888,775
</v>
      </c>
      <c r="D5549" s="21">
        <f t="shared" ca="1" si="15"/>
        <v>109985298028</v>
      </c>
    </row>
    <row r="5550" spans="1:4" ht="14">
      <c r="A5550" s="16">
        <v>45925</v>
      </c>
      <c r="B5550" s="17"/>
      <c r="C5550" s="18"/>
      <c r="D5550" s="21">
        <f t="shared" ca="1" si="15"/>
        <v>49457272032</v>
      </c>
    </row>
    <row r="5551" spans="1:4" ht="14">
      <c r="A5551" s="16">
        <v>45926</v>
      </c>
      <c r="B5551" s="17"/>
      <c r="C5551" s="18"/>
      <c r="D5551" s="21">
        <f t="shared" ca="1" si="15"/>
        <v>0</v>
      </c>
    </row>
    <row r="5552" spans="1:4" ht="14">
      <c r="A5552" s="16">
        <v>45927</v>
      </c>
      <c r="B5552" s="17"/>
      <c r="C5552" s="18"/>
      <c r="D5552" s="21">
        <f t="shared" ca="1" si="15"/>
        <v>0</v>
      </c>
    </row>
    <row r="5553" spans="1:4" ht="14">
      <c r="A5553" s="16">
        <v>45928</v>
      </c>
      <c r="B5553" s="17"/>
      <c r="C5553" s="18"/>
      <c r="D5553" s="21">
        <f t="shared" ca="1" si="15"/>
        <v>0</v>
      </c>
    </row>
    <row r="5554" spans="1:4" ht="14">
      <c r="A5554" s="16">
        <v>45929</v>
      </c>
      <c r="B5554" s="17"/>
      <c r="C5554" s="18"/>
      <c r="D5554" s="21">
        <f t="shared" ca="1" si="15"/>
        <v>0</v>
      </c>
    </row>
    <row r="5555" spans="1:4" ht="14">
      <c r="A5555" s="16">
        <v>45930</v>
      </c>
      <c r="B5555" s="17"/>
      <c r="C5555" s="18"/>
      <c r="D5555" s="21">
        <f t="shared" ca="1" si="15"/>
        <v>0</v>
      </c>
    </row>
    <row r="5556" spans="1:4" ht="14">
      <c r="A5556" s="16">
        <v>45931</v>
      </c>
      <c r="B5556" s="17"/>
      <c r="C5556" s="18"/>
      <c r="D5556" s="21">
        <f t="shared" ca="1" si="15"/>
        <v>0</v>
      </c>
    </row>
    <row r="5557" spans="1:4" ht="14">
      <c r="A5557" s="16">
        <v>45932</v>
      </c>
      <c r="B5557" s="17"/>
      <c r="C5557" s="18"/>
      <c r="D5557" s="21" t="str">
        <f t="shared" si="15"/>
        <v/>
      </c>
    </row>
    <row r="5558" spans="1:4" ht="14">
      <c r="A5558" s="16">
        <v>45933</v>
      </c>
      <c r="B5558" s="17"/>
      <c r="C5558" s="18"/>
      <c r="D5558" s="21" t="str">
        <f t="shared" si="15"/>
        <v/>
      </c>
    </row>
    <row r="5559" spans="1:4" ht="14">
      <c r="A5559" s="16">
        <v>45934</v>
      </c>
      <c r="B5559" s="17"/>
      <c r="C5559" s="18"/>
      <c r="D5559" s="21" t="str">
        <f t="shared" si="15"/>
        <v/>
      </c>
    </row>
    <row r="5560" spans="1:4" ht="14">
      <c r="A5560" s="16">
        <v>45935</v>
      </c>
      <c r="B5560" s="17"/>
      <c r="C5560" s="18"/>
      <c r="D5560" s="21" t="str">
        <f t="shared" si="15"/>
        <v/>
      </c>
    </row>
    <row r="5561" spans="1:4" ht="14">
      <c r="A5561" s="16">
        <v>45936</v>
      </c>
      <c r="B5561" s="17"/>
      <c r="C5561" s="18"/>
      <c r="D5561" s="21" t="str">
        <f t="shared" si="15"/>
        <v/>
      </c>
    </row>
    <row r="5562" spans="1:4" ht="14">
      <c r="A5562" s="16">
        <v>45937</v>
      </c>
      <c r="B5562" s="17"/>
      <c r="C5562" s="18"/>
      <c r="D5562" s="21" t="str">
        <f t="shared" si="15"/>
        <v/>
      </c>
    </row>
    <row r="5563" spans="1:4" ht="14">
      <c r="A5563" s="16">
        <v>45938</v>
      </c>
      <c r="B5563" s="17"/>
      <c r="C5563" s="18"/>
      <c r="D5563" s="21" t="str">
        <f t="shared" si="15"/>
        <v/>
      </c>
    </row>
    <row r="5564" spans="1:4" ht="14">
      <c r="A5564" s="16">
        <v>45939</v>
      </c>
      <c r="B5564" s="17"/>
      <c r="C5564" s="18"/>
      <c r="D5564" s="21" t="str">
        <f t="shared" si="15"/>
        <v/>
      </c>
    </row>
    <row r="5565" spans="1:4" ht="14">
      <c r="A5565" s="16">
        <v>45940</v>
      </c>
      <c r="B5565" s="17"/>
      <c r="C5565" s="18"/>
      <c r="D5565" s="21" t="str">
        <f t="shared" si="15"/>
        <v/>
      </c>
    </row>
    <row r="5566" spans="1:4" ht="14">
      <c r="A5566" s="16">
        <v>45941</v>
      </c>
      <c r="B5566" s="17"/>
      <c r="C5566" s="18"/>
      <c r="D5566" s="21" t="str">
        <f t="shared" si="15"/>
        <v/>
      </c>
    </row>
    <row r="5567" spans="1:4" ht="14">
      <c r="A5567" s="16">
        <v>45942</v>
      </c>
      <c r="B5567" s="17"/>
      <c r="C5567" s="18"/>
      <c r="D5567" s="21" t="str">
        <f t="shared" si="15"/>
        <v/>
      </c>
    </row>
    <row r="5568" spans="1:4" ht="14">
      <c r="A5568" s="16">
        <v>45943</v>
      </c>
      <c r="B5568" s="17"/>
      <c r="C5568" s="18"/>
      <c r="D5568" s="21" t="str">
        <f t="shared" si="15"/>
        <v/>
      </c>
    </row>
    <row r="5569" spans="1:4" ht="14">
      <c r="A5569" s="16">
        <v>45944</v>
      </c>
      <c r="B5569" s="17"/>
      <c r="C5569" s="18"/>
      <c r="D5569" s="21" t="str">
        <f t="shared" si="15"/>
        <v/>
      </c>
    </row>
    <row r="5570" spans="1:4" ht="14">
      <c r="A5570" s="16">
        <v>45945</v>
      </c>
      <c r="B5570" s="17"/>
      <c r="C5570" s="18"/>
      <c r="D5570" s="21" t="str">
        <f t="shared" si="15"/>
        <v/>
      </c>
    </row>
    <row r="5571" spans="1:4" ht="14">
      <c r="A5571" s="16">
        <v>45946</v>
      </c>
      <c r="B5571" s="17"/>
      <c r="C5571" s="18"/>
      <c r="D5571" s="21" t="str">
        <f t="shared" si="15"/>
        <v/>
      </c>
    </row>
    <row r="5572" spans="1:4" ht="14">
      <c r="A5572" s="16">
        <v>45947</v>
      </c>
      <c r="B5572" s="17"/>
      <c r="C5572" s="18"/>
      <c r="D5572" s="21" t="str">
        <f t="shared" si="15"/>
        <v/>
      </c>
    </row>
    <row r="5573" spans="1:4" ht="14">
      <c r="A5573" s="16">
        <v>45948</v>
      </c>
      <c r="B5573" s="17"/>
      <c r="C5573" s="18"/>
      <c r="D5573" s="21" t="str">
        <f t="shared" si="15"/>
        <v/>
      </c>
    </row>
    <row r="5574" spans="1:4" ht="14">
      <c r="A5574" s="16">
        <v>45949</v>
      </c>
      <c r="B5574" s="17"/>
      <c r="C5574" s="18"/>
      <c r="D5574" s="21" t="str">
        <f t="shared" si="15"/>
        <v/>
      </c>
    </row>
    <row r="5575" spans="1:4" ht="14">
      <c r="A5575" s="16">
        <v>45950</v>
      </c>
      <c r="B5575" s="17"/>
      <c r="C5575" s="18"/>
      <c r="D5575" s="21" t="str">
        <f t="shared" si="15"/>
        <v/>
      </c>
    </row>
    <row r="5576" spans="1:4" ht="14">
      <c r="A5576" s="16">
        <v>45951</v>
      </c>
      <c r="B5576" s="17"/>
      <c r="C5576" s="18"/>
      <c r="D5576" s="21" t="str">
        <f t="shared" si="15"/>
        <v/>
      </c>
    </row>
    <row r="5577" spans="1:4" ht="14">
      <c r="A5577" s="16">
        <v>45952</v>
      </c>
      <c r="B5577" s="17"/>
      <c r="C5577" s="18"/>
      <c r="D5577" s="21" t="str">
        <f t="shared" si="15"/>
        <v/>
      </c>
    </row>
    <row r="5578" spans="1:4" ht="14">
      <c r="A5578" s="16">
        <v>45953</v>
      </c>
      <c r="B5578" s="17"/>
      <c r="C5578" s="18"/>
      <c r="D5578" s="21" t="str">
        <f t="shared" si="15"/>
        <v/>
      </c>
    </row>
    <row r="5579" spans="1:4" ht="14">
      <c r="A5579" s="16">
        <v>45954</v>
      </c>
      <c r="B5579" s="17"/>
      <c r="C5579" s="18"/>
      <c r="D5579" s="21" t="str">
        <f t="shared" si="15"/>
        <v/>
      </c>
    </row>
    <row r="5580" spans="1:4" ht="14">
      <c r="A5580" s="16">
        <v>45955</v>
      </c>
      <c r="B5580" s="17"/>
      <c r="C5580" s="18"/>
      <c r="D5580" s="21" t="str">
        <f t="shared" si="15"/>
        <v/>
      </c>
    </row>
    <row r="5581" spans="1:4" ht="14">
      <c r="A5581" s="16">
        <v>45956</v>
      </c>
      <c r="B5581" s="17"/>
      <c r="C5581" s="18"/>
      <c r="D5581" s="21" t="str">
        <f t="shared" si="15"/>
        <v/>
      </c>
    </row>
    <row r="5582" spans="1:4" ht="14">
      <c r="A5582" s="16">
        <v>45957</v>
      </c>
      <c r="B5582" s="17"/>
      <c r="C5582" s="18"/>
      <c r="D5582" s="21" t="str">
        <f t="shared" si="15"/>
        <v/>
      </c>
    </row>
    <row r="5583" spans="1:4" ht="14">
      <c r="A5583" s="16">
        <v>45958</v>
      </c>
      <c r="B5583" s="17"/>
      <c r="C5583" s="18"/>
      <c r="D5583" s="21" t="str">
        <f t="shared" si="15"/>
        <v/>
      </c>
    </row>
    <row r="5584" spans="1:4" ht="14">
      <c r="A5584" s="16">
        <v>45959</v>
      </c>
      <c r="B5584" s="17"/>
      <c r="C5584" s="18"/>
      <c r="D5584" s="21" t="str">
        <f t="shared" si="15"/>
        <v/>
      </c>
    </row>
    <row r="5585" spans="1:4" ht="14">
      <c r="A5585" s="16">
        <v>45960</v>
      </c>
      <c r="B5585" s="17"/>
      <c r="C5585" s="18"/>
      <c r="D5585" s="21" t="str">
        <f t="shared" si="15"/>
        <v/>
      </c>
    </row>
    <row r="5586" spans="1:4" ht="14">
      <c r="A5586" s="16">
        <v>45961</v>
      </c>
      <c r="B5586" s="17"/>
      <c r="C5586" s="18"/>
      <c r="D5586" s="21" t="str">
        <f t="shared" si="15"/>
        <v/>
      </c>
    </row>
    <row r="5587" spans="1:4" ht="14">
      <c r="A5587" s="16">
        <v>45962</v>
      </c>
      <c r="B5587" s="17"/>
      <c r="C5587" s="18"/>
      <c r="D5587" s="21" t="str">
        <f t="shared" si="15"/>
        <v/>
      </c>
    </row>
    <row r="5588" spans="1:4" ht="14">
      <c r="A5588" s="16">
        <v>45963</v>
      </c>
      <c r="B5588" s="17"/>
      <c r="C5588" s="18"/>
      <c r="D5588" s="21" t="str">
        <f t="shared" si="15"/>
        <v/>
      </c>
    </row>
    <row r="5589" spans="1:4" ht="14">
      <c r="A5589" s="16">
        <v>45964</v>
      </c>
      <c r="B5589" s="17"/>
      <c r="C5589" s="18"/>
      <c r="D5589" s="21" t="str">
        <f t="shared" si="15"/>
        <v/>
      </c>
    </row>
    <row r="5590" spans="1:4" ht="14">
      <c r="A5590" s="16">
        <v>45965</v>
      </c>
      <c r="B5590" s="17"/>
      <c r="C5590" s="18"/>
      <c r="D5590" s="21" t="str">
        <f t="shared" si="15"/>
        <v/>
      </c>
    </row>
    <row r="5591" spans="1:4" ht="14">
      <c r="A5591" s="16">
        <v>45966</v>
      </c>
      <c r="B5591" s="17"/>
      <c r="C5591" s="18"/>
      <c r="D5591" s="21" t="str">
        <f t="shared" si="15"/>
        <v/>
      </c>
    </row>
    <row r="5592" spans="1:4" ht="14">
      <c r="A5592" s="16">
        <v>45967</v>
      </c>
      <c r="B5592" s="17"/>
      <c r="C5592" s="18"/>
      <c r="D5592" s="21" t="str">
        <f t="shared" si="15"/>
        <v/>
      </c>
    </row>
    <row r="5593" spans="1:4" ht="14">
      <c r="A5593" s="16">
        <v>45968</v>
      </c>
      <c r="B5593" s="17"/>
      <c r="C5593" s="18"/>
      <c r="D5593" s="21" t="str">
        <f t="shared" si="15"/>
        <v/>
      </c>
    </row>
    <row r="5594" spans="1:4" ht="14">
      <c r="A5594" s="16">
        <v>45969</v>
      </c>
      <c r="B5594" s="17"/>
      <c r="C5594" s="18"/>
      <c r="D5594" s="21" t="str">
        <f t="shared" si="15"/>
        <v/>
      </c>
    </row>
    <row r="5595" spans="1:4" ht="14">
      <c r="A5595" s="16">
        <v>45970</v>
      </c>
      <c r="B5595" s="17"/>
      <c r="C5595" s="18"/>
      <c r="D5595" s="21" t="str">
        <f t="shared" si="15"/>
        <v/>
      </c>
    </row>
    <row r="5596" spans="1:4" ht="14">
      <c r="A5596" s="16">
        <v>45971</v>
      </c>
      <c r="B5596" s="17"/>
      <c r="C5596" s="18"/>
      <c r="D5596" s="21" t="str">
        <f t="shared" si="15"/>
        <v/>
      </c>
    </row>
    <row r="5597" spans="1:4" ht="14">
      <c r="A5597" s="16">
        <v>45972</v>
      </c>
      <c r="B5597" s="17"/>
      <c r="C5597" s="18"/>
      <c r="D5597" s="21" t="str">
        <f t="shared" si="15"/>
        <v/>
      </c>
    </row>
    <row r="5598" spans="1:4" ht="14">
      <c r="A5598" s="16">
        <v>45973</v>
      </c>
      <c r="B5598" s="17"/>
      <c r="C5598" s="18"/>
      <c r="D5598" s="21" t="str">
        <f t="shared" si="15"/>
        <v/>
      </c>
    </row>
    <row r="5599" spans="1:4" ht="14">
      <c r="A5599" s="16">
        <v>45974</v>
      </c>
      <c r="B5599" s="17"/>
      <c r="C5599" s="18"/>
      <c r="D5599" s="21" t="str">
        <f t="shared" si="15"/>
        <v/>
      </c>
    </row>
    <row r="5600" spans="1:4" ht="14">
      <c r="A5600" s="16">
        <v>45975</v>
      </c>
      <c r="B5600" s="17"/>
      <c r="C5600" s="18"/>
      <c r="D5600" s="21" t="str">
        <f t="shared" si="15"/>
        <v/>
      </c>
    </row>
    <row r="5601" spans="1:4" ht="14">
      <c r="A5601" s="16">
        <v>45976</v>
      </c>
      <c r="B5601" s="17"/>
      <c r="C5601" s="18"/>
      <c r="D5601" s="21" t="str">
        <f t="shared" si="15"/>
        <v/>
      </c>
    </row>
    <row r="5602" spans="1:4" ht="14">
      <c r="A5602" s="16">
        <v>45977</v>
      </c>
      <c r="B5602" s="17"/>
      <c r="C5602" s="18"/>
      <c r="D5602" s="21" t="str">
        <f t="shared" si="15"/>
        <v/>
      </c>
    </row>
    <row r="5603" spans="1:4" ht="14">
      <c r="A5603" s="16">
        <v>45978</v>
      </c>
      <c r="B5603" s="17"/>
      <c r="C5603" s="18"/>
      <c r="D5603" s="21" t="str">
        <f t="shared" si="15"/>
        <v/>
      </c>
    </row>
    <row r="5604" spans="1:4" ht="14">
      <c r="A5604" s="16">
        <v>45979</v>
      </c>
      <c r="B5604" s="17"/>
      <c r="C5604" s="18"/>
      <c r="D5604" s="21" t="str">
        <f t="shared" ref="D5604:D5647" si="16">IF(C5597&lt;&gt;"",SUM(C5597:C5603),"")</f>
        <v/>
      </c>
    </row>
    <row r="5605" spans="1:4" ht="14">
      <c r="A5605" s="16">
        <v>45980</v>
      </c>
      <c r="B5605" s="17"/>
      <c r="C5605" s="18"/>
      <c r="D5605" s="21" t="str">
        <f t="shared" si="16"/>
        <v/>
      </c>
    </row>
    <row r="5606" spans="1:4" ht="14">
      <c r="A5606" s="16">
        <v>45981</v>
      </c>
      <c r="B5606" s="17"/>
      <c r="C5606" s="18"/>
      <c r="D5606" s="21" t="str">
        <f t="shared" si="16"/>
        <v/>
      </c>
    </row>
    <row r="5607" spans="1:4" ht="14">
      <c r="A5607" s="16">
        <v>45982</v>
      </c>
      <c r="B5607" s="17"/>
      <c r="C5607" s="18"/>
      <c r="D5607" s="21" t="str">
        <f t="shared" si="16"/>
        <v/>
      </c>
    </row>
    <row r="5608" spans="1:4" ht="14">
      <c r="A5608" s="16">
        <v>45983</v>
      </c>
      <c r="B5608" s="17"/>
      <c r="C5608" s="18"/>
      <c r="D5608" s="21" t="str">
        <f t="shared" si="16"/>
        <v/>
      </c>
    </row>
    <row r="5609" spans="1:4" ht="14">
      <c r="A5609" s="16">
        <v>45984</v>
      </c>
      <c r="B5609" s="17"/>
      <c r="C5609" s="18"/>
      <c r="D5609" s="21" t="str">
        <f t="shared" si="16"/>
        <v/>
      </c>
    </row>
    <row r="5610" spans="1:4" ht="14">
      <c r="A5610" s="16">
        <v>45985</v>
      </c>
      <c r="B5610" s="17"/>
      <c r="C5610" s="18"/>
      <c r="D5610" s="21" t="str">
        <f t="shared" si="16"/>
        <v/>
      </c>
    </row>
    <row r="5611" spans="1:4" ht="14">
      <c r="A5611" s="16">
        <v>45986</v>
      </c>
      <c r="B5611" s="17"/>
      <c r="C5611" s="18"/>
      <c r="D5611" s="21" t="str">
        <f t="shared" si="16"/>
        <v/>
      </c>
    </row>
    <row r="5612" spans="1:4" ht="14">
      <c r="A5612" s="16">
        <v>45987</v>
      </c>
      <c r="B5612" s="17"/>
      <c r="C5612" s="18"/>
      <c r="D5612" s="21" t="str">
        <f t="shared" si="16"/>
        <v/>
      </c>
    </row>
    <row r="5613" spans="1:4" ht="14">
      <c r="A5613" s="16">
        <v>45988</v>
      </c>
      <c r="B5613" s="17"/>
      <c r="C5613" s="18"/>
      <c r="D5613" s="21" t="str">
        <f t="shared" si="16"/>
        <v/>
      </c>
    </row>
    <row r="5614" spans="1:4" ht="14">
      <c r="A5614" s="16">
        <v>45989</v>
      </c>
      <c r="B5614" s="17"/>
      <c r="C5614" s="18"/>
      <c r="D5614" s="21" t="str">
        <f t="shared" si="16"/>
        <v/>
      </c>
    </row>
    <row r="5615" spans="1:4" ht="14">
      <c r="A5615" s="16">
        <v>45990</v>
      </c>
      <c r="B5615" s="17"/>
      <c r="C5615" s="18"/>
      <c r="D5615" s="21" t="str">
        <f t="shared" si="16"/>
        <v/>
      </c>
    </row>
    <row r="5616" spans="1:4" ht="14">
      <c r="A5616" s="16">
        <v>45991</v>
      </c>
      <c r="B5616" s="17"/>
      <c r="C5616" s="18"/>
      <c r="D5616" s="21" t="str">
        <f t="shared" si="16"/>
        <v/>
      </c>
    </row>
    <row r="5617" spans="1:4" ht="14">
      <c r="A5617" s="16">
        <v>45992</v>
      </c>
      <c r="B5617" s="17"/>
      <c r="C5617" s="18"/>
      <c r="D5617" s="21" t="str">
        <f t="shared" si="16"/>
        <v/>
      </c>
    </row>
    <row r="5618" spans="1:4" ht="14">
      <c r="A5618" s="16">
        <v>45993</v>
      </c>
      <c r="B5618" s="17"/>
      <c r="C5618" s="18"/>
      <c r="D5618" s="21" t="str">
        <f t="shared" si="16"/>
        <v/>
      </c>
    </row>
    <row r="5619" spans="1:4" ht="14">
      <c r="A5619" s="16">
        <v>45994</v>
      </c>
      <c r="B5619" s="17"/>
      <c r="C5619" s="18"/>
      <c r="D5619" s="21" t="str">
        <f t="shared" si="16"/>
        <v/>
      </c>
    </row>
    <row r="5620" spans="1:4" ht="14">
      <c r="A5620" s="16">
        <v>45995</v>
      </c>
      <c r="B5620" s="17"/>
      <c r="C5620" s="18"/>
      <c r="D5620" s="21" t="str">
        <f t="shared" si="16"/>
        <v/>
      </c>
    </row>
    <row r="5621" spans="1:4" ht="14">
      <c r="A5621" s="16">
        <v>45996</v>
      </c>
      <c r="B5621" s="17"/>
      <c r="C5621" s="18"/>
      <c r="D5621" s="21" t="str">
        <f t="shared" si="16"/>
        <v/>
      </c>
    </row>
    <row r="5622" spans="1:4" ht="14">
      <c r="A5622" s="16">
        <v>45997</v>
      </c>
      <c r="B5622" s="17"/>
      <c r="C5622" s="18"/>
      <c r="D5622" s="21" t="str">
        <f t="shared" si="16"/>
        <v/>
      </c>
    </row>
    <row r="5623" spans="1:4" ht="14">
      <c r="A5623" s="16">
        <v>45998</v>
      </c>
      <c r="B5623" s="17"/>
      <c r="C5623" s="18"/>
      <c r="D5623" s="21" t="str">
        <f t="shared" si="16"/>
        <v/>
      </c>
    </row>
    <row r="5624" spans="1:4" ht="14">
      <c r="A5624" s="16">
        <v>45999</v>
      </c>
      <c r="B5624" s="17"/>
      <c r="C5624" s="18"/>
      <c r="D5624" s="21" t="str">
        <f t="shared" si="16"/>
        <v/>
      </c>
    </row>
    <row r="5625" spans="1:4" ht="14">
      <c r="A5625" s="16">
        <v>46000</v>
      </c>
      <c r="B5625" s="17"/>
      <c r="C5625" s="18"/>
      <c r="D5625" s="21" t="str">
        <f t="shared" si="16"/>
        <v/>
      </c>
    </row>
    <row r="5626" spans="1:4" ht="14">
      <c r="A5626" s="16">
        <v>46001</v>
      </c>
      <c r="B5626" s="17"/>
      <c r="C5626" s="18"/>
      <c r="D5626" s="21" t="str">
        <f t="shared" si="16"/>
        <v/>
      </c>
    </row>
    <row r="5627" spans="1:4" ht="14">
      <c r="A5627" s="16">
        <v>46002</v>
      </c>
      <c r="B5627" s="17"/>
      <c r="C5627" s="18"/>
      <c r="D5627" s="21" t="str">
        <f t="shared" si="16"/>
        <v/>
      </c>
    </row>
    <row r="5628" spans="1:4" ht="14">
      <c r="A5628" s="16">
        <v>46003</v>
      </c>
      <c r="B5628" s="17"/>
      <c r="C5628" s="18"/>
      <c r="D5628" s="21" t="str">
        <f t="shared" si="16"/>
        <v/>
      </c>
    </row>
    <row r="5629" spans="1:4" ht="14">
      <c r="A5629" s="16">
        <v>46004</v>
      </c>
      <c r="B5629" s="17"/>
      <c r="C5629" s="18"/>
      <c r="D5629" s="21" t="str">
        <f t="shared" si="16"/>
        <v/>
      </c>
    </row>
    <row r="5630" spans="1:4" ht="14">
      <c r="A5630" s="16">
        <v>46005</v>
      </c>
      <c r="B5630" s="17"/>
      <c r="C5630" s="18"/>
      <c r="D5630" s="21" t="str">
        <f t="shared" si="16"/>
        <v/>
      </c>
    </row>
    <row r="5631" spans="1:4" ht="14">
      <c r="A5631" s="16">
        <v>46006</v>
      </c>
      <c r="B5631" s="17"/>
      <c r="C5631" s="18"/>
      <c r="D5631" s="21" t="str">
        <f t="shared" si="16"/>
        <v/>
      </c>
    </row>
    <row r="5632" spans="1:4" ht="14">
      <c r="A5632" s="16">
        <v>46007</v>
      </c>
      <c r="B5632" s="17"/>
      <c r="C5632" s="18"/>
      <c r="D5632" s="21" t="str">
        <f t="shared" si="16"/>
        <v/>
      </c>
    </row>
    <row r="5633" spans="1:4" ht="14">
      <c r="A5633" s="16">
        <v>46008</v>
      </c>
      <c r="B5633" s="17"/>
      <c r="C5633" s="18"/>
      <c r="D5633" s="21" t="str">
        <f t="shared" si="16"/>
        <v/>
      </c>
    </row>
    <row r="5634" spans="1:4" ht="14">
      <c r="A5634" s="16">
        <v>46009</v>
      </c>
      <c r="B5634" s="17"/>
      <c r="C5634" s="18"/>
      <c r="D5634" s="21" t="str">
        <f t="shared" si="16"/>
        <v/>
      </c>
    </row>
    <row r="5635" spans="1:4" ht="14">
      <c r="A5635" s="16">
        <v>46010</v>
      </c>
      <c r="B5635" s="17"/>
      <c r="C5635" s="18"/>
      <c r="D5635" s="21" t="str">
        <f t="shared" si="16"/>
        <v/>
      </c>
    </row>
    <row r="5636" spans="1:4" ht="14">
      <c r="A5636" s="16">
        <v>46011</v>
      </c>
      <c r="B5636" s="17"/>
      <c r="C5636" s="18"/>
      <c r="D5636" s="21" t="str">
        <f t="shared" si="16"/>
        <v/>
      </c>
    </row>
    <row r="5637" spans="1:4" ht="14">
      <c r="A5637" s="16">
        <v>46012</v>
      </c>
      <c r="B5637" s="17"/>
      <c r="C5637" s="18"/>
      <c r="D5637" s="21" t="str">
        <f t="shared" si="16"/>
        <v/>
      </c>
    </row>
    <row r="5638" spans="1:4" ht="14">
      <c r="A5638" s="16">
        <v>46013</v>
      </c>
      <c r="B5638" s="17"/>
      <c r="C5638" s="18"/>
      <c r="D5638" s="21" t="str">
        <f t="shared" si="16"/>
        <v/>
      </c>
    </row>
    <row r="5639" spans="1:4" ht="14">
      <c r="A5639" s="16">
        <v>46014</v>
      </c>
      <c r="B5639" s="17"/>
      <c r="C5639" s="18"/>
      <c r="D5639" s="21" t="str">
        <f t="shared" si="16"/>
        <v/>
      </c>
    </row>
    <row r="5640" spans="1:4" ht="14">
      <c r="A5640" s="16">
        <v>46015</v>
      </c>
      <c r="B5640" s="17"/>
      <c r="C5640" s="18"/>
      <c r="D5640" s="21" t="str">
        <f t="shared" si="16"/>
        <v/>
      </c>
    </row>
    <row r="5641" spans="1:4" ht="14">
      <c r="A5641" s="16">
        <v>46016</v>
      </c>
      <c r="B5641" s="17"/>
      <c r="C5641" s="18"/>
      <c r="D5641" s="21" t="str">
        <f t="shared" si="16"/>
        <v/>
      </c>
    </row>
    <row r="5642" spans="1:4" ht="14">
      <c r="A5642" s="16">
        <v>46017</v>
      </c>
      <c r="B5642" s="17"/>
      <c r="C5642" s="18"/>
      <c r="D5642" s="21" t="str">
        <f t="shared" si="16"/>
        <v/>
      </c>
    </row>
    <row r="5643" spans="1:4" ht="14">
      <c r="A5643" s="16">
        <v>46018</v>
      </c>
      <c r="B5643" s="17"/>
      <c r="C5643" s="18"/>
      <c r="D5643" s="21" t="str">
        <f t="shared" si="16"/>
        <v/>
      </c>
    </row>
    <row r="5644" spans="1:4" ht="14">
      <c r="A5644" s="16">
        <v>46019</v>
      </c>
      <c r="B5644" s="17"/>
      <c r="C5644" s="18"/>
      <c r="D5644" s="21" t="str">
        <f t="shared" si="16"/>
        <v/>
      </c>
    </row>
    <row r="5645" spans="1:4" ht="14">
      <c r="A5645" s="16">
        <v>46020</v>
      </c>
      <c r="B5645" s="17"/>
      <c r="C5645" s="18"/>
      <c r="D5645" s="21" t="str">
        <f t="shared" si="16"/>
        <v/>
      </c>
    </row>
    <row r="5646" spans="1:4" ht="14">
      <c r="A5646" s="16">
        <v>46021</v>
      </c>
      <c r="B5646" s="17"/>
      <c r="C5646" s="18"/>
      <c r="D5646" s="21" t="str">
        <f t="shared" si="16"/>
        <v/>
      </c>
    </row>
    <row r="5647" spans="1:4" ht="14">
      <c r="A5647" s="16">
        <v>46022</v>
      </c>
      <c r="B5647" s="17"/>
      <c r="C5647" s="18"/>
      <c r="D5647" s="21" t="str">
        <f t="shared" si="16"/>
        <v/>
      </c>
    </row>
  </sheetData>
  <conditionalFormatting sqref="A1:A5647">
    <cfRule type="timePeriod" dxfId="9" priority="1" timePeriod="today">
      <formula>FLOOR(A1,1)=TODAY()</formula>
    </cfRule>
  </conditionalFormatting>
  <conditionalFormatting sqref="B1:B1523 B5264:B5647">
    <cfRule type="expression" dxfId="8" priority="2">
      <formula>AND(B2 = "", B1 &lt;&gt; "")</formula>
    </cfRule>
  </conditionalFormatting>
  <conditionalFormatting sqref="C1524:C5647">
    <cfRule type="colorScale" priority="3">
      <colorScale>
        <cfvo type="min"/>
        <cfvo type="max"/>
        <color rgb="FFFFFFFF"/>
        <color rgb="FF57BB8A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X630"/>
  <sheetViews>
    <sheetView topLeftCell="F1" zoomScale="150" zoomScaleNormal="150" workbookViewId="0">
      <pane ySplit="2" topLeftCell="A3" activePane="bottomLeft" state="frozen"/>
      <selection pane="bottomLeft" activeCell="J10" sqref="J10"/>
    </sheetView>
  </sheetViews>
  <sheetFormatPr baseColWidth="10" defaultColWidth="12.6640625" defaultRowHeight="15.75" customHeight="1"/>
  <cols>
    <col min="1" max="1" width="9.5" customWidth="1"/>
    <col min="2" max="2" width="10.33203125" customWidth="1"/>
    <col min="3" max="3" width="15.6640625" bestFit="1" customWidth="1"/>
    <col min="4" max="4" width="8" customWidth="1"/>
    <col min="5" max="5" width="7.5" bestFit="1" customWidth="1"/>
    <col min="6" max="6" width="10.83203125" customWidth="1"/>
    <col min="7" max="7" width="20.1640625" customWidth="1"/>
    <col min="8" max="8" width="11.1640625" bestFit="1" customWidth="1"/>
    <col min="9" max="9" width="2.1640625" customWidth="1"/>
    <col min="10" max="10" width="9.83203125" customWidth="1"/>
    <col min="11" max="11" width="8.5" customWidth="1"/>
    <col min="12" max="12" width="2.1640625" customWidth="1"/>
    <col min="13" max="16" width="10.33203125" customWidth="1"/>
    <col min="17" max="17" width="9.5" customWidth="1"/>
    <col min="18" max="18" width="10.33203125" customWidth="1"/>
    <col min="19" max="19" width="21" customWidth="1"/>
    <col min="20" max="20" width="10.1640625" style="74" bestFit="1" customWidth="1"/>
    <col min="21" max="21" width="8.6640625" bestFit="1" customWidth="1"/>
    <col min="22" max="22" width="6.6640625" customWidth="1"/>
    <col min="23" max="23" width="5.83203125" customWidth="1"/>
    <col min="24" max="24" width="7.1640625" bestFit="1" customWidth="1"/>
  </cols>
  <sheetData>
    <row r="1" spans="1:24" ht="43" thickBot="1">
      <c r="A1" s="23" t="s">
        <v>10</v>
      </c>
      <c r="B1" s="24" t="s">
        <v>11</v>
      </c>
      <c r="C1" s="25" t="s">
        <v>9</v>
      </c>
      <c r="D1" s="26" t="s">
        <v>12</v>
      </c>
      <c r="E1" s="26" t="s">
        <v>13</v>
      </c>
      <c r="F1" s="27" t="s">
        <v>14</v>
      </c>
      <c r="G1" s="28" t="s">
        <v>15</v>
      </c>
      <c r="H1" s="29" t="s">
        <v>16</v>
      </c>
      <c r="I1" s="30"/>
      <c r="J1" s="31" t="s">
        <v>17</v>
      </c>
      <c r="K1" s="31" t="s">
        <v>18</v>
      </c>
      <c r="L1" s="32"/>
      <c r="M1" s="33" t="s">
        <v>19</v>
      </c>
      <c r="N1" s="34" t="s">
        <v>20</v>
      </c>
      <c r="O1" s="35" t="s">
        <v>21</v>
      </c>
      <c r="P1" s="35" t="s">
        <v>22</v>
      </c>
      <c r="Q1" s="35" t="s">
        <v>23</v>
      </c>
      <c r="R1" s="35" t="s">
        <v>24</v>
      </c>
      <c r="S1" s="30"/>
      <c r="T1" s="36" t="s">
        <v>25</v>
      </c>
      <c r="U1" s="36" t="s">
        <v>26</v>
      </c>
      <c r="V1" s="36" t="s">
        <v>27</v>
      </c>
      <c r="W1" s="37" t="s">
        <v>28</v>
      </c>
      <c r="X1" s="36" t="s">
        <v>29</v>
      </c>
    </row>
    <row r="2" spans="1:24" ht="14" thickBot="1">
      <c r="A2" s="3"/>
      <c r="B2" s="3"/>
      <c r="C2" s="3"/>
      <c r="D2" s="9"/>
      <c r="E2" s="9"/>
      <c r="F2" s="9"/>
      <c r="G2" s="38"/>
      <c r="H2" s="1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9">
        <f ca="1">AVERAGEIF($D$4:D630,"&lt;&gt;")</f>
        <v>1.2749723358155737E-2</v>
      </c>
      <c r="U2" s="39">
        <f ca="1">MIN($D$3:D630)</f>
        <v>-1</v>
      </c>
      <c r="V2" s="39">
        <f ca="1">MAX($D$3:D630)</f>
        <v>0.45937642977548265</v>
      </c>
      <c r="W2" s="39">
        <f ca="1">SUM($E$3:E630)/COUNTIFS($E$3:E630,"&lt;&gt;",$B$3:B630, "&gt;0")</f>
        <v>1.1041095054824536E-2</v>
      </c>
      <c r="X2" s="39">
        <f ca="1">SQRT(W2)</f>
        <v>0.10507661516638483</v>
      </c>
    </row>
    <row r="3" spans="1:24" ht="14" thickBot="1">
      <c r="A3" s="40">
        <v>41904</v>
      </c>
      <c r="B3" s="41">
        <f t="array" aca="1" ref="B3" ca="1">IF(AND(A3 &gt; TODAY(), A3 &lt;= TODAY() + 7),
   INDEX(calculations!B:B, MATCH(143^143, calculations!B:B)),
   IF(ISNUMBER(MATCH(A3, calculations!A:A, 0)),
      INDEX(calculations!B:B, MATCH(A3, calculations!A:A, 0)),
      ""
   )
)</f>
        <v>400.88</v>
      </c>
      <c r="C3" s="42" t="str">
        <f t="array" aca="1" ref="C3" ca="1">IF(B3&lt;&gt;"", IF(MATCH(A3, calculations!A:A, 0), INDEX(calculations!D:D, MATCH(A3, calculations!A:A, 0)), "No Match"),"")</f>
        <v/>
      </c>
      <c r="D3" s="43">
        <v>0</v>
      </c>
      <c r="E3" s="43">
        <f t="shared" ref="E3:E257" ca="1" si="0">IF(D3&lt;&gt;"",(D3-$T$2)^2,"")</f>
        <v>1.6255544570950201E-4</v>
      </c>
      <c r="F3" s="43"/>
      <c r="G3" s="42" t="str">
        <f t="shared" ref="G3:G257" ca="1" si="1">IF(C3&lt;&gt;"",B3*C3,"")</f>
        <v/>
      </c>
      <c r="H3" s="41"/>
      <c r="I3" s="3"/>
      <c r="J3" s="44"/>
      <c r="K3" s="44"/>
      <c r="L3" s="3"/>
      <c r="M3" s="45" t="str">
        <f t="shared" ref="M3:M257" si="2">IF(H3&lt;&gt;"",H3*(1-(F3*2)),"")</f>
        <v/>
      </c>
      <c r="N3" s="46" t="str">
        <f t="shared" ref="N3:N257" si="3">IF(H3&lt;&gt;"",H3*(1+(F3*2)),"")</f>
        <v/>
      </c>
      <c r="O3" s="45" t="str">
        <f t="shared" ref="O3:O257" si="4">IF(H3&lt;&gt;"",H3*(1-(F3*3)),"")</f>
        <v/>
      </c>
      <c r="P3" s="47" t="str">
        <f t="shared" ref="P3:P257" si="5">IF(H3&lt;&gt;"",H3*(1+(F3*3)),"")</f>
        <v/>
      </c>
      <c r="Q3" s="45" t="str">
        <f t="shared" ref="Q3:Q257" si="6">IF(H3&lt;&gt;"",H3*(1-(F3*4)),"")</f>
        <v/>
      </c>
      <c r="R3" s="47" t="str">
        <f t="shared" ref="R3:R257" si="7">IF(H3&lt;&gt;"",H3*(1+(F3*4)),"")</f>
        <v/>
      </c>
      <c r="S3" s="3"/>
      <c r="T3" s="9"/>
      <c r="U3" s="3"/>
      <c r="V3" s="3"/>
      <c r="W3" s="3"/>
      <c r="X3" s="3"/>
    </row>
    <row r="4" spans="1:24" ht="14" thickBot="1">
      <c r="A4" s="40">
        <v>41911</v>
      </c>
      <c r="B4" s="41">
        <f t="array" aca="1" ref="B4" ca="1">IF(AND(A4 &gt; TODAY(), A4 &lt;= TODAY() + 7),
   INDEX(calculations!B:B, MATCH(143^143, calculations!B:B)),
   IF(ISNUMBER(MATCH(A4, calculations!A:A, 0)),
      INDEX(calculations!B:B, MATCH(A4, calculations!A:A, 0)),
      ""
   )
)</f>
        <v>373.06</v>
      </c>
      <c r="C4" s="42">
        <f t="array" aca="1" ref="C4" ca="1">IF(B4&lt;&gt;"", IF(MATCH(A4, calculations!A:A, 0), INDEX(calculations!D:D, MATCH(A4, calculations!A:A, 0)), "No Match"),"")</f>
        <v>186772600</v>
      </c>
      <c r="D4" s="43">
        <f t="shared" ref="D4:D258" ca="1" si="8">IF(B4&lt;&gt;"",(B4-B3)/B3,"")</f>
        <v>-6.9397325883057262E-2</v>
      </c>
      <c r="E4" s="43">
        <f t="shared" ca="1" si="0"/>
        <v>6.7481376990382721E-3</v>
      </c>
      <c r="F4" s="43">
        <f ca="1">IF(AND(D4&lt;&gt;"",B4&lt;&gt;""),_xlfn.STDEV.S(D3:D4),"")</f>
        <v>4.9071319728122502E-2</v>
      </c>
      <c r="G4" s="42">
        <f t="shared" ca="1" si="1"/>
        <v>69677386156</v>
      </c>
      <c r="H4" s="41">
        <f t="shared" ref="H4:H16" ca="1" si="9">IF(C4&lt;&gt;"",SUM($G$3:G4)/SUM($C$3:C4),"")</f>
        <v>373.06</v>
      </c>
      <c r="I4" s="3"/>
      <c r="J4" s="43">
        <f ca="1">IF(B4="","",
 IF(B4&lt;Q4, 1+(4*ABS(D4))+(1+$X$2)+F4,
 IF(B4&lt;O4, 1+(3*ABS(D4))+(1+$X$2)+F4,
 IF(B4&lt;M4, 1+(2*ABS(D4))+(1+$X$2)+F4,
 IF(B4&gt;R4, 1-(4*ABS(D4))-(1+$X$2)-F4,
 IF(B4&gt;P4, 1-(3*ABS(D4))-(1+$X$2)-F4,
 IF(B4&gt;N4, 1-(2*ABS(D4))-(1+$X$2)-F4,
 1)))))))</f>
        <v>1</v>
      </c>
      <c r="K4" s="44" t="str">
        <f t="shared" ref="K4:K258" ca="1" si="10">IF(J4=1,"",IF(B4="","",IF(AND(B4&lt;&gt;"",J4&lt;0),IF(AND(P4&gt;B4,B4&gt;N4),-2, IF(AND(R4&gt;B4,B4&gt;P4), -3,IF(B4&gt;R4, -4))),IF(AND(B4&lt;&gt;"",J4&gt;0),IF(AND(O4&lt;B4,B4&lt;M4),2, IF(AND(Q4&lt;B4,B4&lt;O4), 3,IF(B4&lt;Q4, 4)))))))</f>
        <v/>
      </c>
      <c r="L4" s="3"/>
      <c r="M4" s="45">
        <f t="shared" ca="1" si="2"/>
        <v>336.44690692445323</v>
      </c>
      <c r="N4" s="47">
        <f t="shared" ca="1" si="3"/>
        <v>409.67309307554677</v>
      </c>
      <c r="O4" s="45">
        <f t="shared" ca="1" si="4"/>
        <v>318.14036038667984</v>
      </c>
      <c r="P4" s="47">
        <f t="shared" ca="1" si="5"/>
        <v>427.97963961332016</v>
      </c>
      <c r="Q4" s="45">
        <f t="shared" ca="1" si="6"/>
        <v>299.83381384890646</v>
      </c>
      <c r="R4" s="47">
        <f t="shared" ca="1" si="7"/>
        <v>446.28618615109355</v>
      </c>
      <c r="S4" s="73">
        <f t="shared" ref="S4:S28" ca="1" si="11">IF(B4="","",
 IF(B4&lt;Q4, 1+(4*ABS(D4))+(1+$X$2)+F4,
 IF(B4&lt;O4, 1+(3*ABS(D4))+(1+$X$2)+F4,
 IF(B4&lt;M4, 1+(2*ABS(D4))+(1+$X$2)+F4,
 IF(B4&gt;R4, 1-(4*ABS(D4))-(1+$X$2)-F4,
 IF(B4&gt;P4, 1-(3*ABS(D4))-(1+$X$2)-F4,
 IF(B4&gt;N4, 1-(2*ABS(D4))-(1+$X$2)-F4,
 1)))))))</f>
        <v>1</v>
      </c>
      <c r="U4" s="3"/>
      <c r="V4" s="3"/>
      <c r="W4" s="3"/>
      <c r="X4" s="3"/>
    </row>
    <row r="5" spans="1:24" ht="14" thickBot="1">
      <c r="A5" s="40">
        <v>41918</v>
      </c>
      <c r="B5" s="41">
        <f t="array" aca="1" ref="B5" ca="1">IF(AND(A5 &gt; TODAY(), A5 &lt;= TODAY() + 7),
   INDEX(calculations!B:B, MATCH(143^143, calculations!B:B)),
   IF(ISNUMBER(MATCH(A5, calculations!A:A, 0)),
      INDEX(calculations!B:B, MATCH(A5, calculations!A:A, 0)),
      ""
   )
)</f>
        <v>326.8</v>
      </c>
      <c r="C5" s="42">
        <f t="array" aca="1" ref="C5" ca="1">IF(B5&lt;&gt;"", IF(MATCH(A5, calculations!A:A, 0), INDEX(calculations!D:D, MATCH(A5, calculations!A:A, 0)), "No Match"),"")</f>
        <v>276657896</v>
      </c>
      <c r="D5" s="43">
        <f t="shared" ca="1" si="8"/>
        <v>-0.1240015010990189</v>
      </c>
      <c r="E5" s="43">
        <f t="shared" ca="1" si="0"/>
        <v>1.8700897390536559E-2</v>
      </c>
      <c r="F5" s="43">
        <f ca="1">IF(AND(D4&lt;&gt;"",B4&lt;&gt;""),_xlfn.STDEV.S(D3:D5),"")</f>
        <v>6.2147642842863414E-2</v>
      </c>
      <c r="G5" s="42">
        <f t="shared" ca="1" si="1"/>
        <v>90411800412.800003</v>
      </c>
      <c r="H5" s="41">
        <f t="shared" ca="1" si="9"/>
        <v>345.44378919940561</v>
      </c>
      <c r="I5" s="3"/>
      <c r="J5" s="43">
        <f t="shared" ref="J5:J68" ca="1" si="12">IF(B5="","",
 IF(B5&lt;Q5, 1+(4*ABS(D5))+(1+$X$2)+F5,
 IF(B5&lt;O5, 1+(3*ABS(D5))+(1+$X$2)+F5,
 IF(B5&lt;M5, 1+(2*ABS(D5))+(1+$X$2)+F5,
 IF(B5&gt;R5, 1-(4*ABS(D5))-(1+$X$2)-F5,
 IF(B5&gt;P5, 1-(3*ABS(D5))-(1+$X$2)-F5,
 IF(B5&gt;N5, 1-(2*ABS(D5))-(1+$X$2)-F5,
 1)))))))</f>
        <v>1</v>
      </c>
      <c r="K5" s="44" t="str">
        <f t="shared" ca="1" si="10"/>
        <v/>
      </c>
      <c r="L5" s="3"/>
      <c r="M5" s="45">
        <f t="shared" ca="1" si="2"/>
        <v>302.5067547325055</v>
      </c>
      <c r="N5" s="47">
        <f t="shared" ca="1" si="3"/>
        <v>388.38082366630573</v>
      </c>
      <c r="O5" s="45">
        <f t="shared" ca="1" si="4"/>
        <v>281.03823749905547</v>
      </c>
      <c r="P5" s="47">
        <f t="shared" ca="1" si="5"/>
        <v>409.84934089975576</v>
      </c>
      <c r="Q5" s="45">
        <f t="shared" ca="1" si="6"/>
        <v>259.56972026560538</v>
      </c>
      <c r="R5" s="47">
        <f t="shared" ca="1" si="7"/>
        <v>431.31785813320585</v>
      </c>
      <c r="S5" s="73">
        <f t="shared" ca="1" si="11"/>
        <v>1</v>
      </c>
      <c r="U5" s="3"/>
      <c r="V5" s="3"/>
      <c r="W5" s="3"/>
      <c r="X5" s="3"/>
    </row>
    <row r="6" spans="1:24" ht="14" thickBot="1">
      <c r="A6" s="40">
        <v>41925</v>
      </c>
      <c r="B6" s="41">
        <f t="array" aca="1" ref="B6" ca="1">IF(AND(A6 &gt; TODAY(), A6 &lt;= TODAY() + 7),
   INDEX(calculations!B:B, MATCH(143^143, calculations!B:B)),
   IF(ISNUMBER(MATCH(A6, calculations!A:A, 0)),
      INDEX(calculations!B:B, MATCH(A6, calculations!A:A, 0)),
      ""
   )
)</f>
        <v>391.99</v>
      </c>
      <c r="C6" s="42">
        <f t="array" aca="1" ref="C6" ca="1">IF(B6&lt;&gt;"", IF(MATCH(A6, calculations!A:A, 0), INDEX(calculations!D:D, MATCH(A6, calculations!A:A, 0)), "No Match"),"")</f>
        <v>341152804</v>
      </c>
      <c r="D6" s="43">
        <f t="shared" ca="1" si="8"/>
        <v>0.19947980416156669</v>
      </c>
      <c r="E6" s="43">
        <f t="shared" ca="1" si="0"/>
        <v>3.4868123076848383E-2</v>
      </c>
      <c r="F6" s="43">
        <f ca="1">IF(AND(D6&lt;&gt;"",B6&lt;&gt;""),_xlfn.STDEV.S(D3:D6),"")</f>
        <v>0.14139225439889069</v>
      </c>
      <c r="G6" s="42">
        <f t="shared" ca="1" si="1"/>
        <v>133728487639.96001</v>
      </c>
      <c r="H6" s="41">
        <f t="shared" ca="1" si="9"/>
        <v>365.1799312871147</v>
      </c>
      <c r="I6" s="3"/>
      <c r="J6" s="43">
        <f t="shared" ca="1" si="12"/>
        <v>1</v>
      </c>
      <c r="K6" s="44" t="str">
        <f t="shared" ca="1" si="10"/>
        <v/>
      </c>
      <c r="L6" s="3"/>
      <c r="M6" s="45">
        <f t="shared" ca="1" si="2"/>
        <v>261.91270379528044</v>
      </c>
      <c r="N6" s="47">
        <f t="shared" ca="1" si="3"/>
        <v>468.44715877894896</v>
      </c>
      <c r="O6" s="45">
        <f t="shared" ca="1" si="4"/>
        <v>210.27909004936328</v>
      </c>
      <c r="P6" s="47">
        <f t="shared" ca="1" si="5"/>
        <v>520.08077252486612</v>
      </c>
      <c r="Q6" s="45">
        <f t="shared" ca="1" si="6"/>
        <v>158.64547630344612</v>
      </c>
      <c r="R6" s="47">
        <f t="shared" ca="1" si="7"/>
        <v>571.71438627078328</v>
      </c>
      <c r="S6" s="73">
        <f t="shared" ca="1" si="11"/>
        <v>1</v>
      </c>
      <c r="U6" s="3"/>
      <c r="V6" s="3"/>
      <c r="W6" s="3"/>
      <c r="X6" s="3"/>
    </row>
    <row r="7" spans="1:24" ht="14" thickBot="1">
      <c r="A7" s="40">
        <v>41932</v>
      </c>
      <c r="B7" s="41">
        <f t="array" aca="1" ref="B7" ca="1">IF(AND(A7 &gt; TODAY(), A7 &lt;= TODAY() + 7),
   INDEX(calculations!B:B, MATCH(143^143, calculations!B:B)),
   IF(ISNUMBER(MATCH(A7, calculations!A:A, 0)),
      INDEX(calculations!B:B, MATCH(A7, calculations!A:A, 0)),
      ""
   )
)</f>
        <v>381.19</v>
      </c>
      <c r="C7" s="42">
        <f t="array" aca="1" ref="C7" ca="1">IF(B7&lt;&gt;"", IF(MATCH(A7, calculations!A:A, 0), INDEX(calculations!D:D, MATCH(A7, calculations!A:A, 0)), "No Match"),"")</f>
        <v>156902070</v>
      </c>
      <c r="D7" s="43">
        <f t="shared" ca="1" si="8"/>
        <v>-2.7551723258246411E-2</v>
      </c>
      <c r="E7" s="43">
        <f t="shared" ca="1" si="0"/>
        <v>1.6242065993747122E-3</v>
      </c>
      <c r="F7" s="43">
        <f ca="1">IF(AND(D7&lt;&gt;"",B7&lt;&gt;""),_xlfn.STDEV.S(D3:D7),"")</f>
        <v>0.12313757778388523</v>
      </c>
      <c r="G7" s="42">
        <f t="shared" ca="1" si="1"/>
        <v>59809500063.300003</v>
      </c>
      <c r="H7" s="41">
        <f t="shared" ca="1" si="9"/>
        <v>367.79256898319733</v>
      </c>
      <c r="I7" s="3"/>
      <c r="J7" s="43">
        <f t="shared" ca="1" si="12"/>
        <v>1</v>
      </c>
      <c r="K7" s="44" t="str">
        <f t="shared" ca="1" si="10"/>
        <v/>
      </c>
      <c r="L7" s="3"/>
      <c r="M7" s="45">
        <f t="shared" ca="1" si="2"/>
        <v>277.21439684019043</v>
      </c>
      <c r="N7" s="47">
        <f t="shared" ca="1" si="3"/>
        <v>458.37074112620422</v>
      </c>
      <c r="O7" s="45">
        <f t="shared" ca="1" si="4"/>
        <v>231.92531076868701</v>
      </c>
      <c r="P7" s="47">
        <f t="shared" ca="1" si="5"/>
        <v>503.65982719770761</v>
      </c>
      <c r="Q7" s="45">
        <f t="shared" ca="1" si="6"/>
        <v>186.63622469718359</v>
      </c>
      <c r="R7" s="47">
        <f t="shared" ca="1" si="7"/>
        <v>548.94891326921106</v>
      </c>
      <c r="S7" s="73">
        <f t="shared" ca="1" si="11"/>
        <v>1</v>
      </c>
      <c r="U7" s="3"/>
      <c r="V7" s="3"/>
      <c r="W7" s="3"/>
      <c r="X7" s="3"/>
    </row>
    <row r="8" spans="1:24" ht="14" thickBot="1">
      <c r="A8" s="40">
        <v>41939</v>
      </c>
      <c r="B8" s="41">
        <f t="array" aca="1" ref="B8" ca="1">IF(AND(A8 &gt; TODAY(), A8 &lt;= TODAY() + 7),
   INDEX(calculations!B:B, MATCH(143^143, calculations!B:B)),
   IF(ISNUMBER(MATCH(A8, calculations!A:A, 0)),
      INDEX(calculations!B:B, MATCH(A8, calculations!A:A, 0)),
      ""
   )
)</f>
        <v>350.02</v>
      </c>
      <c r="C8" s="42">
        <f t="array" aca="1" ref="C8" ca="1">IF(B8&lt;&gt;"", IF(MATCH(A8, calculations!A:A, 0), INDEX(calculations!D:D, MATCH(A8, calculations!A:A, 0)), "No Match"),"")</f>
        <v>113691800</v>
      </c>
      <c r="D8" s="43">
        <f t="shared" ca="1" si="8"/>
        <v>-8.1770245809176564E-2</v>
      </c>
      <c r="E8" s="43">
        <f t="shared" ca="1" si="0"/>
        <v>8.9340245713934487E-3</v>
      </c>
      <c r="F8" s="43">
        <f ca="1">IF(AND(D7&lt;&gt;"",B7&lt;&gt;""),_xlfn.STDEV.S(D3:D8),"")</f>
        <v>0.11458933068663739</v>
      </c>
      <c r="G8" s="42">
        <f t="shared" ca="1" si="1"/>
        <v>39794403836</v>
      </c>
      <c r="H8" s="41">
        <f t="shared" ca="1" si="9"/>
        <v>365.91325512246505</v>
      </c>
      <c r="I8" s="3"/>
      <c r="J8" s="43">
        <f t="shared" ca="1" si="12"/>
        <v>1</v>
      </c>
      <c r="K8" s="44" t="str">
        <f t="shared" ca="1" si="10"/>
        <v/>
      </c>
      <c r="L8" s="3"/>
      <c r="M8" s="45">
        <f t="shared" ca="1" si="2"/>
        <v>282.0537451347609</v>
      </c>
      <c r="N8" s="47">
        <f t="shared" ca="1" si="3"/>
        <v>449.77276511016913</v>
      </c>
      <c r="O8" s="45">
        <f t="shared" ca="1" si="4"/>
        <v>240.12399014090886</v>
      </c>
      <c r="P8" s="47">
        <f t="shared" ca="1" si="5"/>
        <v>491.70252010402123</v>
      </c>
      <c r="Q8" s="45">
        <f t="shared" ca="1" si="6"/>
        <v>198.19423514705679</v>
      </c>
      <c r="R8" s="47">
        <f t="shared" ca="1" si="7"/>
        <v>533.63227509787328</v>
      </c>
      <c r="S8" s="73">
        <f t="shared" ca="1" si="11"/>
        <v>1</v>
      </c>
      <c r="U8" s="3"/>
      <c r="V8" s="3"/>
      <c r="W8" s="3"/>
      <c r="X8" s="3"/>
    </row>
    <row r="9" spans="1:24" ht="14" thickBot="1">
      <c r="A9" s="40">
        <v>41946</v>
      </c>
      <c r="B9" s="41">
        <f t="array" aca="1" ref="B9" ca="1">IF(AND(A9 &gt; TODAY(), A9 &lt;= TODAY() + 7),
   INDEX(calculations!B:B, MATCH(143^143, calculations!B:B)),
   IF(ISNUMBER(MATCH(A9, calculations!A:A, 0)),
      INDEX(calculations!B:B, MATCH(A9, calculations!A:A, 0)),
      ""
   )
)</f>
        <v>325.36</v>
      </c>
      <c r="C9" s="42">
        <f t="array" aca="1" ref="C9" ca="1">IF(B9&lt;&gt;"", IF(MATCH(A9, calculations!A:A, 0), INDEX(calculations!D:D, MATCH(A9, calculations!A:A, 0)), "No Match"),"")</f>
        <v>107075700</v>
      </c>
      <c r="D9" s="43">
        <f t="shared" ca="1" si="8"/>
        <v>-7.045311696474478E-2</v>
      </c>
      <c r="E9" s="43">
        <f t="shared" ca="1" si="0"/>
        <v>6.9227126377980792E-3</v>
      </c>
      <c r="F9" s="43">
        <f ca="1">IF(AND(D8&lt;&gt;"",B8&lt;&gt;""),_xlfn.STDEV.S(D3:D9),"")</f>
        <v>0.10652364100893498</v>
      </c>
      <c r="G9" s="42">
        <f t="shared" ca="1" si="1"/>
        <v>34838149752</v>
      </c>
      <c r="H9" s="41">
        <f t="shared" ca="1" si="9"/>
        <v>362.24037913315448</v>
      </c>
      <c r="I9" s="3"/>
      <c r="J9" s="43">
        <f t="shared" ca="1" si="12"/>
        <v>1</v>
      </c>
      <c r="K9" s="44" t="str">
        <f t="shared" ca="1" si="10"/>
        <v/>
      </c>
      <c r="L9" s="3"/>
      <c r="M9" s="45">
        <f t="shared" ca="1" si="2"/>
        <v>285.06605092171321</v>
      </c>
      <c r="N9" s="47">
        <f t="shared" ca="1" si="3"/>
        <v>439.41470734459574</v>
      </c>
      <c r="O9" s="45">
        <f t="shared" ca="1" si="4"/>
        <v>246.47888681599255</v>
      </c>
      <c r="P9" s="47">
        <f t="shared" ca="1" si="5"/>
        <v>478.0018714503164</v>
      </c>
      <c r="Q9" s="45">
        <f t="shared" ca="1" si="6"/>
        <v>207.89172271027189</v>
      </c>
      <c r="R9" s="47">
        <f t="shared" ca="1" si="7"/>
        <v>516.58903555603706</v>
      </c>
      <c r="S9" s="73">
        <f t="shared" ca="1" si="11"/>
        <v>1</v>
      </c>
      <c r="U9" s="3"/>
      <c r="V9" s="3"/>
      <c r="W9" s="3"/>
      <c r="X9" s="3"/>
    </row>
    <row r="10" spans="1:24" ht="14" thickBot="1">
      <c r="A10" s="40">
        <v>41953</v>
      </c>
      <c r="B10" s="41">
        <f t="array" aca="1" ref="B10" ca="1">IF(AND(A10 &gt; TODAY(), A10 &lt;= TODAY() + 7),
   INDEX(calculations!B:B, MATCH(143^143, calculations!B:B)),
   IF(ISNUMBER(MATCH(A10, calculations!A:A, 0)),
      INDEX(calculations!B:B, MATCH(A10, calculations!A:A, 0)),
      ""
   )
)</f>
        <v>365.5</v>
      </c>
      <c r="C10" s="42">
        <f t="array" aca="1" ref="C10" ca="1">IF(B10&lt;&gt;"", IF(MATCH(A10, calculations!A:A, 0), INDEX(calculations!D:D, MATCH(A10, calculations!A:A, 0)), "No Match"),"")</f>
        <v>116793470</v>
      </c>
      <c r="D10" s="43">
        <f t="shared" ca="1" si="8"/>
        <v>0.12337103516105233</v>
      </c>
      <c r="E10" s="43">
        <f t="shared" ca="1" si="0"/>
        <v>1.223707462499367E-2</v>
      </c>
      <c r="F10" s="43">
        <f ca="1">IF(AND(D10&lt;&gt;"",B10&lt;&gt;""),_xlfn.STDEV.S(D3:D10),"")</f>
        <v>0.11167396836684546</v>
      </c>
      <c r="G10" s="42">
        <f t="shared" ca="1" si="1"/>
        <v>42688013285</v>
      </c>
      <c r="H10" s="41">
        <f t="shared" ca="1" si="9"/>
        <v>362.53344214422714</v>
      </c>
      <c r="I10" s="3"/>
      <c r="J10" s="43">
        <f t="shared" ca="1" si="12"/>
        <v>1</v>
      </c>
      <c r="K10" s="44" t="str">
        <f t="shared" ca="1" si="10"/>
        <v/>
      </c>
      <c r="L10" s="3"/>
      <c r="M10" s="45">
        <f t="shared" ca="1" si="2"/>
        <v>281.56234584435111</v>
      </c>
      <c r="N10" s="47">
        <f t="shared" ca="1" si="3"/>
        <v>443.50453844410322</v>
      </c>
      <c r="O10" s="45">
        <f t="shared" ca="1" si="4"/>
        <v>241.0767976944131</v>
      </c>
      <c r="P10" s="47">
        <f t="shared" ca="1" si="5"/>
        <v>483.99008659404114</v>
      </c>
      <c r="Q10" s="45">
        <f t="shared" ca="1" si="6"/>
        <v>200.59124954447506</v>
      </c>
      <c r="R10" s="47">
        <f t="shared" ca="1" si="7"/>
        <v>524.47563474397919</v>
      </c>
      <c r="S10" s="73">
        <f t="shared" ca="1" si="11"/>
        <v>1</v>
      </c>
      <c r="U10" s="3"/>
      <c r="V10" s="3"/>
      <c r="W10" s="3"/>
      <c r="X10" s="3"/>
    </row>
    <row r="11" spans="1:24" ht="14" thickBot="1">
      <c r="A11" s="40">
        <v>41960</v>
      </c>
      <c r="B11" s="41">
        <f t="array" aca="1" ref="B11" ca="1">IF(AND(A11 &gt; TODAY(), A11 &lt;= TODAY() + 7),
   INDEX(calculations!B:B, MATCH(143^143, calculations!B:B)),
   IF(ISNUMBER(MATCH(A11, calculations!A:A, 0)),
      INDEX(calculations!B:B, MATCH(A11, calculations!A:A, 0)),
      ""
   )
)</f>
        <v>387.5</v>
      </c>
      <c r="C11" s="42">
        <f t="array" aca="1" ref="C11" ca="1">IF(B11&lt;&gt;"", IF(MATCH(A11, calculations!A:A, 0), INDEX(calculations!D:D, MATCH(A11, calculations!A:A, 0)), "No Match"),"")</f>
        <v>208239500</v>
      </c>
      <c r="D11" s="43">
        <f t="shared" ca="1" si="8"/>
        <v>6.0191518467852256E-2</v>
      </c>
      <c r="E11" s="43">
        <f t="shared" ca="1" si="0"/>
        <v>2.2507239232304244E-3</v>
      </c>
      <c r="F11" s="43">
        <f ca="1">IF(AND(D10&lt;&gt;"",B10&lt;&gt;""),_xlfn.STDEV.S(D3:D11),"")</f>
        <v>0.10678616258095966</v>
      </c>
      <c r="G11" s="42">
        <f t="shared" ca="1" si="1"/>
        <v>80692806250</v>
      </c>
      <c r="H11" s="41">
        <f t="shared" ca="1" si="9"/>
        <v>365.98270398072606</v>
      </c>
      <c r="I11" s="3"/>
      <c r="J11" s="43">
        <f t="shared" ca="1" si="12"/>
        <v>1</v>
      </c>
      <c r="K11" s="44" t="str">
        <f t="shared" ca="1" si="10"/>
        <v/>
      </c>
      <c r="L11" s="3"/>
      <c r="M11" s="45">
        <f t="shared" ca="1" si="2"/>
        <v>287.81892692251597</v>
      </c>
      <c r="N11" s="47">
        <f t="shared" ca="1" si="3"/>
        <v>444.14648103893614</v>
      </c>
      <c r="O11" s="45">
        <f t="shared" ca="1" si="4"/>
        <v>248.73703839341093</v>
      </c>
      <c r="P11" s="47">
        <f t="shared" ca="1" si="5"/>
        <v>483.22836956804122</v>
      </c>
      <c r="Q11" s="45">
        <f t="shared" ca="1" si="6"/>
        <v>209.65514986430588</v>
      </c>
      <c r="R11" s="47">
        <f t="shared" ca="1" si="7"/>
        <v>522.31025809714617</v>
      </c>
      <c r="S11" s="73">
        <f t="shared" ca="1" si="11"/>
        <v>1</v>
      </c>
      <c r="U11" s="3"/>
      <c r="V11" s="3"/>
      <c r="W11" s="3"/>
      <c r="X11" s="3"/>
    </row>
    <row r="12" spans="1:24" ht="14" thickBot="1">
      <c r="A12" s="40">
        <v>41967</v>
      </c>
      <c r="B12" s="41">
        <f t="array" aca="1" ref="B12" ca="1">IF(AND(A12 &gt; TODAY(), A12 &lt;= TODAY() + 7),
   INDEX(calculations!B:B, MATCH(143^143, calculations!B:B)),
   IF(ISNUMBER(MATCH(A12, calculations!A:A, 0)),
      INDEX(calculations!B:B, MATCH(A12, calculations!A:A, 0)),
      ""
   )
)</f>
        <v>376.99</v>
      </c>
      <c r="C12" s="42">
        <f t="array" aca="1" ref="C12" ca="1">IF(B12&lt;&gt;"", IF(MATCH(A12, calculations!A:A, 0), INDEX(calculations!D:D, MATCH(A12, calculations!A:A, 0)), "No Match"),"")</f>
        <v>178181000</v>
      </c>
      <c r="D12" s="43">
        <f t="shared" ca="1" si="8"/>
        <v>-2.7122580645161268E-2</v>
      </c>
      <c r="E12" s="43">
        <f t="shared" ca="1" si="0"/>
        <v>1.5898006265329292E-3</v>
      </c>
      <c r="F12" s="43">
        <f ca="1">IF(AND(D11&lt;&gt;"",B11&lt;&gt;""),_xlfn.STDEV.S(D3:D12),"")</f>
        <v>0.10107365889383001</v>
      </c>
      <c r="G12" s="42">
        <f t="shared" ca="1" si="1"/>
        <v>67172455190</v>
      </c>
      <c r="H12" s="41">
        <f t="shared" ca="1" si="9"/>
        <v>367.14635251148582</v>
      </c>
      <c r="I12" s="3"/>
      <c r="J12" s="43">
        <f t="shared" ca="1" si="12"/>
        <v>1</v>
      </c>
      <c r="K12" s="44" t="str">
        <f t="shared" ca="1" si="10"/>
        <v/>
      </c>
      <c r="L12" s="3"/>
      <c r="M12" s="45">
        <f t="shared" ca="1" si="2"/>
        <v>292.92870211576621</v>
      </c>
      <c r="N12" s="47">
        <f t="shared" ca="1" si="3"/>
        <v>441.36400290720542</v>
      </c>
      <c r="O12" s="45">
        <f t="shared" ca="1" si="4"/>
        <v>255.8198769179065</v>
      </c>
      <c r="P12" s="47">
        <f t="shared" ca="1" si="5"/>
        <v>478.47282810506516</v>
      </c>
      <c r="Q12" s="45">
        <f t="shared" ca="1" si="6"/>
        <v>218.71105172004667</v>
      </c>
      <c r="R12" s="47">
        <f t="shared" ca="1" si="7"/>
        <v>515.58165330292502</v>
      </c>
      <c r="S12" s="73">
        <f t="shared" ca="1" si="11"/>
        <v>1</v>
      </c>
      <c r="U12" s="3"/>
      <c r="V12" s="3"/>
      <c r="W12" s="3"/>
      <c r="X12" s="3"/>
    </row>
    <row r="13" spans="1:24" ht="14" thickBot="1">
      <c r="A13" s="40">
        <v>41974</v>
      </c>
      <c r="B13" s="41">
        <f t="array" aca="1" ref="B13" ca="1">IF(AND(A13 &gt; TODAY(), A13 &lt;= TODAY() + 7),
   INDEX(calculations!B:B, MATCH(143^143, calculations!B:B)),
   IF(ISNUMBER(MATCH(A13, calculations!A:A, 0)),
      INDEX(calculations!B:B, MATCH(A13, calculations!A:A, 0)),
      ""
   )
)</f>
        <v>379.11</v>
      </c>
      <c r="C13" s="42">
        <f t="array" aca="1" ref="C13" ca="1">IF(B13&lt;&gt;"", IF(MATCH(A13, calculations!A:A, 0), INDEX(calculations!D:D, MATCH(A13, calculations!A:A, 0)), "No Match"),"")</f>
        <v>131238570</v>
      </c>
      <c r="D13" s="43">
        <f t="shared" ca="1" si="8"/>
        <v>5.6234913392928312E-3</v>
      </c>
      <c r="E13" s="43">
        <f t="shared" ca="1" si="0"/>
        <v>5.0783182786666884E-5</v>
      </c>
      <c r="F13" s="43">
        <f ca="1">IF(AND(D12&lt;&gt;"",B12&lt;&gt;""),_xlfn.STDEV.S(D3:D13),"")</f>
        <v>9.591249002618743E-2</v>
      </c>
      <c r="G13" s="42">
        <f t="shared" ca="1" si="1"/>
        <v>49753854272.700005</v>
      </c>
      <c r="H13" s="41">
        <f t="shared" ca="1" si="9"/>
        <v>368.01060489920599</v>
      </c>
      <c r="I13" s="3"/>
      <c r="J13" s="43">
        <f t="shared" ca="1" si="12"/>
        <v>1</v>
      </c>
      <c r="K13" s="44" t="str">
        <f t="shared" ca="1" si="10"/>
        <v/>
      </c>
      <c r="L13" s="3"/>
      <c r="M13" s="45">
        <f t="shared" ca="1" si="2"/>
        <v>297.41697795535339</v>
      </c>
      <c r="N13" s="47">
        <f t="shared" ca="1" si="3"/>
        <v>438.60423184305859</v>
      </c>
      <c r="O13" s="45">
        <f t="shared" ca="1" si="4"/>
        <v>262.12016448342706</v>
      </c>
      <c r="P13" s="47">
        <f t="shared" ca="1" si="5"/>
        <v>473.90104531498486</v>
      </c>
      <c r="Q13" s="45">
        <f t="shared" ca="1" si="6"/>
        <v>226.82335101150079</v>
      </c>
      <c r="R13" s="47">
        <f t="shared" ca="1" si="7"/>
        <v>509.19785878691113</v>
      </c>
      <c r="S13" s="73">
        <f t="shared" ca="1" si="11"/>
        <v>1</v>
      </c>
      <c r="U13" s="3"/>
      <c r="V13" s="3"/>
      <c r="W13" s="3"/>
      <c r="X13" s="3"/>
    </row>
    <row r="14" spans="1:24" ht="14" thickBot="1">
      <c r="A14" s="40">
        <v>41981</v>
      </c>
      <c r="B14" s="41">
        <f t="array" aca="1" ref="B14" ca="1">IF(AND(A14 &gt; TODAY(), A14 &lt;= TODAY() + 7),
   INDEX(calculations!B:B, MATCH(143^143, calculations!B:B)),
   IF(ISNUMBER(MATCH(A14, calculations!A:A, 0)),
      INDEX(calculations!B:B, MATCH(A14, calculations!A:A, 0)),
      ""
   )
)</f>
        <v>363.22</v>
      </c>
      <c r="C14" s="42">
        <f t="array" aca="1" ref="C14" ca="1">IF(B14&lt;&gt;"", IF(MATCH(A14, calculations!A:A, 0), INDEX(calculations!D:D, MATCH(A14, calculations!A:A, 0)), "No Match"),"")</f>
        <v>80679570</v>
      </c>
      <c r="D14" s="43">
        <f t="shared" ca="1" si="8"/>
        <v>-4.1913956371501637E-2</v>
      </c>
      <c r="E14" s="43">
        <f t="shared" ca="1" si="0"/>
        <v>2.9881178815865548E-3</v>
      </c>
      <c r="F14" s="43">
        <f ca="1">IF(AND(D13&lt;&gt;"",B13&lt;&gt;""),_xlfn.STDEV.S(D3:D14),"")</f>
        <v>9.2206396900559429E-2</v>
      </c>
      <c r="G14" s="42">
        <f t="shared" ca="1" si="1"/>
        <v>29304433415.400002</v>
      </c>
      <c r="H14" s="41">
        <f t="shared" ca="1" si="9"/>
        <v>367.80690140867461</v>
      </c>
      <c r="I14" s="3"/>
      <c r="J14" s="43">
        <f t="shared" ca="1" si="12"/>
        <v>1</v>
      </c>
      <c r="K14" s="44" t="str">
        <f t="shared" ca="1" si="10"/>
        <v/>
      </c>
      <c r="L14" s="3"/>
      <c r="M14" s="45">
        <f t="shared" ca="1" si="2"/>
        <v>299.97860314056823</v>
      </c>
      <c r="N14" s="47">
        <f t="shared" ca="1" si="3"/>
        <v>435.63519967678099</v>
      </c>
      <c r="O14" s="45">
        <f t="shared" ca="1" si="4"/>
        <v>266.06445400651506</v>
      </c>
      <c r="P14" s="47">
        <f t="shared" ca="1" si="5"/>
        <v>469.54934881083409</v>
      </c>
      <c r="Q14" s="45">
        <f t="shared" ca="1" si="6"/>
        <v>232.15030487246187</v>
      </c>
      <c r="R14" s="47">
        <f t="shared" ca="1" si="7"/>
        <v>503.46349794488731</v>
      </c>
      <c r="S14" s="73">
        <f t="shared" ca="1" si="11"/>
        <v>1</v>
      </c>
      <c r="U14" s="3"/>
      <c r="V14" s="3"/>
      <c r="W14" s="3"/>
      <c r="X14" s="3"/>
    </row>
    <row r="15" spans="1:24" ht="14" thickBot="1">
      <c r="A15" s="40">
        <v>41988</v>
      </c>
      <c r="B15" s="41">
        <f t="array" aca="1" ref="B15" ca="1">IF(AND(A15 &gt; TODAY(), A15 &lt;= TODAY() + 7),
   INDEX(calculations!B:B, MATCH(143^143, calculations!B:B)),
   IF(ISNUMBER(MATCH(A15, calculations!A:A, 0)),
      INDEX(calculations!B:B, MATCH(A15, calculations!A:A, 0)),
      ""
   )
)</f>
        <v>347.1</v>
      </c>
      <c r="C15" s="42">
        <f t="array" aca="1" ref="C15" ca="1">IF(B15&lt;&gt;"", IF(MATCH(A15, calculations!A:A, 0), INDEX(calculations!D:D, MATCH(A15, calculations!A:A, 0)), "No Match"),"")</f>
        <v>141754100</v>
      </c>
      <c r="D15" s="43">
        <f t="shared" ca="1" si="8"/>
        <v>-4.4380816034359352E-2</v>
      </c>
      <c r="E15" s="43">
        <f t="shared" ca="1" si="0"/>
        <v>3.2638985312797185E-3</v>
      </c>
      <c r="F15" s="43">
        <f ca="1">IF(AND(D14&lt;&gt;"",B14&lt;&gt;""),_xlfn.STDEV.S(D3:D15),"")</f>
        <v>8.8972442489246892E-2</v>
      </c>
      <c r="G15" s="42">
        <f t="shared" ca="1" si="1"/>
        <v>49202848110</v>
      </c>
      <c r="H15" s="41">
        <f t="shared" ca="1" si="9"/>
        <v>366.36742717086275</v>
      </c>
      <c r="I15" s="3"/>
      <c r="J15" s="43">
        <f t="shared" ca="1" si="12"/>
        <v>1</v>
      </c>
      <c r="K15" s="44" t="str">
        <f t="shared" ca="1" si="10"/>
        <v/>
      </c>
      <c r="L15" s="3"/>
      <c r="M15" s="45">
        <f t="shared" ca="1" si="2"/>
        <v>301.17421748307686</v>
      </c>
      <c r="N15" s="47">
        <f t="shared" ca="1" si="3"/>
        <v>431.56063685864859</v>
      </c>
      <c r="O15" s="45">
        <f t="shared" ca="1" si="4"/>
        <v>268.57761263918394</v>
      </c>
      <c r="P15" s="47">
        <f t="shared" ca="1" si="5"/>
        <v>464.15724170254157</v>
      </c>
      <c r="Q15" s="45">
        <f t="shared" ca="1" si="6"/>
        <v>235.98100779529099</v>
      </c>
      <c r="R15" s="47">
        <f t="shared" ca="1" si="7"/>
        <v>496.75384654643454</v>
      </c>
      <c r="S15" s="73">
        <f t="shared" ca="1" si="11"/>
        <v>1</v>
      </c>
      <c r="U15" s="3"/>
      <c r="V15" s="3"/>
      <c r="W15" s="3"/>
      <c r="X15" s="3"/>
    </row>
    <row r="16" spans="1:24" ht="14" thickBot="1">
      <c r="A16" s="40">
        <v>41995</v>
      </c>
      <c r="B16" s="41">
        <f t="array" aca="1" ref="B16" ca="1">IF(AND(A16 &gt; TODAY(), A16 &lt;= TODAY() + 7),
   INDEX(calculations!B:B, MATCH(143^143, calculations!B:B)),
   IF(ISNUMBER(MATCH(A16, calculations!A:A, 0)),
      INDEX(calculations!B:B, MATCH(A16, calculations!A:A, 0)),
      ""
   )
)</f>
        <v>331.84</v>
      </c>
      <c r="C16" s="42">
        <f t="array" aca="1" ref="C16" ca="1">IF(B16&lt;&gt;"", IF(MATCH(A16, calculations!A:A, 0), INDEX(calculations!D:D, MATCH(A16, calculations!A:A, 0)), "No Match"),"")</f>
        <v>184757400</v>
      </c>
      <c r="D16" s="43">
        <f t="shared" ca="1" si="8"/>
        <v>-4.3964275424949718E-2</v>
      </c>
      <c r="E16" s="43">
        <f t="shared" ca="1" si="0"/>
        <v>3.2164776579700874E-3</v>
      </c>
      <c r="F16" s="43">
        <f t="shared" ref="F16:F270" ca="1" si="13">IF(AND(D15&lt;&gt;"",B15&lt;&gt;""),_xlfn.STDEV.S(D3:D16),"")</f>
        <v>8.6034697850546904E-2</v>
      </c>
      <c r="G16" s="42">
        <f t="shared" ca="1" si="1"/>
        <v>61309895615.999992</v>
      </c>
      <c r="H16" s="41">
        <f t="shared" ca="1" si="9"/>
        <v>363.49894937517956</v>
      </c>
      <c r="I16" s="3"/>
      <c r="J16" s="43">
        <f t="shared" ca="1" si="12"/>
        <v>1</v>
      </c>
      <c r="K16" s="44" t="str">
        <f t="shared" ca="1" si="10"/>
        <v/>
      </c>
      <c r="L16" s="3"/>
      <c r="M16" s="45">
        <f t="shared" ca="1" si="2"/>
        <v>300.95190481820993</v>
      </c>
      <c r="N16" s="47">
        <f t="shared" ca="1" si="3"/>
        <v>426.04599393214914</v>
      </c>
      <c r="O16" s="45">
        <f t="shared" ca="1" si="4"/>
        <v>269.67838253972508</v>
      </c>
      <c r="P16" s="47">
        <f t="shared" ca="1" si="5"/>
        <v>457.31951621063405</v>
      </c>
      <c r="Q16" s="45">
        <f t="shared" ca="1" si="6"/>
        <v>238.40486026124029</v>
      </c>
      <c r="R16" s="47">
        <f t="shared" ca="1" si="7"/>
        <v>488.59303848911884</v>
      </c>
      <c r="S16" s="73">
        <f t="shared" ca="1" si="11"/>
        <v>1</v>
      </c>
      <c r="U16" s="3"/>
      <c r="V16" s="3"/>
      <c r="W16" s="3"/>
      <c r="X16" s="3"/>
    </row>
    <row r="17" spans="1:24" ht="14" thickBot="1">
      <c r="A17" s="40">
        <v>42002</v>
      </c>
      <c r="B17" s="41">
        <f t="array" aca="1" ref="B17" ca="1">IF(AND(A17 &gt; TODAY(), A17 &lt;= TODAY() + 7),
   INDEX(calculations!B:B, MATCH(143^143, calculations!B:B)),
   IF(ISNUMBER(MATCH(A17, calculations!A:A, 0)),
      INDEX(calculations!B:B, MATCH(A17, calculations!A:A, 0)),
      ""
   )
)</f>
        <v>313.07</v>
      </c>
      <c r="C17" s="42">
        <f t="array" aca="1" ref="C17" ca="1">IF(B17&lt;&gt;"", IF(MATCH(A17, calculations!A:A, 0), INDEX(calculations!D:D, MATCH(A17, calculations!A:A, 0)), "No Match"),"")</f>
        <v>107137540</v>
      </c>
      <c r="D17" s="43">
        <f t="shared" ca="1" si="8"/>
        <v>-5.6563404050144594E-2</v>
      </c>
      <c r="E17" s="43">
        <f t="shared" ca="1" si="0"/>
        <v>4.8043096311192737E-3</v>
      </c>
      <c r="F17" s="43">
        <f t="shared" ca="1" si="13"/>
        <v>8.6846438792858124E-2</v>
      </c>
      <c r="G17" s="42">
        <f t="shared" ca="1" si="1"/>
        <v>33541549647.799999</v>
      </c>
      <c r="H17" s="41">
        <f t="shared" ref="H17:H271" ca="1" si="14">IF(C17&lt;&gt;"",SUM(G4:G17)/SUM(C4:C17),"")</f>
        <v>361.1811652783</v>
      </c>
      <c r="I17" s="3"/>
      <c r="J17" s="43">
        <f t="shared" ca="1" si="12"/>
        <v>1</v>
      </c>
      <c r="K17" s="44" t="str">
        <f t="shared" ca="1" si="10"/>
        <v/>
      </c>
      <c r="L17" s="3"/>
      <c r="M17" s="45">
        <f t="shared" ca="1" si="2"/>
        <v>298.44656935134986</v>
      </c>
      <c r="N17" s="47">
        <f t="shared" ca="1" si="3"/>
        <v>423.91576120525013</v>
      </c>
      <c r="O17" s="45">
        <f t="shared" ca="1" si="4"/>
        <v>267.07927138787488</v>
      </c>
      <c r="P17" s="47">
        <f t="shared" ca="1" si="5"/>
        <v>455.28305916872512</v>
      </c>
      <c r="Q17" s="45">
        <f t="shared" ca="1" si="6"/>
        <v>235.71197342439976</v>
      </c>
      <c r="R17" s="47">
        <f t="shared" ca="1" si="7"/>
        <v>486.65035713220021</v>
      </c>
      <c r="S17" s="73">
        <f t="shared" ca="1" si="11"/>
        <v>1</v>
      </c>
      <c r="U17" s="3"/>
      <c r="V17" s="3"/>
      <c r="W17" s="3"/>
      <c r="X17" s="3"/>
    </row>
    <row r="18" spans="1:24" ht="14" thickBot="1">
      <c r="A18" s="40">
        <v>42009</v>
      </c>
      <c r="B18" s="41">
        <f t="array" aca="1" ref="B18" ca="1">IF(AND(A18 &gt; TODAY(), A18 &lt;= TODAY() + 7),
   INDEX(calculations!B:B, MATCH(143^143, calculations!B:B)),
   IF(ISNUMBER(MATCH(A18, calculations!A:A, 0)),
      INDEX(calculations!B:B, MATCH(A18, calculations!A:A, 0)),
      ""
   )
)</f>
        <v>275</v>
      </c>
      <c r="C18" s="42">
        <f t="array" aca="1" ref="C18" ca="1">IF(B18&lt;&gt;"", IF(MATCH(A18, calculations!A:A, 0), INDEX(calculations!D:D, MATCH(A18, calculations!A:A, 0)), "No Match"),"")</f>
        <v>143354400</v>
      </c>
      <c r="D18" s="43">
        <f t="shared" ca="1" si="8"/>
        <v>-0.12160219759159291</v>
      </c>
      <c r="E18" s="43">
        <f t="shared" ca="1" si="0"/>
        <v>1.8050438662887511E-2</v>
      </c>
      <c r="F18" s="43">
        <f t="shared" ca="1" si="13"/>
        <v>9.044605606813623E-2</v>
      </c>
      <c r="G18" s="42">
        <f t="shared" ca="1" si="1"/>
        <v>39422460000</v>
      </c>
      <c r="H18" s="41">
        <f t="shared" ca="1" si="14"/>
        <v>354.8107380595751</v>
      </c>
      <c r="I18" s="3"/>
      <c r="J18" s="43">
        <f t="shared" ca="1" si="12"/>
        <v>2.438727066417707</v>
      </c>
      <c r="K18" s="44">
        <f t="shared" ca="1" si="10"/>
        <v>2</v>
      </c>
      <c r="L18" s="3"/>
      <c r="M18" s="45">
        <f t="shared" ca="1" si="2"/>
        <v>290.62827424334887</v>
      </c>
      <c r="N18" s="47">
        <f t="shared" ca="1" si="3"/>
        <v>418.99320187580139</v>
      </c>
      <c r="O18" s="45">
        <f t="shared" ca="1" si="4"/>
        <v>258.5370423352357</v>
      </c>
      <c r="P18" s="47">
        <f t="shared" ca="1" si="5"/>
        <v>451.08443378391451</v>
      </c>
      <c r="Q18" s="45">
        <f t="shared" ca="1" si="6"/>
        <v>226.44581042712261</v>
      </c>
      <c r="R18" s="47">
        <f t="shared" ca="1" si="7"/>
        <v>483.17566569202756</v>
      </c>
      <c r="S18" s="73">
        <f t="shared" ca="1" si="11"/>
        <v>2.438727066417707</v>
      </c>
      <c r="U18" s="3"/>
      <c r="V18" s="3"/>
      <c r="W18" s="3"/>
      <c r="X18" s="3"/>
    </row>
    <row r="19" spans="1:24" ht="14" thickBot="1">
      <c r="A19" s="40">
        <v>42016</v>
      </c>
      <c r="B19" s="41">
        <f t="array" aca="1" ref="B19" ca="1">IF(AND(A19 &gt; TODAY(), A19 &lt;= TODAY() + 7),
   INDEX(calculations!B:B, MATCH(143^143, calculations!B:B)),
   IF(ISNUMBER(MATCH(A19, calculations!A:A, 0)),
      INDEX(calculations!B:B, MATCH(A19, calculations!A:A, 0)),
      ""
   )
)</f>
        <v>268.62</v>
      </c>
      <c r="C19" s="42">
        <f t="array" aca="1" ref="C19" ca="1">IF(B19&lt;&gt;"", IF(MATCH(A19, calculations!A:A, 0), INDEX(calculations!D:D, MATCH(A19, calculations!A:A, 0)), "No Match"),"")</f>
        <v>164241500</v>
      </c>
      <c r="D19" s="43">
        <f t="shared" ca="1" si="8"/>
        <v>-2.3199999999999985E-2</v>
      </c>
      <c r="E19" s="43">
        <f t="shared" ca="1" si="0"/>
        <v>1.2923826095279272E-3</v>
      </c>
      <c r="F19" s="43">
        <f t="shared" ca="1" si="13"/>
        <v>8.5211037728300534E-2</v>
      </c>
      <c r="G19" s="42">
        <f t="shared" ca="1" si="1"/>
        <v>44118551730</v>
      </c>
      <c r="H19" s="41">
        <f t="shared" ca="1" si="14"/>
        <v>351.86539696700481</v>
      </c>
      <c r="I19" s="3"/>
      <c r="J19" s="43">
        <f t="shared" ca="1" si="12"/>
        <v>2.2366876528946857</v>
      </c>
      <c r="K19" s="44">
        <f t="shared" ca="1" si="10"/>
        <v>2</v>
      </c>
      <c r="L19" s="3"/>
      <c r="M19" s="45">
        <f t="shared" ca="1" si="2"/>
        <v>291.89976573452702</v>
      </c>
      <c r="N19" s="47">
        <f t="shared" ca="1" si="3"/>
        <v>411.8310281994826</v>
      </c>
      <c r="O19" s="45">
        <f t="shared" ca="1" si="4"/>
        <v>261.91695011828813</v>
      </c>
      <c r="P19" s="47">
        <f t="shared" ca="1" si="5"/>
        <v>441.8138438157215</v>
      </c>
      <c r="Q19" s="45">
        <f t="shared" ca="1" si="6"/>
        <v>231.93413450204926</v>
      </c>
      <c r="R19" s="47">
        <f t="shared" ca="1" si="7"/>
        <v>471.79665943196034</v>
      </c>
      <c r="S19" s="73">
        <f t="shared" ca="1" si="11"/>
        <v>2.2366876528946857</v>
      </c>
      <c r="U19" s="3"/>
      <c r="V19" s="3"/>
      <c r="W19" s="3"/>
      <c r="X19" s="3"/>
    </row>
    <row r="20" spans="1:24" ht="14" thickBot="1">
      <c r="A20" s="40">
        <v>42023</v>
      </c>
      <c r="B20" s="41">
        <f t="array" aca="1" ref="B20" ca="1">IF(AND(A20 &gt; TODAY(), A20 &lt;= TODAY() + 7),
   INDEX(calculations!B:B, MATCH(143^143, calculations!B:B)),
   IF(ISNUMBER(MATCH(A20, calculations!A:A, 0)),
      INDEX(calculations!B:B, MATCH(A20, calculations!A:A, 0)),
      ""
   )
)</f>
        <v>216.89</v>
      </c>
      <c r="C20" s="42">
        <f t="array" aca="1" ref="C20" ca="1">IF(B20&lt;&gt;"", IF(MATCH(A20, calculations!A:A, 0), INDEX(calculations!D:D, MATCH(A20, calculations!A:A, 0)), "No Match"),"")</f>
        <v>363112212</v>
      </c>
      <c r="D20" s="43">
        <f t="shared" ca="1" si="8"/>
        <v>-0.19257687439505627</v>
      </c>
      <c r="E20" s="43">
        <f t="shared" ca="1" si="0"/>
        <v>4.2159011744909332E-2</v>
      </c>
      <c r="F20" s="43">
        <f t="shared" ca="1" si="13"/>
        <v>7.4582573177391392E-2</v>
      </c>
      <c r="G20" s="42">
        <f t="shared" ca="1" si="1"/>
        <v>78755407660.679993</v>
      </c>
      <c r="H20" s="41">
        <f t="shared" ca="1" si="14"/>
        <v>323.32861806910091</v>
      </c>
      <c r="I20" s="3"/>
      <c r="J20" s="43">
        <f t="shared" ca="1" si="12"/>
        <v>2.949966685924001</v>
      </c>
      <c r="K20" s="44">
        <f t="shared" ca="1" si="10"/>
        <v>4</v>
      </c>
      <c r="L20" s="3"/>
      <c r="M20" s="45">
        <f t="shared" ca="1" si="2"/>
        <v>275.09925743413385</v>
      </c>
      <c r="N20" s="47">
        <f t="shared" ca="1" si="3"/>
        <v>371.55797870406798</v>
      </c>
      <c r="O20" s="45">
        <f t="shared" ca="1" si="4"/>
        <v>250.98457711665026</v>
      </c>
      <c r="P20" s="47">
        <f t="shared" ca="1" si="5"/>
        <v>395.67265902155157</v>
      </c>
      <c r="Q20" s="45">
        <f t="shared" ca="1" si="6"/>
        <v>226.8698967991667</v>
      </c>
      <c r="R20" s="47">
        <f t="shared" ca="1" si="7"/>
        <v>419.7873393390351</v>
      </c>
      <c r="S20" s="73">
        <f t="shared" ca="1" si="11"/>
        <v>2.949966685924001</v>
      </c>
      <c r="U20" s="3"/>
      <c r="V20" s="3"/>
      <c r="W20" s="3"/>
      <c r="X20" s="3"/>
    </row>
    <row r="21" spans="1:24" ht="14" thickBot="1">
      <c r="A21" s="40">
        <v>42030</v>
      </c>
      <c r="B21" s="41">
        <f t="array" aca="1" ref="B21" ca="1">IF(AND(A21 &gt; TODAY(), A21 &lt;= TODAY() + 7),
   INDEX(calculations!B:B, MATCH(143^143, calculations!B:B)),
   IF(ISNUMBER(MATCH(A21, calculations!A:A, 0)),
      INDEX(calculations!B:B, MATCH(A21, calculations!A:A, 0)),
      ""
   )
)</f>
        <v>273.95</v>
      </c>
      <c r="C21" s="42">
        <f t="array" aca="1" ref="C21" ca="1">IF(B21&lt;&gt;"", IF(MATCH(A21, calculations!A:A, 0), INDEX(calculations!D:D, MATCH(A21, calculations!A:A, 0)), "No Match"),"")</f>
        <v>189165500</v>
      </c>
      <c r="D21" s="43">
        <f t="shared" ca="1" si="8"/>
        <v>0.26308266863386975</v>
      </c>
      <c r="E21" s="43">
        <f t="shared" ca="1" si="0"/>
        <v>6.2666583490413638E-2</v>
      </c>
      <c r="F21" s="43">
        <f t="shared" ca="1" si="13"/>
        <v>0.10997657864516601</v>
      </c>
      <c r="G21" s="42">
        <f t="shared" ca="1" si="1"/>
        <v>51821888725</v>
      </c>
      <c r="H21" s="41">
        <f t="shared" ca="1" si="14"/>
        <v>315.0667011194401</v>
      </c>
      <c r="I21" s="3"/>
      <c r="J21" s="43">
        <f t="shared" ca="1" si="12"/>
        <v>1</v>
      </c>
      <c r="K21" s="44" t="str">
        <f t="shared" ca="1" si="10"/>
        <v/>
      </c>
      <c r="L21" s="3"/>
      <c r="M21" s="45">
        <f t="shared" ca="1" si="2"/>
        <v>245.76678545116985</v>
      </c>
      <c r="N21" s="47">
        <f t="shared" ca="1" si="3"/>
        <v>384.36661678771031</v>
      </c>
      <c r="O21" s="45">
        <f t="shared" ca="1" si="4"/>
        <v>211.11682761703474</v>
      </c>
      <c r="P21" s="47">
        <f t="shared" ca="1" si="5"/>
        <v>419.01657462184545</v>
      </c>
      <c r="Q21" s="45">
        <f t="shared" ca="1" si="6"/>
        <v>176.46686978289961</v>
      </c>
      <c r="R21" s="47">
        <f t="shared" ca="1" si="7"/>
        <v>453.66653245598059</v>
      </c>
      <c r="S21" s="73">
        <f t="shared" ca="1" si="11"/>
        <v>1</v>
      </c>
      <c r="U21" s="3"/>
      <c r="V21" s="3"/>
      <c r="W21" s="3"/>
      <c r="X21" s="3"/>
    </row>
    <row r="22" spans="1:24" ht="14" thickBot="1">
      <c r="A22" s="40">
        <v>42037</v>
      </c>
      <c r="B22" s="41">
        <f t="array" aca="1" ref="B22" ca="1">IF(AND(A22 &gt; TODAY(), A22 &lt;= TODAY() + 7),
   INDEX(calculations!B:B, MATCH(143^143, calculations!B:B)),
   IF(ISNUMBER(MATCH(A22, calculations!A:A, 0)),
      INDEX(calculations!B:B, MATCH(A22, calculations!A:A, 0)),
      ""
   )
)</f>
        <v>240.09</v>
      </c>
      <c r="C22" s="42">
        <f t="array" aca="1" ref="C22" ca="1">IF(B22&lt;&gt;"", IF(MATCH(A22, calculations!A:A, 0), INDEX(calculations!D:D, MATCH(A22, calculations!A:A, 0)), "No Match"),"")</f>
        <v>306840500</v>
      </c>
      <c r="D22" s="43">
        <f t="shared" ca="1" si="8"/>
        <v>-0.12359919693374699</v>
      </c>
      <c r="E22" s="43">
        <f t="shared" ca="1" si="0"/>
        <v>1.8591028064767645E-2</v>
      </c>
      <c r="F22" s="43">
        <f t="shared" ca="1" si="13"/>
        <v>0.11238563494853071</v>
      </c>
      <c r="G22" s="42">
        <f t="shared" ca="1" si="1"/>
        <v>73669335645</v>
      </c>
      <c r="H22" s="41">
        <f t="shared" ca="1" si="14"/>
        <v>303.92985834013314</v>
      </c>
      <c r="I22" s="3"/>
      <c r="J22" s="43">
        <f t="shared" ca="1" si="12"/>
        <v>1</v>
      </c>
      <c r="K22" s="44" t="str">
        <f t="shared" ca="1" si="10"/>
        <v/>
      </c>
      <c r="L22" s="3"/>
      <c r="M22" s="45">
        <f t="shared" ca="1" si="2"/>
        <v>235.61515812138742</v>
      </c>
      <c r="N22" s="47">
        <f t="shared" ca="1" si="3"/>
        <v>372.24455855887885</v>
      </c>
      <c r="O22" s="45">
        <f t="shared" ca="1" si="4"/>
        <v>201.45780801201457</v>
      </c>
      <c r="P22" s="47">
        <f t="shared" ca="1" si="5"/>
        <v>406.40190866825168</v>
      </c>
      <c r="Q22" s="45">
        <f t="shared" ca="1" si="6"/>
        <v>167.30045790264171</v>
      </c>
      <c r="R22" s="47">
        <f t="shared" ca="1" si="7"/>
        <v>440.55925877762456</v>
      </c>
      <c r="S22" s="73">
        <f t="shared" ca="1" si="11"/>
        <v>1</v>
      </c>
      <c r="U22" s="3"/>
      <c r="V22" s="3"/>
      <c r="W22" s="3"/>
      <c r="X22" s="3"/>
    </row>
    <row r="23" spans="1:24" ht="14" thickBot="1">
      <c r="A23" s="40">
        <v>42044</v>
      </c>
      <c r="B23" s="41">
        <f t="array" aca="1" ref="B23" ca="1">IF(AND(A23 &gt; TODAY(), A23 &lt;= TODAY() + 7),
   INDEX(calculations!B:B, MATCH(143^143, calculations!B:B)),
   IF(ISNUMBER(MATCH(A23, calculations!A:A, 0)),
      INDEX(calculations!B:B, MATCH(A23, calculations!A:A, 0)),
      ""
   )
)</f>
        <v>220.77</v>
      </c>
      <c r="C23" s="42">
        <f t="array" aca="1" ref="C23" ca="1">IF(B23&lt;&gt;"", IF(MATCH(A23, calculations!A:A, 0), INDEX(calculations!D:D, MATCH(A23, calculations!A:A, 0)), "No Match"),"")</f>
        <v>183691200</v>
      </c>
      <c r="D23" s="43">
        <f t="shared" ca="1" si="8"/>
        <v>-8.0469823816068944E-2</v>
      </c>
      <c r="E23" s="43">
        <f t="shared" ca="1" si="0"/>
        <v>8.6898839753674992E-3</v>
      </c>
      <c r="F23" s="43">
        <f t="shared" ca="1" si="13"/>
        <v>0.11275639552607432</v>
      </c>
      <c r="G23" s="42">
        <f t="shared" ca="1" si="1"/>
        <v>40553506224</v>
      </c>
      <c r="H23" s="41">
        <f t="shared" ca="1" si="14"/>
        <v>296.89941789208524</v>
      </c>
      <c r="I23" s="3"/>
      <c r="J23" s="43">
        <f t="shared" ca="1" si="12"/>
        <v>2.3787726583245972</v>
      </c>
      <c r="K23" s="44">
        <f t="shared" ca="1" si="10"/>
        <v>2</v>
      </c>
      <c r="L23" s="3"/>
      <c r="M23" s="45">
        <f t="shared" ca="1" si="2"/>
        <v>229.94480150148286</v>
      </c>
      <c r="N23" s="47">
        <f t="shared" ca="1" si="3"/>
        <v>363.85403428268762</v>
      </c>
      <c r="O23" s="45">
        <f t="shared" ca="1" si="4"/>
        <v>196.46749330618164</v>
      </c>
      <c r="P23" s="47">
        <f t="shared" ca="1" si="5"/>
        <v>397.33134247798881</v>
      </c>
      <c r="Q23" s="45">
        <f t="shared" ca="1" si="6"/>
        <v>162.9901851108805</v>
      </c>
      <c r="R23" s="47">
        <f t="shared" ca="1" si="7"/>
        <v>430.80865067329</v>
      </c>
      <c r="S23" s="73">
        <f t="shared" ca="1" si="11"/>
        <v>2.3787726583245972</v>
      </c>
      <c r="U23" s="3"/>
      <c r="V23" s="3"/>
      <c r="W23" s="3"/>
      <c r="X23" s="3"/>
    </row>
    <row r="24" spans="1:24" ht="14" thickBot="1">
      <c r="A24" s="40">
        <v>42051</v>
      </c>
      <c r="B24" s="41">
        <f t="array" aca="1" ref="B24" ca="1">IF(AND(A24 &gt; TODAY(), A24 &lt;= TODAY() + 7),
   INDEX(calculations!B:B, MATCH(143^143, calculations!B:B)),
   IF(ISNUMBER(MATCH(A24, calculations!A:A, 0)),
      INDEX(calculations!B:B, MATCH(A24, calculations!A:A, 0)),
      ""
   )
)</f>
        <v>235.09</v>
      </c>
      <c r="C24" s="42">
        <f t="array" aca="1" ref="C24" ca="1">IF(B24&lt;&gt;"", IF(MATCH(A24, calculations!A:A, 0), INDEX(calculations!D:D, MATCH(A24, calculations!A:A, 0)), "No Match"),"")</f>
        <v>230343800</v>
      </c>
      <c r="D24" s="43">
        <f t="shared" ca="1" si="8"/>
        <v>6.4863885491688145E-2</v>
      </c>
      <c r="E24" s="43">
        <f t="shared" ca="1" si="0"/>
        <v>2.7158858948801031E-3</v>
      </c>
      <c r="F24" s="43">
        <f t="shared" ca="1" si="13"/>
        <v>0.10794974010030692</v>
      </c>
      <c r="G24" s="42">
        <f t="shared" ca="1" si="1"/>
        <v>54151523942</v>
      </c>
      <c r="H24" s="41">
        <f t="shared" ca="1" si="14"/>
        <v>288.3836285138438</v>
      </c>
      <c r="I24" s="3"/>
      <c r="J24" s="43">
        <f t="shared" ca="1" si="12"/>
        <v>1</v>
      </c>
      <c r="K24" s="44" t="str">
        <f t="shared" ca="1" si="10"/>
        <v/>
      </c>
      <c r="L24" s="3"/>
      <c r="M24" s="45">
        <f t="shared" ca="1" si="2"/>
        <v>226.12175301933803</v>
      </c>
      <c r="N24" s="47">
        <f t="shared" ca="1" si="3"/>
        <v>350.64550400834958</v>
      </c>
      <c r="O24" s="45">
        <f t="shared" ca="1" si="4"/>
        <v>194.99081527208511</v>
      </c>
      <c r="P24" s="47">
        <f t="shared" ca="1" si="5"/>
        <v>381.77644175560249</v>
      </c>
      <c r="Q24" s="45">
        <f t="shared" ca="1" si="6"/>
        <v>163.8598775248322</v>
      </c>
      <c r="R24" s="47">
        <f t="shared" ca="1" si="7"/>
        <v>412.90737950285535</v>
      </c>
      <c r="S24" s="73">
        <f t="shared" ca="1" si="11"/>
        <v>1</v>
      </c>
      <c r="U24" s="3"/>
      <c r="V24" s="3"/>
      <c r="W24" s="3"/>
      <c r="X24" s="3"/>
    </row>
    <row r="25" spans="1:24" ht="14" thickBot="1">
      <c r="A25" s="40">
        <v>42058</v>
      </c>
      <c r="B25" s="41">
        <f t="array" aca="1" ref="B25" ca="1">IF(AND(A25 &gt; TODAY(), A25 &lt;= TODAY() + 7),
   INDEX(calculations!B:B, MATCH(143^143, calculations!B:B)),
   IF(ISNUMBER(MATCH(A25, calculations!A:A, 0)),
      INDEX(calculations!B:B, MATCH(A25, calculations!A:A, 0)),
      ""
   )
)</f>
        <v>239.07</v>
      </c>
      <c r="C25" s="42">
        <f t="array" aca="1" ref="C25" ca="1">IF(B25&lt;&gt;"", IF(MATCH(A25, calculations!A:A, 0), INDEX(calculations!D:D, MATCH(A25, calculations!A:A, 0)), "No Match"),"")</f>
        <v>154676000</v>
      </c>
      <c r="D25" s="43">
        <f t="shared" ca="1" si="8"/>
        <v>1.6929686503041344E-2</v>
      </c>
      <c r="E25" s="43">
        <f t="shared" ca="1" si="0"/>
        <v>1.7472091892601975E-5</v>
      </c>
      <c r="F25" s="43">
        <f t="shared" ca="1" si="13"/>
        <v>0.10589756880223244</v>
      </c>
      <c r="G25" s="42">
        <f t="shared" ca="1" si="1"/>
        <v>36978391320</v>
      </c>
      <c r="H25" s="41">
        <f t="shared" ca="1" si="14"/>
        <v>277.3380387007337</v>
      </c>
      <c r="I25" s="3"/>
      <c r="J25" s="43">
        <f t="shared" ca="1" si="12"/>
        <v>1</v>
      </c>
      <c r="K25" s="44" t="str">
        <f t="shared" ca="1" si="10"/>
        <v/>
      </c>
      <c r="L25" s="3"/>
      <c r="M25" s="45">
        <f t="shared" ca="1" si="2"/>
        <v>218.59919063115939</v>
      </c>
      <c r="N25" s="47">
        <f t="shared" ca="1" si="3"/>
        <v>336.07688677030802</v>
      </c>
      <c r="O25" s="45">
        <f t="shared" ca="1" si="4"/>
        <v>189.22976659637226</v>
      </c>
      <c r="P25" s="47">
        <f t="shared" ca="1" si="5"/>
        <v>365.44631080509515</v>
      </c>
      <c r="Q25" s="45">
        <f t="shared" ca="1" si="6"/>
        <v>159.8603425615851</v>
      </c>
      <c r="R25" s="47">
        <f t="shared" ca="1" si="7"/>
        <v>394.81573483988234</v>
      </c>
      <c r="S25" s="73">
        <f t="shared" ca="1" si="11"/>
        <v>1</v>
      </c>
      <c r="U25" s="3"/>
      <c r="V25" s="3"/>
      <c r="W25" s="3"/>
      <c r="X25" s="3"/>
    </row>
    <row r="26" spans="1:24" ht="14" thickBot="1">
      <c r="A26" s="40">
        <v>42065</v>
      </c>
      <c r="B26" s="41">
        <f t="array" aca="1" ref="B26" ca="1">IF(AND(A26 &gt; TODAY(), A26 &lt;= TODAY() + 7),
   INDEX(calculations!B:B, MATCH(143^143, calculations!B:B)),
   IF(ISNUMBER(MATCH(A26, calculations!A:A, 0)),
      INDEX(calculations!B:B, MATCH(A26, calculations!A:A, 0)),
      ""
   )
)</f>
        <v>276.32</v>
      </c>
      <c r="C26" s="42">
        <f t="array" aca="1" ref="C26" ca="1">IF(B26&lt;&gt;"", IF(MATCH(A26, calculations!A:A, 0), INDEX(calculations!D:D, MATCH(A26, calculations!A:A, 0)), "No Match"),"")</f>
        <v>138892900</v>
      </c>
      <c r="D26" s="43">
        <f t="shared" ca="1" si="8"/>
        <v>0.15581210524114278</v>
      </c>
      <c r="E26" s="43">
        <f t="shared" ca="1" si="0"/>
        <v>2.0466845110033615E-2</v>
      </c>
      <c r="F26" s="43">
        <f t="shared" ca="1" si="13"/>
        <v>0.11685577625882357</v>
      </c>
      <c r="G26" s="42">
        <f t="shared" ca="1" si="1"/>
        <v>38378886128</v>
      </c>
      <c r="H26" s="41">
        <f t="shared" ca="1" si="14"/>
        <v>270.23553874536202</v>
      </c>
      <c r="I26" s="3"/>
      <c r="J26" s="43">
        <f t="shared" ca="1" si="12"/>
        <v>1</v>
      </c>
      <c r="K26" s="44" t="str">
        <f t="shared" ca="1" si="10"/>
        <v/>
      </c>
      <c r="L26" s="3"/>
      <c r="M26" s="45">
        <f t="shared" ca="1" si="2"/>
        <v>207.07837143974066</v>
      </c>
      <c r="N26" s="47">
        <f t="shared" ca="1" si="3"/>
        <v>333.39270605098341</v>
      </c>
      <c r="O26" s="45">
        <f t="shared" ca="1" si="4"/>
        <v>175.49978778693</v>
      </c>
      <c r="P26" s="47">
        <f t="shared" ca="1" si="5"/>
        <v>364.97128970379407</v>
      </c>
      <c r="Q26" s="45">
        <f t="shared" ca="1" si="6"/>
        <v>143.92120413411934</v>
      </c>
      <c r="R26" s="47">
        <f t="shared" ca="1" si="7"/>
        <v>396.54987335660473</v>
      </c>
      <c r="S26" s="73">
        <f t="shared" ca="1" si="11"/>
        <v>1</v>
      </c>
      <c r="U26" s="3"/>
      <c r="V26" s="3"/>
      <c r="W26" s="3"/>
      <c r="X26" s="3"/>
    </row>
    <row r="27" spans="1:24" ht="14" thickBot="1">
      <c r="A27" s="40">
        <v>42072</v>
      </c>
      <c r="B27" s="41">
        <f t="array" aca="1" ref="B27" ca="1">IF(AND(A27 &gt; TODAY(), A27 &lt;= TODAY() + 7),
   INDEX(calculations!B:B, MATCH(143^143, calculations!B:B)),
   IF(ISNUMBER(MATCH(A27, calculations!A:A, 0)),
      INDEX(calculations!B:B, MATCH(A27, calculations!A:A, 0)),
      ""
   )
)</f>
        <v>290.13</v>
      </c>
      <c r="C27" s="42">
        <f t="array" aca="1" ref="C27" ca="1">IF(B27&lt;&gt;"", IF(MATCH(A27, calculations!A:A, 0), INDEX(calculations!D:D, MATCH(A27, calculations!A:A, 0)), "No Match"),"")</f>
        <v>242425100</v>
      </c>
      <c r="D27" s="43">
        <f t="shared" ca="1" si="8"/>
        <v>4.9978286045165035E-2</v>
      </c>
      <c r="E27" s="43">
        <f t="shared" ca="1" si="0"/>
        <v>1.3859658797405808E-3</v>
      </c>
      <c r="F27" s="43">
        <f t="shared" ca="1" si="13"/>
        <v>0.1180777583917897</v>
      </c>
      <c r="G27" s="42">
        <f t="shared" ca="1" si="1"/>
        <v>70334794263</v>
      </c>
      <c r="H27" s="41">
        <f t="shared" ca="1" si="14"/>
        <v>266.63791281736866</v>
      </c>
      <c r="I27" s="3"/>
      <c r="J27" s="43">
        <f t="shared" ca="1" si="12"/>
        <v>1</v>
      </c>
      <c r="K27" s="44" t="str">
        <f t="shared" ca="1" si="10"/>
        <v/>
      </c>
      <c r="L27" s="3"/>
      <c r="M27" s="45">
        <f t="shared" ca="1" si="2"/>
        <v>203.66989872188799</v>
      </c>
      <c r="N27" s="47">
        <f t="shared" ca="1" si="3"/>
        <v>329.60592691284933</v>
      </c>
      <c r="O27" s="45">
        <f t="shared" ca="1" si="4"/>
        <v>172.1858916741476</v>
      </c>
      <c r="P27" s="47">
        <f t="shared" ca="1" si="5"/>
        <v>361.08993396058969</v>
      </c>
      <c r="Q27" s="45">
        <f t="shared" ca="1" si="6"/>
        <v>140.70188462640729</v>
      </c>
      <c r="R27" s="47">
        <f t="shared" ca="1" si="7"/>
        <v>392.57394100833</v>
      </c>
      <c r="S27" s="73">
        <f t="shared" ca="1" si="11"/>
        <v>1</v>
      </c>
      <c r="U27" s="3"/>
      <c r="V27" s="3"/>
      <c r="W27" s="3"/>
      <c r="X27" s="3"/>
    </row>
    <row r="28" spans="1:24" ht="14" thickBot="1">
      <c r="A28" s="40">
        <v>42079</v>
      </c>
      <c r="B28" s="41">
        <f t="array" aca="1" ref="B28" ca="1">IF(AND(A28 &gt; TODAY(), A28 &lt;= TODAY() + 7),
   INDEX(calculations!B:B, MATCH(143^143, calculations!B:B)),
   IF(ISNUMBER(MATCH(A28, calculations!A:A, 0)),
      INDEX(calculations!B:B, MATCH(A28, calculations!A:A, 0)),
      ""
   )
)</f>
        <v>291.39</v>
      </c>
      <c r="C28" s="42">
        <f t="array" aca="1" ref="C28" ca="1">IF(B28&lt;&gt;"", IF(MATCH(A28, calculations!A:A, 0), INDEX(calculations!D:D, MATCH(A28, calculations!A:A, 0)), "No Match"),"")</f>
        <v>259502000</v>
      </c>
      <c r="D28" s="43">
        <f t="shared" ca="1" si="8"/>
        <v>4.342880777582432E-3</v>
      </c>
      <c r="E28" s="43">
        <f t="shared" ca="1" si="0"/>
        <v>7.0675002174540438E-5</v>
      </c>
      <c r="F28" s="43">
        <f t="shared" ca="1" si="13"/>
        <v>0.11784393681177449</v>
      </c>
      <c r="G28" s="42">
        <f t="shared" ca="1" si="1"/>
        <v>75616287780</v>
      </c>
      <c r="H28" s="41">
        <f t="shared" ca="1" si="14"/>
        <v>266.15071114304379</v>
      </c>
      <c r="I28" s="3"/>
      <c r="J28" s="43">
        <f t="shared" ca="1" si="12"/>
        <v>1</v>
      </c>
      <c r="K28" s="44" t="str">
        <f t="shared" ca="1" si="10"/>
        <v/>
      </c>
      <c r="L28" s="3"/>
      <c r="M28" s="45">
        <f t="shared" ca="1" si="2"/>
        <v>203.42221597034438</v>
      </c>
      <c r="N28" s="47">
        <f t="shared" ca="1" si="3"/>
        <v>328.8792063157432</v>
      </c>
      <c r="O28" s="45">
        <f t="shared" ca="1" si="4"/>
        <v>172.05796838399471</v>
      </c>
      <c r="P28" s="47">
        <f t="shared" ca="1" si="5"/>
        <v>360.24345390209288</v>
      </c>
      <c r="Q28" s="45">
        <f t="shared" ca="1" si="6"/>
        <v>140.693720797645</v>
      </c>
      <c r="R28" s="47">
        <f t="shared" ca="1" si="7"/>
        <v>391.60770148844261</v>
      </c>
      <c r="S28" s="73">
        <f t="shared" ca="1" si="11"/>
        <v>1</v>
      </c>
      <c r="U28" s="3"/>
      <c r="V28" s="3"/>
      <c r="W28" s="3"/>
      <c r="X28" s="3"/>
    </row>
    <row r="29" spans="1:24" ht="14" thickBot="1">
      <c r="A29" s="40">
        <v>42086</v>
      </c>
      <c r="B29" s="41">
        <f t="array" aca="1" ref="B29" ca="1">IF(AND(A29 &gt; TODAY(), A29 &lt;= TODAY() + 7),
   INDEX(calculations!B:B, MATCH(143^143, calculations!B:B)),
   IF(ISNUMBER(MATCH(A29, calculations!A:A, 0)),
      INDEX(calculations!B:B, MATCH(A29, calculations!A:A, 0)),
      ""
   )
)</f>
        <v>266.77999999999997</v>
      </c>
      <c r="C29" s="42">
        <f t="array" aca="1" ref="C29" ca="1">IF(B29&lt;&gt;"", IF(MATCH(A29, calculations!A:A, 0), INDEX(calculations!D:D, MATCH(A29, calculations!A:A, 0)), "No Match"),"")</f>
        <v>206778200</v>
      </c>
      <c r="D29" s="43">
        <f t="shared" ca="1" si="8"/>
        <v>-8.4457256597687005E-2</v>
      </c>
      <c r="E29" s="43">
        <f t="shared" ca="1" si="0"/>
        <v>9.4491969521356117E-3</v>
      </c>
      <c r="F29" s="43">
        <f t="shared" ca="1" si="13"/>
        <v>0.11923802121743482</v>
      </c>
      <c r="G29" s="42">
        <f t="shared" ca="1" si="1"/>
        <v>55164288195.999992</v>
      </c>
      <c r="H29" s="41">
        <f t="shared" ca="1" si="14"/>
        <v>262.20459185337558</v>
      </c>
      <c r="I29" s="3"/>
      <c r="J29" s="43">
        <f t="shared" ca="1" si="12"/>
        <v>1</v>
      </c>
      <c r="K29" s="44" t="str">
        <f t="shared" ca="1" si="10"/>
        <v/>
      </c>
      <c r="L29" s="3"/>
      <c r="M29" s="45">
        <f t="shared" ca="1" si="2"/>
        <v>199.6750784799323</v>
      </c>
      <c r="N29" s="47">
        <f t="shared" ca="1" si="3"/>
        <v>324.73410522681888</v>
      </c>
      <c r="O29" s="45">
        <f t="shared" ca="1" si="4"/>
        <v>168.4103217932107</v>
      </c>
      <c r="P29" s="47">
        <f t="shared" ca="1" si="5"/>
        <v>355.99886191354045</v>
      </c>
      <c r="Q29" s="45">
        <f t="shared" ca="1" si="6"/>
        <v>137.14556510648904</v>
      </c>
      <c r="R29" s="47">
        <f t="shared" ca="1" si="7"/>
        <v>387.26361860026213</v>
      </c>
      <c r="S29" s="73">
        <f t="shared" ref="S29:S92" ca="1" si="15">IF(B29="","",
 IF(B29&lt;Q29, 1+(4*ABS(D29))+(1+$X$2)+F29,
 IF(B29&lt;O29, 1+(3*ABS(D29))+(1+$X$2)+F29,
 IF(B29&lt;M29, 1+(2*ABS(D29))+(1+$X$2)+F29,
 IF(B29&gt;R29, 1-(4*ABS(D29))-(1+$X$2)-F29,
 IF(B29&gt;P29, 1-(3*ABS(D29))-(1+$X$2)-F29,
 IF(B29&gt;N29, 1-(2*ABS(D29))-(1+$X$2)-F29,
 1)))))))</f>
        <v>1</v>
      </c>
      <c r="T29" s="73"/>
      <c r="U29" s="3"/>
      <c r="V29" s="3"/>
      <c r="W29" s="3"/>
      <c r="X29" s="3"/>
    </row>
    <row r="30" spans="1:24" ht="14" thickBot="1">
      <c r="A30" s="40">
        <v>42093</v>
      </c>
      <c r="B30" s="41">
        <f t="array" aca="1" ref="B30" ca="1">IF(AND(A30 &gt; TODAY(), A30 &lt;= TODAY() + 7),
   INDEX(calculations!B:B, MATCH(143^143, calculations!B:B)),
   IF(ISNUMBER(MATCH(A30, calculations!A:A, 0)),
      INDEX(calculations!B:B, MATCH(A30, calculations!A:A, 0)),
      ""
   )
)</f>
        <v>248.34</v>
      </c>
      <c r="C30" s="42">
        <f t="array" aca="1" ref="C30" ca="1">IF(B30&lt;&gt;"", IF(MATCH(A30, calculations!A:A, 0), INDEX(calculations!D:D, MATCH(A30, calculations!A:A, 0)), "No Match"),"")</f>
        <v>179497700</v>
      </c>
      <c r="D30" s="43">
        <f t="shared" ca="1" si="8"/>
        <v>-6.9120623734912554E-2</v>
      </c>
      <c r="E30" s="43">
        <f t="shared" ca="1" si="0"/>
        <v>6.702753733139475E-3</v>
      </c>
      <c r="F30" s="43">
        <f t="shared" ca="1" si="13"/>
        <v>0.11994027956359711</v>
      </c>
      <c r="G30" s="42">
        <f t="shared" ca="1" si="1"/>
        <v>44576458818</v>
      </c>
      <c r="H30" s="41">
        <f t="shared" ca="1" si="14"/>
        <v>256.85401824749215</v>
      </c>
      <c r="I30" s="3"/>
      <c r="J30" s="43">
        <f t="shared" ca="1" si="12"/>
        <v>1</v>
      </c>
      <c r="K30" s="44" t="str">
        <f t="shared" ca="1" si="10"/>
        <v/>
      </c>
      <c r="L30" s="3"/>
      <c r="M30" s="45">
        <f t="shared" ca="1" si="2"/>
        <v>195.23973273621721</v>
      </c>
      <c r="N30" s="47">
        <f t="shared" ca="1" si="3"/>
        <v>318.46830375876709</v>
      </c>
      <c r="O30" s="45">
        <f t="shared" ca="1" si="4"/>
        <v>164.43258998057971</v>
      </c>
      <c r="P30" s="47">
        <f t="shared" ca="1" si="5"/>
        <v>349.27544651440456</v>
      </c>
      <c r="Q30" s="45">
        <f t="shared" ca="1" si="6"/>
        <v>133.62544722494223</v>
      </c>
      <c r="R30" s="47">
        <f t="shared" ca="1" si="7"/>
        <v>380.08258927004204</v>
      </c>
      <c r="S30" s="73">
        <f t="shared" ca="1" si="15"/>
        <v>1</v>
      </c>
      <c r="T30" s="73"/>
      <c r="U30" s="3"/>
      <c r="V30" s="3"/>
      <c r="W30" s="3"/>
      <c r="X30" s="3"/>
    </row>
    <row r="31" spans="1:24" ht="14" thickBot="1">
      <c r="A31" s="40">
        <v>42100</v>
      </c>
      <c r="B31" s="41">
        <f t="array" aca="1" ref="B31" ca="1">IF(AND(A31 &gt; TODAY(), A31 &lt;= TODAY() + 7),
   INDEX(calculations!B:B, MATCH(143^143, calculations!B:B)),
   IF(ISNUMBER(MATCH(A31, calculations!A:A, 0)),
      INDEX(calculations!B:B, MATCH(A31, calculations!A:A, 0)),
      ""
   )
)</f>
        <v>256.37</v>
      </c>
      <c r="C31" s="42">
        <f t="array" aca="1" ref="C31" ca="1">IF(B31&lt;&gt;"", IF(MATCH(A31, calculations!A:A, 0), INDEX(calculations!D:D, MATCH(A31, calculations!A:A, 0)), "No Match"),"")</f>
        <v>150120700</v>
      </c>
      <c r="D31" s="43">
        <f t="shared" ca="1" si="8"/>
        <v>3.2334702424096001E-2</v>
      </c>
      <c r="E31" s="43">
        <f t="shared" ca="1" si="0"/>
        <v>3.8357140501331832E-4</v>
      </c>
      <c r="F31" s="43">
        <f t="shared" ca="1" si="13"/>
        <v>0.11986911229035108</v>
      </c>
      <c r="G31" s="42">
        <f t="shared" ca="1" si="1"/>
        <v>38486443859</v>
      </c>
      <c r="H31" s="41">
        <f t="shared" ca="1" si="14"/>
        <v>254.76124345591325</v>
      </c>
      <c r="I31" s="3"/>
      <c r="J31" s="43">
        <f t="shared" ca="1" si="12"/>
        <v>1</v>
      </c>
      <c r="K31" s="44" t="str">
        <f t="shared" ca="1" si="10"/>
        <v/>
      </c>
      <c r="L31" s="3"/>
      <c r="M31" s="45">
        <f t="shared" ca="1" si="2"/>
        <v>193.68523525782058</v>
      </c>
      <c r="N31" s="47">
        <f t="shared" ca="1" si="3"/>
        <v>315.83725165400591</v>
      </c>
      <c r="O31" s="45">
        <f t="shared" ca="1" si="4"/>
        <v>163.14723115877422</v>
      </c>
      <c r="P31" s="47">
        <f t="shared" ca="1" si="5"/>
        <v>346.37525575305227</v>
      </c>
      <c r="Q31" s="45">
        <f t="shared" ca="1" si="6"/>
        <v>132.60922705972791</v>
      </c>
      <c r="R31" s="47">
        <f t="shared" ca="1" si="7"/>
        <v>376.91325985209858</v>
      </c>
      <c r="S31" s="73">
        <f t="shared" ca="1" si="15"/>
        <v>1</v>
      </c>
      <c r="T31" s="73"/>
      <c r="U31" s="3"/>
      <c r="V31" s="3"/>
      <c r="W31" s="3"/>
      <c r="X31" s="3"/>
    </row>
    <row r="32" spans="1:24" ht="14" thickBot="1">
      <c r="A32" s="40">
        <v>42107</v>
      </c>
      <c r="B32" s="41">
        <f t="array" aca="1" ref="B32" ca="1">IF(AND(A32 &gt; TODAY(), A32 &lt;= TODAY() + 7),
   INDEX(calculations!B:B, MATCH(143^143, calculations!B:B)),
   IF(ISNUMBER(MATCH(A32, calculations!A:A, 0)),
      INDEX(calculations!B:B, MATCH(A32, calculations!A:A, 0)),
      ""
   )
)</f>
        <v>225.51</v>
      </c>
      <c r="C32" s="42">
        <f t="array" aca="1" ref="C32" ca="1">IF(B32&lt;&gt;"", IF(MATCH(A32, calculations!A:A, 0), INDEX(calculations!D:D, MATCH(A32, calculations!A:A, 0)), "No Match"),"")</f>
        <v>147866600</v>
      </c>
      <c r="D32" s="43">
        <f t="shared" ca="1" si="8"/>
        <v>-0.12037289854507163</v>
      </c>
      <c r="E32" s="43">
        <f t="shared" ca="1" si="0"/>
        <v>1.7721632462389635E-2</v>
      </c>
      <c r="F32" s="43">
        <f t="shared" ca="1" si="13"/>
        <v>0.11977966817350745</v>
      </c>
      <c r="G32" s="42">
        <f t="shared" ca="1" si="1"/>
        <v>33345396966</v>
      </c>
      <c r="H32" s="41">
        <f t="shared" ca="1" si="14"/>
        <v>252.28396699580105</v>
      </c>
      <c r="I32" s="3"/>
      <c r="J32" s="43">
        <f t="shared" ca="1" si="12"/>
        <v>1</v>
      </c>
      <c r="K32" s="44" t="str">
        <f t="shared" ca="1" si="10"/>
        <v/>
      </c>
      <c r="L32" s="3"/>
      <c r="M32" s="45">
        <f t="shared" ca="1" si="2"/>
        <v>191.84698729129474</v>
      </c>
      <c r="N32" s="47">
        <f t="shared" ca="1" si="3"/>
        <v>312.72094670030737</v>
      </c>
      <c r="O32" s="45">
        <f t="shared" ca="1" si="4"/>
        <v>161.62849743904158</v>
      </c>
      <c r="P32" s="47">
        <f t="shared" ca="1" si="5"/>
        <v>342.93943655256055</v>
      </c>
      <c r="Q32" s="45">
        <f t="shared" ca="1" si="6"/>
        <v>131.41000758678845</v>
      </c>
      <c r="R32" s="47">
        <f t="shared" ca="1" si="7"/>
        <v>373.15792640481368</v>
      </c>
      <c r="S32" s="73">
        <f t="shared" ca="1" si="15"/>
        <v>1</v>
      </c>
      <c r="T32" s="73"/>
      <c r="U32" s="3"/>
      <c r="V32" s="3"/>
      <c r="W32" s="3"/>
      <c r="X32" s="3"/>
    </row>
    <row r="33" spans="1:24" ht="14" thickBot="1">
      <c r="A33" s="40">
        <v>42114</v>
      </c>
      <c r="B33" s="41">
        <f t="array" aca="1" ref="B33" ca="1">IF(AND(A33 &gt; TODAY(), A33 &lt;= TODAY() + 7),
   INDEX(calculations!B:B, MATCH(143^143, calculations!B:B)),
   IF(ISNUMBER(MATCH(A33, calculations!A:A, 0)),
      INDEX(calculations!B:B, MATCH(A33, calculations!A:A, 0)),
      ""
   )
)</f>
        <v>224.89</v>
      </c>
      <c r="C33" s="42">
        <f t="array" aca="1" ref="C33" ca="1">IF(B33&lt;&gt;"", IF(MATCH(A33, calculations!A:A, 0), INDEX(calculations!D:D, MATCH(A33, calculations!A:A, 0)), "No Match"),"")</f>
        <v>158658500</v>
      </c>
      <c r="D33" s="43">
        <f t="shared" ca="1" si="8"/>
        <v>-2.7493237550441424E-3</v>
      </c>
      <c r="E33" s="43">
        <f t="shared" ca="1" si="0"/>
        <v>2.4022046141718948E-4</v>
      </c>
      <c r="F33" s="43">
        <f t="shared" ca="1" si="13"/>
        <v>0.11969950984350941</v>
      </c>
      <c r="G33" s="42">
        <f t="shared" ca="1" si="1"/>
        <v>35680710065</v>
      </c>
      <c r="H33" s="41">
        <f t="shared" ca="1" si="14"/>
        <v>249.86968944951457</v>
      </c>
      <c r="I33" s="3"/>
      <c r="J33" s="43">
        <f t="shared" ca="1" si="12"/>
        <v>1</v>
      </c>
      <c r="K33" s="44" t="str">
        <f t="shared" ca="1" si="10"/>
        <v/>
      </c>
      <c r="L33" s="3"/>
      <c r="M33" s="45">
        <f t="shared" ca="1" si="2"/>
        <v>190.05113074580095</v>
      </c>
      <c r="N33" s="47">
        <f t="shared" ca="1" si="3"/>
        <v>309.68824815322819</v>
      </c>
      <c r="O33" s="45">
        <f t="shared" ca="1" si="4"/>
        <v>160.14185139394414</v>
      </c>
      <c r="P33" s="47">
        <f t="shared" ca="1" si="5"/>
        <v>339.597527505085</v>
      </c>
      <c r="Q33" s="45">
        <f t="shared" ca="1" si="6"/>
        <v>130.23257204208733</v>
      </c>
      <c r="R33" s="47">
        <f t="shared" ca="1" si="7"/>
        <v>369.50680685694181</v>
      </c>
      <c r="S33" s="73">
        <f t="shared" ca="1" si="15"/>
        <v>1</v>
      </c>
      <c r="T33" s="73"/>
      <c r="U33" s="3"/>
      <c r="V33" s="3"/>
      <c r="W33" s="3"/>
      <c r="X33" s="3"/>
    </row>
    <row r="34" spans="1:24" ht="14" thickBot="1">
      <c r="A34" s="40">
        <v>42121</v>
      </c>
      <c r="B34" s="41">
        <f t="array" aca="1" ref="B34" ca="1">IF(AND(A34 &gt; TODAY(), A34 &lt;= TODAY() + 7),
   INDEX(calculations!B:B, MATCH(143^143, calculations!B:B)),
   IF(ISNUMBER(MATCH(A34, calculations!A:A, 0)),
      INDEX(calculations!B:B, MATCH(A34, calculations!A:A, 0)),
      ""
   )
)</f>
        <v>227.33</v>
      </c>
      <c r="C34" s="42">
        <f t="array" aca="1" ref="C34" ca="1">IF(B34&lt;&gt;"", IF(MATCH(A34, calculations!A:A, 0), INDEX(calculations!D:D, MATCH(A34, calculations!A:A, 0)), "No Match"),"")</f>
        <v>148576200</v>
      </c>
      <c r="D34" s="43">
        <f t="shared" ca="1" si="8"/>
        <v>1.0849748766063526E-2</v>
      </c>
      <c r="E34" s="43">
        <f t="shared" ca="1" si="0"/>
        <v>3.6099034505959626E-6</v>
      </c>
      <c r="F34" s="43">
        <f t="shared" ca="1" si="13"/>
        <v>0.10700068912017337</v>
      </c>
      <c r="G34" s="42">
        <f t="shared" ca="1" si="1"/>
        <v>33775827546</v>
      </c>
      <c r="H34" s="41">
        <f t="shared" ca="1" si="14"/>
        <v>253.06818961704946</v>
      </c>
      <c r="I34" s="3"/>
      <c r="J34" s="43">
        <f t="shared" ca="1" si="12"/>
        <v>1</v>
      </c>
      <c r="K34" s="44" t="str">
        <f t="shared" ca="1" si="10"/>
        <v/>
      </c>
      <c r="L34" s="3"/>
      <c r="M34" s="45">
        <f t="shared" ca="1" si="2"/>
        <v>198.91124825021149</v>
      </c>
      <c r="N34" s="47">
        <f t="shared" ca="1" si="3"/>
        <v>307.22513098388742</v>
      </c>
      <c r="O34" s="45">
        <f t="shared" ca="1" si="4"/>
        <v>171.83277756679249</v>
      </c>
      <c r="P34" s="47">
        <f t="shared" ca="1" si="5"/>
        <v>334.30360166730645</v>
      </c>
      <c r="Q34" s="45">
        <f t="shared" ca="1" si="6"/>
        <v>144.75430688337349</v>
      </c>
      <c r="R34" s="47">
        <f t="shared" ca="1" si="7"/>
        <v>361.38207235072542</v>
      </c>
      <c r="S34" s="73">
        <f t="shared" ca="1" si="15"/>
        <v>1</v>
      </c>
      <c r="T34" s="73"/>
      <c r="U34" s="3"/>
      <c r="V34" s="3"/>
      <c r="W34" s="3"/>
      <c r="X34" s="3"/>
    </row>
    <row r="35" spans="1:24" ht="14" thickBot="1">
      <c r="A35" s="40">
        <v>42128</v>
      </c>
      <c r="B35" s="41">
        <f t="array" aca="1" ref="B35" ca="1">IF(AND(A35 &gt; TODAY(), A35 &lt;= TODAY() + 7),
   INDEX(calculations!B:B, MATCH(143^143, calculations!B:B)),
   IF(ISNUMBER(MATCH(A35, calculations!A:A, 0)),
      INDEX(calculations!B:B, MATCH(A35, calculations!A:A, 0)),
      ""
   )
)</f>
        <v>238.98</v>
      </c>
      <c r="C35" s="42">
        <f t="array" aca="1" ref="C35" ca="1">IF(B35&lt;&gt;"", IF(MATCH(A35, calculations!A:A, 0), INDEX(calculations!D:D, MATCH(A35, calculations!A:A, 0)), "No Match"),"")</f>
        <v>162643200</v>
      </c>
      <c r="D35" s="43">
        <f t="shared" ca="1" si="8"/>
        <v>5.1247085734394827E-2</v>
      </c>
      <c r="E35" s="43">
        <f t="shared" ca="1" si="0"/>
        <v>1.482046909927469E-3</v>
      </c>
      <c r="F35" s="43">
        <f t="shared" ca="1" si="13"/>
        <v>7.9711460096680078E-2</v>
      </c>
      <c r="G35" s="42">
        <f t="shared" ca="1" si="1"/>
        <v>38868471936</v>
      </c>
      <c r="H35" s="41">
        <f t="shared" ca="1" si="14"/>
        <v>250.73101047641566</v>
      </c>
      <c r="I35" s="3"/>
      <c r="J35" s="43">
        <f t="shared" ca="1" si="12"/>
        <v>1</v>
      </c>
      <c r="K35" s="44" t="str">
        <f t="shared" ca="1" si="10"/>
        <v/>
      </c>
      <c r="L35" s="3"/>
      <c r="M35" s="45">
        <f t="shared" ca="1" si="2"/>
        <v>210.75874060323352</v>
      </c>
      <c r="N35" s="47">
        <f t="shared" ca="1" si="3"/>
        <v>290.70328034959783</v>
      </c>
      <c r="O35" s="45">
        <f t="shared" ca="1" si="4"/>
        <v>190.77260566664239</v>
      </c>
      <c r="P35" s="47">
        <f t="shared" ca="1" si="5"/>
        <v>310.68941528618893</v>
      </c>
      <c r="Q35" s="45">
        <f t="shared" ca="1" si="6"/>
        <v>170.78647073005135</v>
      </c>
      <c r="R35" s="47">
        <f t="shared" ca="1" si="7"/>
        <v>330.67555022277998</v>
      </c>
      <c r="S35" s="73">
        <f t="shared" ca="1" si="15"/>
        <v>1</v>
      </c>
      <c r="T35" s="73"/>
      <c r="U35" s="3"/>
      <c r="V35" s="3"/>
      <c r="W35" s="3"/>
      <c r="X35" s="3"/>
    </row>
    <row r="36" spans="1:24" ht="14" thickBot="1">
      <c r="A36" s="40">
        <v>42135</v>
      </c>
      <c r="B36" s="41">
        <f t="array" aca="1" ref="B36" ca="1">IF(AND(A36 &gt; TODAY(), A36 &lt;= TODAY() + 7),
   INDEX(calculations!B:B, MATCH(143^143, calculations!B:B)),
   IF(ISNUMBER(MATCH(A36, calculations!A:A, 0)),
      INDEX(calculations!B:B, MATCH(A36, calculations!A:A, 0)),
      ""
   )
)</f>
        <v>242.25</v>
      </c>
      <c r="C36" s="42">
        <f t="array" aca="1" ref="C36" ca="1">IF(B36&lt;&gt;"", IF(MATCH(A36, calculations!A:A, 0), INDEX(calculations!D:D, MATCH(A36, calculations!A:A, 0)), "No Match"),"")</f>
        <v>166059200</v>
      </c>
      <c r="D36" s="43">
        <f t="shared" ca="1" si="8"/>
        <v>1.3683153401958366E-2</v>
      </c>
      <c r="E36" s="43">
        <f t="shared" ca="1" si="0"/>
        <v>8.7129164667337775E-7</v>
      </c>
      <c r="F36" s="43">
        <f t="shared" ca="1" si="13"/>
        <v>7.2332976415994926E-2</v>
      </c>
      <c r="G36" s="42">
        <f t="shared" ca="1" si="1"/>
        <v>40227841200</v>
      </c>
      <c r="H36" s="41">
        <f t="shared" ca="1" si="14"/>
        <v>251.46497900508248</v>
      </c>
      <c r="I36" s="3"/>
      <c r="J36" s="43">
        <f t="shared" ca="1" si="12"/>
        <v>1</v>
      </c>
      <c r="K36" s="44" t="str">
        <f t="shared" ca="1" si="10"/>
        <v/>
      </c>
      <c r="L36" s="3"/>
      <c r="M36" s="45">
        <f t="shared" ca="1" si="2"/>
        <v>215.08655821343592</v>
      </c>
      <c r="N36" s="47">
        <f t="shared" ca="1" si="3"/>
        <v>287.84339979672905</v>
      </c>
      <c r="O36" s="45">
        <f t="shared" ca="1" si="4"/>
        <v>196.8973478176126</v>
      </c>
      <c r="P36" s="47">
        <f t="shared" ca="1" si="5"/>
        <v>306.03261019255234</v>
      </c>
      <c r="Q36" s="45">
        <f t="shared" ca="1" si="6"/>
        <v>178.70813742178933</v>
      </c>
      <c r="R36" s="47">
        <f t="shared" ca="1" si="7"/>
        <v>324.22182058837564</v>
      </c>
      <c r="S36" s="73">
        <f t="shared" ca="1" si="15"/>
        <v>1</v>
      </c>
      <c r="T36" s="73"/>
      <c r="U36" s="3"/>
      <c r="V36" s="3"/>
      <c r="W36" s="3"/>
      <c r="X36" s="3"/>
    </row>
    <row r="37" spans="1:24" ht="14" thickBot="1">
      <c r="A37" s="40">
        <v>42142</v>
      </c>
      <c r="B37" s="41">
        <f t="array" aca="1" ref="B37" ca="1">IF(AND(A37 &gt; TODAY(), A37 &lt;= TODAY() + 7),
   INDEX(calculations!B:B, MATCH(143^143, calculations!B:B)),
   IF(ISNUMBER(MATCH(A37, calculations!A:A, 0)),
      INDEX(calculations!B:B, MATCH(A37, calculations!A:A, 0)),
      ""
   )
)</f>
        <v>232.88</v>
      </c>
      <c r="C37" s="42">
        <f t="array" aca="1" ref="C37" ca="1">IF(B37&lt;&gt;"", IF(MATCH(A37, calculations!A:A, 0), INDEX(calculations!D:D, MATCH(A37, calculations!A:A, 0)), "No Match"),"")</f>
        <v>130322100</v>
      </c>
      <c r="D37" s="43">
        <f t="shared" ca="1" si="8"/>
        <v>-3.8679050567595477E-2</v>
      </c>
      <c r="E37" s="43">
        <f t="shared" ca="1" si="0"/>
        <v>2.6449187875060283E-3</v>
      </c>
      <c r="F37" s="43">
        <f t="shared" ca="1" si="13"/>
        <v>6.9424421334887909E-2</v>
      </c>
      <c r="G37" s="42">
        <f t="shared" ca="1" si="1"/>
        <v>30349410648</v>
      </c>
      <c r="H37" s="41">
        <f t="shared" ca="1" si="14"/>
        <v>252.76380517639947</v>
      </c>
      <c r="I37" s="3"/>
      <c r="J37" s="43">
        <f t="shared" ca="1" si="12"/>
        <v>1</v>
      </c>
      <c r="K37" s="44" t="str">
        <f t="shared" ca="1" si="10"/>
        <v/>
      </c>
      <c r="L37" s="3"/>
      <c r="M37" s="45">
        <f t="shared" ca="1" si="2"/>
        <v>217.6678433588477</v>
      </c>
      <c r="N37" s="47">
        <f t="shared" ca="1" si="3"/>
        <v>287.85976699395121</v>
      </c>
      <c r="O37" s="45">
        <f t="shared" ca="1" si="4"/>
        <v>200.11986245007185</v>
      </c>
      <c r="P37" s="47">
        <f t="shared" ca="1" si="5"/>
        <v>305.40774790272707</v>
      </c>
      <c r="Q37" s="45">
        <f t="shared" ca="1" si="6"/>
        <v>182.57188154129597</v>
      </c>
      <c r="R37" s="47">
        <f t="shared" ca="1" si="7"/>
        <v>322.95572881150298</v>
      </c>
      <c r="S37" s="73">
        <f t="shared" ca="1" si="15"/>
        <v>1</v>
      </c>
      <c r="T37" s="73"/>
      <c r="U37" s="3"/>
      <c r="V37" s="3"/>
      <c r="W37" s="3"/>
      <c r="X37" s="3"/>
    </row>
    <row r="38" spans="1:24" ht="14" thickBot="1">
      <c r="A38" s="40">
        <v>42149</v>
      </c>
      <c r="B38" s="41">
        <f t="array" aca="1" ref="B38" ca="1">IF(AND(A38 &gt; TODAY(), A38 &lt;= TODAY() + 7),
   INDEX(calculations!B:B, MATCH(143^143, calculations!B:B)),
   IF(ISNUMBER(MATCH(A38, calculations!A:A, 0)),
      INDEX(calculations!B:B, MATCH(A38, calculations!A:A, 0)),
      ""
   )
)</f>
        <v>237</v>
      </c>
      <c r="C38" s="42">
        <f t="array" aca="1" ref="C38" ca="1">IF(B38&lt;&gt;"", IF(MATCH(A38, calculations!A:A, 0), INDEX(calculations!D:D, MATCH(A38, calculations!A:A, 0)), "No Match"),"")</f>
        <v>114746500</v>
      </c>
      <c r="D38" s="43">
        <f t="shared" ca="1" si="8"/>
        <v>1.7691514943318467E-2</v>
      </c>
      <c r="E38" s="43">
        <f t="shared" ca="1" si="0"/>
        <v>2.4421304071185168E-5</v>
      </c>
      <c r="F38" s="43">
        <f t="shared" ca="1" si="13"/>
        <v>6.7467374828916751E-2</v>
      </c>
      <c r="G38" s="42">
        <f t="shared" ca="1" si="1"/>
        <v>27194920500</v>
      </c>
      <c r="H38" s="41">
        <f t="shared" ca="1" si="14"/>
        <v>253.72205814522235</v>
      </c>
      <c r="I38" s="3"/>
      <c r="J38" s="43">
        <f t="shared" ca="1" si="12"/>
        <v>1</v>
      </c>
      <c r="K38" s="44" t="str">
        <f t="shared" ca="1" si="10"/>
        <v/>
      </c>
      <c r="L38" s="3"/>
      <c r="M38" s="45">
        <f t="shared" ca="1" si="2"/>
        <v>219.48613574672649</v>
      </c>
      <c r="N38" s="47">
        <f t="shared" ca="1" si="3"/>
        <v>287.95798054371818</v>
      </c>
      <c r="O38" s="45">
        <f t="shared" ca="1" si="4"/>
        <v>202.36817454747859</v>
      </c>
      <c r="P38" s="47">
        <f t="shared" ca="1" si="5"/>
        <v>305.07594174296611</v>
      </c>
      <c r="Q38" s="45">
        <f t="shared" ca="1" si="6"/>
        <v>185.25021334823066</v>
      </c>
      <c r="R38" s="47">
        <f t="shared" ca="1" si="7"/>
        <v>322.19390294221404</v>
      </c>
      <c r="S38" s="73">
        <f t="shared" ca="1" si="15"/>
        <v>1</v>
      </c>
      <c r="T38" s="73"/>
      <c r="U38" s="3"/>
      <c r="V38" s="3"/>
      <c r="W38" s="3"/>
      <c r="X38" s="3"/>
    </row>
    <row r="39" spans="1:24" ht="14" thickBot="1">
      <c r="A39" s="40">
        <v>42156</v>
      </c>
      <c r="B39" s="41">
        <f t="array" aca="1" ref="B39" ca="1">IF(AND(A39 &gt; TODAY(), A39 &lt;= TODAY() + 7),
   INDEX(calculations!B:B, MATCH(143^143, calculations!B:B)),
   IF(ISNUMBER(MATCH(A39, calculations!A:A, 0)),
      INDEX(calculations!B:B, MATCH(A39, calculations!A:A, 0)),
      ""
   )
)</f>
        <v>223.28</v>
      </c>
      <c r="C39" s="42">
        <f t="array" aca="1" ref="C39" ca="1">IF(B39&lt;&gt;"", IF(MATCH(A39, calculations!A:A, 0), INDEX(calculations!D:D, MATCH(A39, calculations!A:A, 0)), "No Match"),"")</f>
        <v>107149900</v>
      </c>
      <c r="D39" s="43">
        <f t="shared" ca="1" si="8"/>
        <v>-5.7890295358649785E-2</v>
      </c>
      <c r="E39" s="43">
        <f t="shared" ca="1" si="0"/>
        <v>4.9900122443106336E-3</v>
      </c>
      <c r="F39" s="43">
        <f t="shared" ca="1" si="13"/>
        <v>6.919289312645889E-2</v>
      </c>
      <c r="G39" s="42">
        <f t="shared" ca="1" si="1"/>
        <v>23924429672</v>
      </c>
      <c r="H39" s="41">
        <f t="shared" ca="1" si="14"/>
        <v>253.29169110296783</v>
      </c>
      <c r="I39" s="3"/>
      <c r="J39" s="43">
        <f t="shared" ca="1" si="12"/>
        <v>1</v>
      </c>
      <c r="K39" s="44" t="str">
        <f t="shared" ca="1" si="10"/>
        <v/>
      </c>
      <c r="L39" s="3"/>
      <c r="M39" s="45">
        <f t="shared" ca="1" si="2"/>
        <v>218.23972127835245</v>
      </c>
      <c r="N39" s="47">
        <f t="shared" ca="1" si="3"/>
        <v>288.34366092758324</v>
      </c>
      <c r="O39" s="45">
        <f t="shared" ca="1" si="4"/>
        <v>200.71373636604474</v>
      </c>
      <c r="P39" s="47">
        <f t="shared" ca="1" si="5"/>
        <v>305.86964583989089</v>
      </c>
      <c r="Q39" s="45">
        <f t="shared" ca="1" si="6"/>
        <v>183.18775145373709</v>
      </c>
      <c r="R39" s="47">
        <f t="shared" ca="1" si="7"/>
        <v>323.3956307521986</v>
      </c>
      <c r="S39" s="73">
        <f t="shared" ca="1" si="15"/>
        <v>1</v>
      </c>
      <c r="T39" s="73"/>
      <c r="U39" s="3"/>
      <c r="V39" s="3"/>
      <c r="W39" s="3"/>
      <c r="X39" s="3"/>
    </row>
    <row r="40" spans="1:24" ht="14" thickBot="1">
      <c r="A40" s="40">
        <v>42163</v>
      </c>
      <c r="B40" s="41">
        <f t="array" aca="1" ref="B40" ca="1">IF(AND(A40 &gt; TODAY(), A40 &lt;= TODAY() + 7),
   INDEX(calculations!B:B, MATCH(143^143, calculations!B:B)),
   IF(ISNUMBER(MATCH(A40, calculations!A:A, 0)),
      INDEX(calculations!B:B, MATCH(A40, calculations!A:A, 0)),
      ""
   )
)</f>
        <v>228.77</v>
      </c>
      <c r="C40" s="42">
        <f t="array" aca="1" ref="C40" ca="1">IF(B40&lt;&gt;"", IF(MATCH(A40, calculations!A:A, 0), INDEX(calculations!D:D, MATCH(A40, calculations!A:A, 0)), "No Match"),"")</f>
        <v>121536400</v>
      </c>
      <c r="D40" s="43">
        <f t="shared" ca="1" si="8"/>
        <v>2.4587961304192087E-2</v>
      </c>
      <c r="E40" s="43">
        <f t="shared" ca="1" si="0"/>
        <v>1.4014387766697492E-4</v>
      </c>
      <c r="F40" s="43">
        <f t="shared" ca="1" si="13"/>
        <v>5.3086943636529223E-2</v>
      </c>
      <c r="G40" s="42">
        <f t="shared" ca="1" si="1"/>
        <v>27803882228</v>
      </c>
      <c r="H40" s="41">
        <f t="shared" ca="1" si="14"/>
        <v>250.60046138994147</v>
      </c>
      <c r="I40" s="3"/>
      <c r="J40" s="43">
        <f t="shared" ca="1" si="12"/>
        <v>1</v>
      </c>
      <c r="K40" s="44" t="str">
        <f t="shared" ca="1" si="10"/>
        <v/>
      </c>
      <c r="L40" s="3"/>
      <c r="M40" s="45">
        <f t="shared" ca="1" si="2"/>
        <v>223.99323625174941</v>
      </c>
      <c r="N40" s="47">
        <f t="shared" ca="1" si="3"/>
        <v>277.20768652813354</v>
      </c>
      <c r="O40" s="45">
        <f t="shared" ca="1" si="4"/>
        <v>210.68962368265335</v>
      </c>
      <c r="P40" s="47">
        <f t="shared" ca="1" si="5"/>
        <v>290.5112990972296</v>
      </c>
      <c r="Q40" s="45">
        <f t="shared" ca="1" si="6"/>
        <v>197.38601111355732</v>
      </c>
      <c r="R40" s="47">
        <f t="shared" ca="1" si="7"/>
        <v>303.8149116663256</v>
      </c>
      <c r="S40" s="73">
        <f t="shared" ca="1" si="15"/>
        <v>1</v>
      </c>
      <c r="T40" s="73"/>
      <c r="U40" s="3"/>
      <c r="V40" s="3"/>
      <c r="W40" s="3"/>
      <c r="X40" s="3"/>
    </row>
    <row r="41" spans="1:24" ht="14" thickBot="1">
      <c r="A41" s="40">
        <v>42170</v>
      </c>
      <c r="B41" s="41">
        <f t="array" aca="1" ref="B41" ca="1">IF(AND(A41 &gt; TODAY(), A41 &lt;= TODAY() + 7),
   INDEX(calculations!B:B, MATCH(143^143, calculations!B:B)),
   IF(ISNUMBER(MATCH(A41, calculations!A:A, 0)),
      INDEX(calculations!B:B, MATCH(A41, calculations!A:A, 0)),
      ""
   )
)</f>
        <v>236.79</v>
      </c>
      <c r="C41" s="42">
        <f t="array" aca="1" ref="C41" ca="1">IF(B41&lt;&gt;"", IF(MATCH(A41, calculations!A:A, 0), INDEX(calculations!D:D, MATCH(A41, calculations!A:A, 0)), "No Match"),"")</f>
        <v>121541200</v>
      </c>
      <c r="D41" s="43">
        <f t="shared" ca="1" si="8"/>
        <v>3.5057044192857371E-2</v>
      </c>
      <c r="E41" s="43">
        <f t="shared" ca="1" si="0"/>
        <v>4.9761656282231359E-4</v>
      </c>
      <c r="F41" s="43">
        <f t="shared" ca="1" si="13"/>
        <v>5.1882174060662457E-2</v>
      </c>
      <c r="G41" s="42">
        <f t="shared" ca="1" si="1"/>
        <v>28779740748</v>
      </c>
      <c r="H41" s="41">
        <f t="shared" ca="1" si="14"/>
        <v>245.42275992570845</v>
      </c>
      <c r="I41" s="3"/>
      <c r="J41" s="43">
        <f t="shared" ca="1" si="12"/>
        <v>1</v>
      </c>
      <c r="K41" s="44" t="str">
        <f t="shared" ca="1" si="10"/>
        <v/>
      </c>
      <c r="L41" s="3"/>
      <c r="M41" s="45">
        <f t="shared" ca="1" si="2"/>
        <v>219.95662722788089</v>
      </c>
      <c r="N41" s="47">
        <f t="shared" ca="1" si="3"/>
        <v>270.88889262353598</v>
      </c>
      <c r="O41" s="45">
        <f t="shared" ca="1" si="4"/>
        <v>207.22356087896711</v>
      </c>
      <c r="P41" s="47">
        <f t="shared" ca="1" si="5"/>
        <v>283.62195897244982</v>
      </c>
      <c r="Q41" s="45">
        <f t="shared" ca="1" si="6"/>
        <v>194.49049453005333</v>
      </c>
      <c r="R41" s="47">
        <f t="shared" ca="1" si="7"/>
        <v>296.3550253213636</v>
      </c>
      <c r="S41" s="73">
        <f t="shared" ca="1" si="15"/>
        <v>1</v>
      </c>
      <c r="T41" s="73"/>
      <c r="U41" s="3"/>
      <c r="V41" s="3"/>
      <c r="W41" s="3"/>
      <c r="X41" s="3"/>
    </row>
    <row r="42" spans="1:24" ht="14" thickBot="1">
      <c r="A42" s="40">
        <v>42177</v>
      </c>
      <c r="B42" s="41">
        <f t="array" aca="1" ref="B42" ca="1">IF(AND(A42 &gt; TODAY(), A42 &lt;= TODAY() + 7),
   INDEX(calculations!B:B, MATCH(143^143, calculations!B:B)),
   IF(ISNUMBER(MATCH(A42, calculations!A:A, 0)),
      INDEX(calculations!B:B, MATCH(A42, calculations!A:A, 0)),
      ""
   )
)</f>
        <v>247.02</v>
      </c>
      <c r="C42" s="42">
        <f t="array" aca="1" ref="C42" ca="1">IF(B42&lt;&gt;"", IF(MATCH(A42, calculations!A:A, 0), INDEX(calculations!D:D, MATCH(A42, calculations!A:A, 0)), "No Match"),"")</f>
        <v>191537000</v>
      </c>
      <c r="D42" s="43">
        <f t="shared" ca="1" si="8"/>
        <v>4.32028379576841E-2</v>
      </c>
      <c r="E42" s="43">
        <f t="shared" ca="1" si="0"/>
        <v>9.2739218881200745E-4</v>
      </c>
      <c r="F42" s="43">
        <f t="shared" ca="1" si="13"/>
        <v>5.3888195938693054E-2</v>
      </c>
      <c r="G42" s="42">
        <f t="shared" ca="1" si="1"/>
        <v>47313469740</v>
      </c>
      <c r="H42" s="41">
        <f t="shared" ca="1" si="14"/>
        <v>239.90663466559192</v>
      </c>
      <c r="I42" s="3"/>
      <c r="J42" s="43">
        <f t="shared" ca="1" si="12"/>
        <v>1</v>
      </c>
      <c r="K42" s="44" t="str">
        <f t="shared" ca="1" si="10"/>
        <v/>
      </c>
      <c r="L42" s="3"/>
      <c r="M42" s="45">
        <f t="shared" ca="1" si="2"/>
        <v>214.05036319388819</v>
      </c>
      <c r="N42" s="47">
        <f t="shared" ca="1" si="3"/>
        <v>265.76290613729566</v>
      </c>
      <c r="O42" s="45">
        <f t="shared" ca="1" si="4"/>
        <v>201.12222745803632</v>
      </c>
      <c r="P42" s="47">
        <f t="shared" ca="1" si="5"/>
        <v>278.69104187314753</v>
      </c>
      <c r="Q42" s="45">
        <f t="shared" ca="1" si="6"/>
        <v>188.19409172218445</v>
      </c>
      <c r="R42" s="47">
        <f t="shared" ca="1" si="7"/>
        <v>291.61917760899939</v>
      </c>
      <c r="S42" s="73">
        <f t="shared" ca="1" si="15"/>
        <v>1</v>
      </c>
      <c r="T42" s="73"/>
      <c r="U42" s="3"/>
      <c r="V42" s="3"/>
      <c r="W42" s="3"/>
      <c r="X42" s="3"/>
    </row>
    <row r="43" spans="1:24" ht="14" thickBot="1">
      <c r="A43" s="40">
        <v>42184</v>
      </c>
      <c r="B43" s="41">
        <f t="array" aca="1" ref="B43" ca="1">IF(AND(A43 &gt; TODAY(), A43 &lt;= TODAY() + 7),
   INDEX(calculations!B:B, MATCH(143^143, calculations!B:B)),
   IF(ISNUMBER(MATCH(A43, calculations!A:A, 0)),
      INDEX(calculations!B:B, MATCH(A43, calculations!A:A, 0)),
      ""
   )
)</f>
        <v>256.64999999999998</v>
      </c>
      <c r="C43" s="42">
        <f t="array" aca="1" ref="C43" ca="1">IF(B43&lt;&gt;"", IF(MATCH(A43, calculations!A:A, 0), INDEX(calculations!D:D, MATCH(A43, calculations!A:A, 0)), "No Match"),"")</f>
        <v>115888900</v>
      </c>
      <c r="D43" s="43">
        <f t="shared" ca="1" si="8"/>
        <v>3.8984697595336272E-2</v>
      </c>
      <c r="E43" s="43">
        <f t="shared" ca="1" si="0"/>
        <v>6.8827387322552627E-4</v>
      </c>
      <c r="F43" s="43">
        <f t="shared" ca="1" si="13"/>
        <v>5.0838942622602405E-2</v>
      </c>
      <c r="G43" s="42">
        <f t="shared" ca="1" si="1"/>
        <v>29742886184.999996</v>
      </c>
      <c r="H43" s="41">
        <f t="shared" ca="1" si="14"/>
        <v>238.11288593459167</v>
      </c>
      <c r="I43" s="3"/>
      <c r="J43" s="43">
        <f t="shared" ca="1" si="12"/>
        <v>1</v>
      </c>
      <c r="K43" s="44" t="str">
        <f t="shared" ca="1" si="10"/>
        <v/>
      </c>
      <c r="L43" s="3"/>
      <c r="M43" s="45">
        <f t="shared" ca="1" si="2"/>
        <v>213.90207124312971</v>
      </c>
      <c r="N43" s="47">
        <f t="shared" ca="1" si="3"/>
        <v>262.32370062605361</v>
      </c>
      <c r="O43" s="45">
        <f t="shared" ca="1" si="4"/>
        <v>201.79666389739876</v>
      </c>
      <c r="P43" s="47">
        <f t="shared" ca="1" si="5"/>
        <v>274.42910797178462</v>
      </c>
      <c r="Q43" s="45">
        <f t="shared" ca="1" si="6"/>
        <v>189.69125655166775</v>
      </c>
      <c r="R43" s="47">
        <f t="shared" ca="1" si="7"/>
        <v>286.53451531751557</v>
      </c>
      <c r="S43" s="73">
        <f t="shared" ca="1" si="15"/>
        <v>1</v>
      </c>
      <c r="T43" s="73"/>
      <c r="U43" s="3"/>
      <c r="V43" s="3"/>
      <c r="W43" s="3"/>
      <c r="X43" s="3"/>
    </row>
    <row r="44" spans="1:24" ht="14" thickBot="1">
      <c r="A44" s="40">
        <v>42191</v>
      </c>
      <c r="B44" s="41">
        <f t="array" aca="1" ref="B44" ca="1">IF(AND(A44 &gt; TODAY(), A44 &lt;= TODAY() + 7),
   INDEX(calculations!B:B, MATCH(143^143, calculations!B:B)),
   IF(ISNUMBER(MATCH(A44, calculations!A:A, 0)),
      INDEX(calculations!B:B, MATCH(A44, calculations!A:A, 0)),
      ""
   )
)</f>
        <v>269.14</v>
      </c>
      <c r="C44" s="42">
        <f t="array" aca="1" ref="C44" ca="1">IF(B44&lt;&gt;"", IF(MATCH(A44, calculations!A:A, 0), INDEX(calculations!D:D, MATCH(A44, calculations!A:A, 0)), "No Match"),"")</f>
        <v>206668700</v>
      </c>
      <c r="D44" s="43">
        <f t="shared" ca="1" si="8"/>
        <v>4.866549775959482E-2</v>
      </c>
      <c r="E44" s="43">
        <f t="shared" ca="1" si="0"/>
        <v>1.2899428508550668E-3</v>
      </c>
      <c r="F44" s="43">
        <f t="shared" ca="1" si="13"/>
        <v>4.8481362576822049E-2</v>
      </c>
      <c r="G44" s="42">
        <f t="shared" ca="1" si="1"/>
        <v>55622813918</v>
      </c>
      <c r="H44" s="41">
        <f t="shared" ca="1" si="14"/>
        <v>240.35267258143398</v>
      </c>
      <c r="I44" s="3"/>
      <c r="J44" s="43">
        <f t="shared" ca="1" si="12"/>
        <v>-0.25088897326239662</v>
      </c>
      <c r="K44" s="44">
        <f t="shared" ca="1" si="10"/>
        <v>-2</v>
      </c>
      <c r="L44" s="3"/>
      <c r="M44" s="45">
        <f t="shared" ca="1" si="2"/>
        <v>217.04742244997658</v>
      </c>
      <c r="N44" s="47">
        <f t="shared" ca="1" si="3"/>
        <v>263.65792271289138</v>
      </c>
      <c r="O44" s="45">
        <f t="shared" ca="1" si="4"/>
        <v>205.39479738424788</v>
      </c>
      <c r="P44" s="47">
        <f t="shared" ca="1" si="5"/>
        <v>275.31054777862005</v>
      </c>
      <c r="Q44" s="45">
        <f t="shared" ca="1" si="6"/>
        <v>193.74217231851918</v>
      </c>
      <c r="R44" s="47">
        <f t="shared" ca="1" si="7"/>
        <v>286.96317284434878</v>
      </c>
      <c r="S44" s="73">
        <f t="shared" ca="1" si="15"/>
        <v>-0.25088897326239662</v>
      </c>
      <c r="T44" s="73"/>
      <c r="U44" s="3"/>
      <c r="V44" s="3"/>
      <c r="W44" s="3"/>
      <c r="X44" s="3"/>
    </row>
    <row r="45" spans="1:24" ht="14" thickBot="1">
      <c r="A45" s="40">
        <v>42198</v>
      </c>
      <c r="B45" s="41">
        <f t="array" aca="1" ref="B45" ca="1">IF(AND(A45 &gt; TODAY(), A45 &lt;= TODAY() + 7),
   INDEX(calculations!B:B, MATCH(143^143, calculations!B:B)),
   IF(ISNUMBER(MATCH(A45, calculations!A:A, 0)),
      INDEX(calculations!B:B, MATCH(A45, calculations!A:A, 0)),
      ""
   )
)</f>
        <v>292.64999999999998</v>
      </c>
      <c r="C45" s="42">
        <f t="array" aca="1" ref="C45" ca="1">IF(B45&lt;&gt;"", IF(MATCH(A45, calculations!A:A, 0), INDEX(calculations!D:D, MATCH(A45, calculations!A:A, 0)), "No Match"),"")</f>
        <v>353198700</v>
      </c>
      <c r="D45" s="43">
        <f t="shared" ca="1" si="8"/>
        <v>8.7352307349334885E-2</v>
      </c>
      <c r="E45" s="43">
        <f t="shared" ca="1" si="0"/>
        <v>5.5655455381609402E-3</v>
      </c>
      <c r="F45" s="43">
        <f t="shared" ca="1" si="13"/>
        <v>5.2744006580702552E-2</v>
      </c>
      <c r="G45" s="42">
        <f t="shared" ca="1" si="1"/>
        <v>103363599554.99998</v>
      </c>
      <c r="H45" s="41">
        <f t="shared" ca="1" si="14"/>
        <v>247.50494510822705</v>
      </c>
      <c r="I45" s="3"/>
      <c r="J45" s="43">
        <f t="shared" ca="1" si="12"/>
        <v>-0.41987754379509212</v>
      </c>
      <c r="K45" s="44">
        <f t="shared" ca="1" si="10"/>
        <v>-3</v>
      </c>
      <c r="L45" s="3"/>
      <c r="M45" s="45">
        <f t="shared" ca="1" si="2"/>
        <v>221.39614020113754</v>
      </c>
      <c r="N45" s="47">
        <f t="shared" ca="1" si="3"/>
        <v>273.61375001531655</v>
      </c>
      <c r="O45" s="45">
        <f t="shared" ca="1" si="4"/>
        <v>208.34173774759279</v>
      </c>
      <c r="P45" s="47">
        <f t="shared" ca="1" si="5"/>
        <v>286.66815246886131</v>
      </c>
      <c r="Q45" s="45">
        <f t="shared" ca="1" si="6"/>
        <v>195.28733529404803</v>
      </c>
      <c r="R45" s="47">
        <f t="shared" ca="1" si="7"/>
        <v>299.72255492240606</v>
      </c>
      <c r="S45" s="73">
        <f t="shared" ca="1" si="15"/>
        <v>-0.41987754379509212</v>
      </c>
      <c r="T45" s="73"/>
      <c r="U45" s="3"/>
      <c r="V45" s="3"/>
      <c r="W45" s="3"/>
      <c r="X45" s="3"/>
    </row>
    <row r="46" spans="1:24" ht="14" thickBot="1">
      <c r="A46" s="40">
        <v>42205</v>
      </c>
      <c r="B46" s="41">
        <f t="array" aca="1" ref="B46" ca="1">IF(AND(A46 &gt; TODAY(), A46 &lt;= TODAY() + 7),
   INDEX(calculations!B:B, MATCH(143^143, calculations!B:B)),
   IF(ISNUMBER(MATCH(A46, calculations!A:A, 0)),
      INDEX(calculations!B:B, MATCH(A46, calculations!A:A, 0)),
      ""
   )
)</f>
        <v>279.11</v>
      </c>
      <c r="C46" s="42">
        <f t="array" aca="1" ref="C46" ca="1">IF(B46&lt;&gt;"", IF(MATCH(A46, calculations!A:A, 0), INDEX(calculations!D:D, MATCH(A46, calculations!A:A, 0)), "No Match"),"")</f>
        <v>235861300</v>
      </c>
      <c r="D46" s="43">
        <f t="shared" ca="1" si="8"/>
        <v>-4.6266871689731641E-2</v>
      </c>
      <c r="E46" s="43">
        <f t="shared" ca="1" si="0"/>
        <v>3.4829584910463251E-3</v>
      </c>
      <c r="F46" s="43">
        <f t="shared" ca="1" si="13"/>
        <v>4.0967690655000805E-2</v>
      </c>
      <c r="G46" s="42">
        <f t="shared" ca="1" si="1"/>
        <v>65831247443</v>
      </c>
      <c r="H46" s="41">
        <f t="shared" ca="1" si="14"/>
        <v>252.09146971381534</v>
      </c>
      <c r="I46" s="3"/>
      <c r="J46" s="43">
        <f t="shared" ca="1" si="12"/>
        <v>-0.23857804920084899</v>
      </c>
      <c r="K46" s="44">
        <f t="shared" ca="1" si="10"/>
        <v>-2</v>
      </c>
      <c r="L46" s="3"/>
      <c r="M46" s="45">
        <f t="shared" ca="1" si="2"/>
        <v>231.43625901781516</v>
      </c>
      <c r="N46" s="47">
        <f t="shared" ca="1" si="3"/>
        <v>272.74668040981555</v>
      </c>
      <c r="O46" s="45">
        <f t="shared" ca="1" si="4"/>
        <v>221.10865366981508</v>
      </c>
      <c r="P46" s="47">
        <f t="shared" ca="1" si="5"/>
        <v>283.07428575781563</v>
      </c>
      <c r="Q46" s="45">
        <f t="shared" ca="1" si="6"/>
        <v>210.78104832181498</v>
      </c>
      <c r="R46" s="47">
        <f t="shared" ca="1" si="7"/>
        <v>293.40189110581571</v>
      </c>
      <c r="S46" s="73">
        <f t="shared" ca="1" si="15"/>
        <v>-0.23857804920084899</v>
      </c>
      <c r="T46" s="73"/>
      <c r="U46" s="3"/>
      <c r="V46" s="3"/>
      <c r="W46" s="3"/>
      <c r="X46" s="3"/>
    </row>
    <row r="47" spans="1:24" ht="14" thickBot="1">
      <c r="A47" s="40">
        <v>42212</v>
      </c>
      <c r="B47" s="41">
        <f t="array" aca="1" ref="B47" ca="1">IF(AND(A47 &gt; TODAY(), A47 &lt;= TODAY() + 7),
   INDEX(calculations!B:B, MATCH(143^143, calculations!B:B)),
   IF(ISNUMBER(MATCH(A47, calculations!A:A, 0)),
      INDEX(calculations!B:B, MATCH(A47, calculations!A:A, 0)),
      ""
   )
)</f>
        <v>294.43</v>
      </c>
      <c r="C47" s="42">
        <f t="array" aca="1" ref="C47" ca="1">IF(B47&lt;&gt;"", IF(MATCH(A47, calculations!A:A, 0), INDEX(calculations!D:D, MATCH(A47, calculations!A:A, 0)), "No Match"),"")</f>
        <v>157457100</v>
      </c>
      <c r="D47" s="43">
        <f t="shared" ca="1" si="8"/>
        <v>5.4888753538031576E-2</v>
      </c>
      <c r="E47" s="43">
        <f t="shared" ca="1" si="0"/>
        <v>1.7756978645004867E-3</v>
      </c>
      <c r="F47" s="43">
        <f t="shared" ca="1" si="13"/>
        <v>4.181256414106662E-2</v>
      </c>
      <c r="G47" s="42">
        <f t="shared" ca="1" si="1"/>
        <v>46360093953</v>
      </c>
      <c r="H47" s="41">
        <f t="shared" ca="1" si="14"/>
        <v>256.79844322425333</v>
      </c>
      <c r="I47" s="3"/>
      <c r="J47" s="43">
        <f t="shared" ca="1" si="12"/>
        <v>-0.31155543992154622</v>
      </c>
      <c r="K47" s="44">
        <f t="shared" ca="1" si="10"/>
        <v>-3</v>
      </c>
      <c r="L47" s="3"/>
      <c r="M47" s="45">
        <f t="shared" ca="1" si="2"/>
        <v>235.32364046697305</v>
      </c>
      <c r="N47" s="47">
        <f t="shared" ca="1" si="3"/>
        <v>278.27324598153359</v>
      </c>
      <c r="O47" s="45">
        <f t="shared" ca="1" si="4"/>
        <v>224.58623908833289</v>
      </c>
      <c r="P47" s="47">
        <f t="shared" ca="1" si="5"/>
        <v>289.01064736017378</v>
      </c>
      <c r="Q47" s="45">
        <f t="shared" ca="1" si="6"/>
        <v>213.84883770969273</v>
      </c>
      <c r="R47" s="47">
        <f t="shared" ca="1" si="7"/>
        <v>299.74804873881391</v>
      </c>
      <c r="S47" s="73">
        <f t="shared" ca="1" si="15"/>
        <v>-0.31155543992154622</v>
      </c>
      <c r="T47" s="73"/>
      <c r="U47" s="3"/>
      <c r="V47" s="3"/>
      <c r="W47" s="3"/>
      <c r="X47" s="3"/>
    </row>
    <row r="48" spans="1:24" ht="14" thickBot="1">
      <c r="A48" s="40">
        <v>42219</v>
      </c>
      <c r="B48" s="41">
        <f t="array" aca="1" ref="B48" ca="1">IF(AND(A48 &gt; TODAY(), A48 &lt;= TODAY() + 7),
   INDEX(calculations!B:B, MATCH(143^143, calculations!B:B)),
   IF(ISNUMBER(MATCH(A48, calculations!A:A, 0)),
      INDEX(calculations!B:B, MATCH(A48, calculations!A:A, 0)),
      ""
   )
)</f>
        <v>282.19</v>
      </c>
      <c r="C48" s="42">
        <f t="array" aca="1" ref="C48" ca="1">IF(B48&lt;&gt;"", IF(MATCH(A48, calculations!A:A, 0), INDEX(calculations!D:D, MATCH(A48, calculations!A:A, 0)), "No Match"),"")</f>
        <v>162700300</v>
      </c>
      <c r="D48" s="43">
        <f t="shared" ca="1" si="8"/>
        <v>-4.1571850694562408E-2</v>
      </c>
      <c r="E48" s="43">
        <f t="shared" ca="1" si="0"/>
        <v>2.9508334075649414E-3</v>
      </c>
      <c r="F48" s="43">
        <f t="shared" ca="1" si="13"/>
        <v>4.494794007391633E-2</v>
      </c>
      <c r="G48" s="42">
        <f t="shared" ca="1" si="1"/>
        <v>45912397657</v>
      </c>
      <c r="H48" s="41">
        <f t="shared" ca="1" si="14"/>
        <v>260.42366588612799</v>
      </c>
      <c r="I48" s="3"/>
      <c r="J48" s="43">
        <f t="shared" ca="1" si="12"/>
        <v>1</v>
      </c>
      <c r="K48" s="44" t="str">
        <f t="shared" ca="1" si="10"/>
        <v/>
      </c>
      <c r="L48" s="3"/>
      <c r="M48" s="45">
        <f t="shared" ca="1" si="2"/>
        <v>237.01265122996941</v>
      </c>
      <c r="N48" s="47">
        <f t="shared" ca="1" si="3"/>
        <v>283.83468054228655</v>
      </c>
      <c r="O48" s="45">
        <f t="shared" ca="1" si="4"/>
        <v>225.30714390189013</v>
      </c>
      <c r="P48" s="47">
        <f t="shared" ca="1" si="5"/>
        <v>295.54018787036586</v>
      </c>
      <c r="Q48" s="45">
        <f t="shared" ca="1" si="6"/>
        <v>213.60163657381082</v>
      </c>
      <c r="R48" s="47">
        <f t="shared" ca="1" si="7"/>
        <v>307.24569519844516</v>
      </c>
      <c r="S48" s="73">
        <f t="shared" ca="1" si="15"/>
        <v>1</v>
      </c>
      <c r="T48" s="73"/>
      <c r="U48" s="3"/>
      <c r="V48" s="3"/>
      <c r="W48" s="3"/>
      <c r="X48" s="3"/>
    </row>
    <row r="49" spans="1:24" ht="14" thickBot="1">
      <c r="A49" s="40">
        <v>42226</v>
      </c>
      <c r="B49" s="41">
        <f t="array" aca="1" ref="B49" ca="1">IF(AND(A49 &gt; TODAY(), A49 &lt;= TODAY() + 7),
   INDEX(calculations!B:B, MATCH(143^143, calculations!B:B)),
   IF(ISNUMBER(MATCH(A49, calculations!A:A, 0)),
      INDEX(calculations!B:B, MATCH(A49, calculations!A:A, 0)),
      ""
   )
)</f>
        <v>264.93</v>
      </c>
      <c r="C49" s="42">
        <f t="array" aca="1" ref="C49" ca="1">IF(B49&lt;&gt;"", IF(MATCH(A49, calculations!A:A, 0), INDEX(calculations!D:D, MATCH(A49, calculations!A:A, 0)), "No Match"),"")</f>
        <v>207110300</v>
      </c>
      <c r="D49" s="43">
        <f t="shared" ca="1" si="8"/>
        <v>-6.1164463659236654E-2</v>
      </c>
      <c r="E49" s="43">
        <f t="shared" ca="1" si="0"/>
        <v>5.4633070424420574E-3</v>
      </c>
      <c r="F49" s="43">
        <f t="shared" ca="1" si="13"/>
        <v>4.8186479887408484E-2</v>
      </c>
      <c r="G49" s="42">
        <f t="shared" ca="1" si="1"/>
        <v>54869731779</v>
      </c>
      <c r="H49" s="41">
        <f t="shared" ca="1" si="14"/>
        <v>262.27207129375239</v>
      </c>
      <c r="I49" s="3"/>
      <c r="J49" s="43">
        <f t="shared" ca="1" si="12"/>
        <v>1</v>
      </c>
      <c r="K49" s="44" t="str">
        <f t="shared" ca="1" si="10"/>
        <v/>
      </c>
      <c r="L49" s="3"/>
      <c r="M49" s="45">
        <f t="shared" ca="1" si="2"/>
        <v>236.99613551690166</v>
      </c>
      <c r="N49" s="47">
        <f t="shared" ca="1" si="3"/>
        <v>287.54800707060315</v>
      </c>
      <c r="O49" s="45">
        <f t="shared" ca="1" si="4"/>
        <v>224.35816762847631</v>
      </c>
      <c r="P49" s="47">
        <f t="shared" ca="1" si="5"/>
        <v>300.18597495902844</v>
      </c>
      <c r="Q49" s="45">
        <f t="shared" ca="1" si="6"/>
        <v>211.72019974005093</v>
      </c>
      <c r="R49" s="47">
        <f t="shared" ca="1" si="7"/>
        <v>312.82394284745385</v>
      </c>
      <c r="S49" s="73">
        <f t="shared" ca="1" si="15"/>
        <v>1</v>
      </c>
      <c r="T49" s="73"/>
      <c r="U49" s="3"/>
      <c r="V49" s="3"/>
      <c r="W49" s="3"/>
      <c r="X49" s="3"/>
    </row>
    <row r="50" spans="1:24" ht="14" thickBot="1">
      <c r="A50" s="40">
        <v>42233</v>
      </c>
      <c r="B50" s="41">
        <f t="array" aca="1" ref="B50" ca="1">IF(AND(A50 &gt; TODAY(), A50 &lt;= TODAY() + 7),
   INDEX(calculations!B:B, MATCH(143^143, calculations!B:B)),
   IF(ISNUMBER(MATCH(A50, calculations!A:A, 0)),
      INDEX(calculations!B:B, MATCH(A50, calculations!A:A, 0)),
      ""
   )
)</f>
        <v>258.01</v>
      </c>
      <c r="C50" s="42">
        <f t="array" aca="1" ref="C50" ca="1">IF(B50&lt;&gt;"", IF(MATCH(A50, calculations!A:A, 0), INDEX(calculations!D:D, MATCH(A50, calculations!A:A, 0)), "No Match"),"")</f>
        <v>177043500</v>
      </c>
      <c r="D50" s="43">
        <f t="shared" ca="1" si="8"/>
        <v>-2.6120107198127868E-2</v>
      </c>
      <c r="E50" s="43">
        <f t="shared" ca="1" si="0"/>
        <v>1.5108637274741986E-3</v>
      </c>
      <c r="F50" s="43">
        <f t="shared" ca="1" si="13"/>
        <v>4.9022045940296251E-2</v>
      </c>
      <c r="G50" s="42">
        <f t="shared" ca="1" si="1"/>
        <v>45678993435</v>
      </c>
      <c r="H50" s="41">
        <f t="shared" ca="1" si="14"/>
        <v>263.34178907240039</v>
      </c>
      <c r="I50" s="3"/>
      <c r="J50" s="43">
        <f t="shared" ca="1" si="12"/>
        <v>1</v>
      </c>
      <c r="K50" s="44" t="str">
        <f t="shared" ca="1" si="10"/>
        <v/>
      </c>
      <c r="L50" s="3"/>
      <c r="M50" s="45">
        <f t="shared" ca="1" si="2"/>
        <v>237.52268250858637</v>
      </c>
      <c r="N50" s="47">
        <f t="shared" ca="1" si="3"/>
        <v>289.16089563621443</v>
      </c>
      <c r="O50" s="45">
        <f t="shared" ca="1" si="4"/>
        <v>224.61312922667935</v>
      </c>
      <c r="P50" s="47">
        <f t="shared" ca="1" si="5"/>
        <v>302.07044891812149</v>
      </c>
      <c r="Q50" s="45">
        <f t="shared" ca="1" si="6"/>
        <v>211.70357594477233</v>
      </c>
      <c r="R50" s="47">
        <f t="shared" ca="1" si="7"/>
        <v>314.98000220002842</v>
      </c>
      <c r="S50" s="73">
        <f t="shared" ca="1" si="15"/>
        <v>1</v>
      </c>
      <c r="T50" s="73"/>
      <c r="U50" s="3"/>
      <c r="V50" s="3"/>
      <c r="W50" s="3"/>
      <c r="X50" s="3"/>
    </row>
    <row r="51" spans="1:24" ht="14" thickBot="1">
      <c r="A51" s="40">
        <v>42240</v>
      </c>
      <c r="B51" s="41">
        <f t="array" aca="1" ref="B51" ca="1">IF(AND(A51 &gt; TODAY(), A51 &lt;= TODAY() + 7),
   INDEX(calculations!B:B, MATCH(143^143, calculations!B:B)),
   IF(ISNUMBER(MATCH(A51, calculations!A:A, 0)),
      INDEX(calculations!B:B, MATCH(A51, calculations!A:A, 0)),
      ""
   )
)</f>
        <v>211.96</v>
      </c>
      <c r="C51" s="42">
        <f t="array" aca="1" ref="C51" ca="1">IF(B51&lt;&gt;"", IF(MATCH(A51, calculations!A:A, 0), INDEX(calculations!D:D, MATCH(A51, calculations!A:A, 0)), "No Match"),"")</f>
        <v>221695600</v>
      </c>
      <c r="D51" s="43">
        <f t="shared" ca="1" si="8"/>
        <v>-0.17848145420720121</v>
      </c>
      <c r="E51" s="43">
        <f t="shared" ca="1" si="0"/>
        <v>3.6569363273033083E-2</v>
      </c>
      <c r="F51" s="43">
        <f t="shared" ca="1" si="13"/>
        <v>6.8935387483498242E-2</v>
      </c>
      <c r="G51" s="42">
        <f t="shared" ca="1" si="1"/>
        <v>46990599376</v>
      </c>
      <c r="H51" s="41">
        <f t="shared" ca="1" si="14"/>
        <v>260.36630015716065</v>
      </c>
      <c r="I51" s="3"/>
      <c r="J51" s="43">
        <f t="shared" ca="1" si="12"/>
        <v>2.5309749110642858</v>
      </c>
      <c r="K51" s="44">
        <f t="shared" ca="1" si="10"/>
        <v>2</v>
      </c>
      <c r="L51" s="3"/>
      <c r="M51" s="45">
        <f t="shared" ca="1" si="2"/>
        <v>224.46939657920328</v>
      </c>
      <c r="N51" s="47">
        <f t="shared" ca="1" si="3"/>
        <v>296.263203735118</v>
      </c>
      <c r="O51" s="45">
        <f t="shared" ca="1" si="4"/>
        <v>206.52094479022463</v>
      </c>
      <c r="P51" s="47">
        <f t="shared" ca="1" si="5"/>
        <v>314.21165552409667</v>
      </c>
      <c r="Q51" s="45">
        <f t="shared" ca="1" si="6"/>
        <v>188.57249300124593</v>
      </c>
      <c r="R51" s="47">
        <f t="shared" ca="1" si="7"/>
        <v>332.1601073130754</v>
      </c>
      <c r="S51" s="73">
        <f t="shared" ca="1" si="15"/>
        <v>2.5309749110642858</v>
      </c>
      <c r="T51" s="73"/>
      <c r="U51" s="3"/>
      <c r="V51" s="3"/>
      <c r="W51" s="3"/>
      <c r="X51" s="3"/>
    </row>
    <row r="52" spans="1:24" ht="14" thickBot="1">
      <c r="A52" s="40">
        <v>42247</v>
      </c>
      <c r="B52" s="41">
        <f t="array" aca="1" ref="B52" ca="1">IF(AND(A52 &gt; TODAY(), A52 &lt;= TODAY() + 7),
   INDEX(calculations!B:B, MATCH(143^143, calculations!B:B)),
   IF(ISNUMBER(MATCH(A52, calculations!A:A, 0)),
      INDEX(calculations!B:B, MATCH(A52, calculations!A:A, 0)),
      ""
   )
)</f>
        <v>230.69</v>
      </c>
      <c r="C52" s="42">
        <f t="array" aca="1" ref="C52" ca="1">IF(B52&lt;&gt;"", IF(MATCH(A52, calculations!A:A, 0), INDEX(calculations!D:D, MATCH(A52, calculations!A:A, 0)), "No Match"),"")</f>
        <v>241915000</v>
      </c>
      <c r="D52" s="43">
        <f t="shared" ca="1" si="8"/>
        <v>8.836572938290238E-2</v>
      </c>
      <c r="E52" s="43">
        <f t="shared" ca="1" si="0"/>
        <v>5.7177803671345211E-3</v>
      </c>
      <c r="F52" s="43">
        <f t="shared" ca="1" si="13"/>
        <v>7.313444049092456E-2</v>
      </c>
      <c r="G52" s="42">
        <f t="shared" ca="1" si="1"/>
        <v>55807371350</v>
      </c>
      <c r="H52" s="41">
        <f t="shared" ca="1" si="14"/>
        <v>258.65038274997414</v>
      </c>
      <c r="I52" s="3"/>
      <c r="J52" s="43">
        <f t="shared" ca="1" si="12"/>
        <v>1</v>
      </c>
      <c r="K52" s="44" t="str">
        <f t="shared" ca="1" si="10"/>
        <v/>
      </c>
      <c r="L52" s="3"/>
      <c r="M52" s="45">
        <f t="shared" ca="1" si="2"/>
        <v>220.81788069960845</v>
      </c>
      <c r="N52" s="47">
        <f t="shared" ca="1" si="3"/>
        <v>296.48288480033983</v>
      </c>
      <c r="O52" s="45">
        <f t="shared" ca="1" si="4"/>
        <v>201.90162967442558</v>
      </c>
      <c r="P52" s="47">
        <f t="shared" ca="1" si="5"/>
        <v>315.39913582552271</v>
      </c>
      <c r="Q52" s="45">
        <f t="shared" ca="1" si="6"/>
        <v>182.98537864924279</v>
      </c>
      <c r="R52" s="47">
        <f t="shared" ca="1" si="7"/>
        <v>334.31538685070552</v>
      </c>
      <c r="S52" s="73">
        <f t="shared" ca="1" si="15"/>
        <v>1</v>
      </c>
      <c r="T52" s="73"/>
      <c r="U52" s="3"/>
      <c r="V52" s="3"/>
      <c r="W52" s="3"/>
      <c r="X52" s="3"/>
    </row>
    <row r="53" spans="1:24" ht="14" thickBot="1">
      <c r="A53" s="40">
        <v>42254</v>
      </c>
      <c r="B53" s="41">
        <f t="array" aca="1" ref="B53" ca="1">IF(AND(A53 &gt; TODAY(), A53 &lt;= TODAY() + 7),
   INDEX(calculations!B:B, MATCH(143^143, calculations!B:B)),
   IF(ISNUMBER(MATCH(A53, calculations!A:A, 0)),
      INDEX(calculations!B:B, MATCH(A53, calculations!A:A, 0)),
      ""
   )
)</f>
        <v>240.63</v>
      </c>
      <c r="C53" s="42">
        <f t="array" aca="1" ref="C53" ca="1">IF(B53&lt;&gt;"", IF(MATCH(A53, calculations!A:A, 0), INDEX(calculations!D:D, MATCH(A53, calculations!A:A, 0)), "No Match"),"")</f>
        <v>144635800</v>
      </c>
      <c r="D53" s="43">
        <f t="shared" ca="1" si="8"/>
        <v>4.3088126923577087E-2</v>
      </c>
      <c r="E53" s="43">
        <f t="shared" ca="1" si="0"/>
        <v>9.2041873089837079E-4</v>
      </c>
      <c r="F53" s="43">
        <f t="shared" ca="1" si="13"/>
        <v>7.1881711583417301E-2</v>
      </c>
      <c r="G53" s="42">
        <f t="shared" ca="1" si="1"/>
        <v>34803712554</v>
      </c>
      <c r="H53" s="41">
        <f t="shared" ca="1" si="14"/>
        <v>259.09552531042505</v>
      </c>
      <c r="I53" s="3"/>
      <c r="J53" s="43">
        <f t="shared" ca="1" si="12"/>
        <v>1</v>
      </c>
      <c r="K53" s="44" t="str">
        <f t="shared" ca="1" si="10"/>
        <v/>
      </c>
      <c r="L53" s="3"/>
      <c r="M53" s="45">
        <f t="shared" ca="1" si="2"/>
        <v>221.84706566458911</v>
      </c>
      <c r="N53" s="47">
        <f t="shared" ca="1" si="3"/>
        <v>296.34398495626095</v>
      </c>
      <c r="O53" s="45">
        <f t="shared" ca="1" si="4"/>
        <v>203.22283584167113</v>
      </c>
      <c r="P53" s="47">
        <f t="shared" ca="1" si="5"/>
        <v>314.96821477917899</v>
      </c>
      <c r="Q53" s="45">
        <f t="shared" ca="1" si="6"/>
        <v>184.59860601875317</v>
      </c>
      <c r="R53" s="47">
        <f t="shared" ca="1" si="7"/>
        <v>333.59244460209692</v>
      </c>
      <c r="S53" s="73">
        <f t="shared" ca="1" si="15"/>
        <v>1</v>
      </c>
      <c r="T53" s="73"/>
      <c r="U53" s="3"/>
      <c r="V53" s="3"/>
      <c r="W53" s="3"/>
      <c r="X53" s="3"/>
    </row>
    <row r="54" spans="1:24" ht="14" thickBot="1">
      <c r="A54" s="40">
        <v>42261</v>
      </c>
      <c r="B54" s="41">
        <f t="array" aca="1" ref="B54" ca="1">IF(AND(A54 &gt; TODAY(), A54 &lt;= TODAY() + 7),
   INDEX(calculations!B:B, MATCH(143^143, calculations!B:B)),
   IF(ISNUMBER(MATCH(A54, calculations!A:A, 0)),
      INDEX(calculations!B:B, MATCH(A54, calculations!A:A, 0)),
      ""
   )
)</f>
        <v>230.95</v>
      </c>
      <c r="C54" s="42">
        <f t="array" aca="1" ref="C54" ca="1">IF(B54&lt;&gt;"", IF(MATCH(A54, calculations!A:A, 0), INDEX(calculations!D:D, MATCH(A54, calculations!A:A, 0)), "No Match"),"")</f>
        <v>148588700</v>
      </c>
      <c r="D54" s="43">
        <f t="shared" ca="1" si="8"/>
        <v>-4.0227735527573485E-2</v>
      </c>
      <c r="E54" s="43">
        <f t="shared" ca="1" si="0"/>
        <v>2.8066111499891301E-3</v>
      </c>
      <c r="F54" s="43">
        <f t="shared" ca="1" si="13"/>
        <v>7.2805510633099341E-2</v>
      </c>
      <c r="G54" s="42">
        <f t="shared" ca="1" si="1"/>
        <v>34316560265</v>
      </c>
      <c r="H54" s="41">
        <f t="shared" ca="1" si="14"/>
        <v>258.91068501681463</v>
      </c>
      <c r="I54" s="3"/>
      <c r="J54" s="43">
        <f t="shared" ca="1" si="12"/>
        <v>1</v>
      </c>
      <c r="K54" s="44" t="str">
        <f t="shared" ca="1" si="10"/>
        <v/>
      </c>
      <c r="L54" s="3"/>
      <c r="M54" s="45">
        <f t="shared" ca="1" si="2"/>
        <v>221.21043575478515</v>
      </c>
      <c r="N54" s="47">
        <f t="shared" ca="1" si="3"/>
        <v>296.61093427884413</v>
      </c>
      <c r="O54" s="45">
        <f t="shared" ca="1" si="4"/>
        <v>202.36031112377043</v>
      </c>
      <c r="P54" s="47">
        <f t="shared" ca="1" si="5"/>
        <v>315.46105890985882</v>
      </c>
      <c r="Q54" s="45">
        <f t="shared" ca="1" si="6"/>
        <v>183.51018649275571</v>
      </c>
      <c r="R54" s="47">
        <f t="shared" ca="1" si="7"/>
        <v>334.31118354087357</v>
      </c>
      <c r="S54" s="73">
        <f t="shared" ca="1" si="15"/>
        <v>1</v>
      </c>
      <c r="T54" s="73"/>
      <c r="U54" s="3"/>
      <c r="V54" s="3"/>
      <c r="W54" s="3"/>
      <c r="X54" s="3"/>
    </row>
    <row r="55" spans="1:24" ht="14" thickBot="1">
      <c r="A55" s="40">
        <v>42268</v>
      </c>
      <c r="B55" s="41">
        <f t="array" aca="1" ref="B55" ca="1">IF(AND(A55 &gt; TODAY(), A55 &lt;= TODAY() + 7),
   INDEX(calculations!B:B, MATCH(143^143, calculations!B:B)),
   IF(ISNUMBER(MATCH(A55, calculations!A:A, 0)),
      INDEX(calculations!B:B, MATCH(A55, calculations!A:A, 0)),
      ""
   )
)</f>
        <v>226.77</v>
      </c>
      <c r="C55" s="42">
        <f t="array" aca="1" ref="C55" ca="1">IF(B55&lt;&gt;"", IF(MATCH(A55, calculations!A:A, 0), INDEX(calculations!D:D, MATCH(A55, calculations!A:A, 0)), "No Match"),"")</f>
        <v>126654700</v>
      </c>
      <c r="D55" s="43">
        <f t="shared" ca="1" si="8"/>
        <v>-1.809915566139848E-2</v>
      </c>
      <c r="E55" s="43">
        <f t="shared" ca="1" si="0"/>
        <v>9.5165333676309224E-4</v>
      </c>
      <c r="F55" s="43">
        <f t="shared" ca="1" si="13"/>
        <v>7.2405212007620137E-2</v>
      </c>
      <c r="G55" s="42">
        <f t="shared" ca="1" si="1"/>
        <v>28721486319</v>
      </c>
      <c r="H55" s="41">
        <f t="shared" ca="1" si="14"/>
        <v>258.39704063827736</v>
      </c>
      <c r="I55" s="3"/>
      <c r="J55" s="43">
        <f t="shared" ca="1" si="12"/>
        <v>1</v>
      </c>
      <c r="K55" s="44" t="str">
        <f t="shared" ca="1" si="10"/>
        <v/>
      </c>
      <c r="L55" s="3"/>
      <c r="M55" s="45">
        <f t="shared" ca="1" si="2"/>
        <v>220.97845561916515</v>
      </c>
      <c r="N55" s="47">
        <f t="shared" ca="1" si="3"/>
        <v>295.8156256573896</v>
      </c>
      <c r="O55" s="45">
        <f t="shared" ca="1" si="4"/>
        <v>202.26916310960902</v>
      </c>
      <c r="P55" s="47">
        <f t="shared" ca="1" si="5"/>
        <v>314.52491816694572</v>
      </c>
      <c r="Q55" s="45">
        <f t="shared" ca="1" si="6"/>
        <v>183.55987060005293</v>
      </c>
      <c r="R55" s="47">
        <f t="shared" ca="1" si="7"/>
        <v>333.23421067650179</v>
      </c>
      <c r="S55" s="73">
        <f t="shared" ca="1" si="15"/>
        <v>1</v>
      </c>
      <c r="T55" s="73"/>
      <c r="U55" s="3"/>
      <c r="V55" s="3"/>
      <c r="W55" s="3"/>
      <c r="X55" s="3"/>
    </row>
    <row r="56" spans="1:24" ht="14" thickBot="1">
      <c r="A56" s="40">
        <v>42275</v>
      </c>
      <c r="B56" s="41">
        <f t="array" aca="1" ref="B56" ca="1">IF(AND(A56 &gt; TODAY(), A56 &lt;= TODAY() + 7),
   INDEX(calculations!B:B, MATCH(143^143, calculations!B:B)),
   IF(ISNUMBER(MATCH(A56, calculations!A:A, 0)),
      INDEX(calculations!B:B, MATCH(A56, calculations!A:A, 0)),
      ""
   )
)</f>
        <v>240.02</v>
      </c>
      <c r="C56" s="42">
        <f t="array" aca="1" ref="C56" ca="1">IF(B56&lt;&gt;"", IF(MATCH(A56, calculations!A:A, 0), INDEX(calculations!D:D, MATCH(A56, calculations!A:A, 0)), "No Match"),"")</f>
        <v>137307600</v>
      </c>
      <c r="D56" s="43">
        <f t="shared" ca="1" si="8"/>
        <v>5.8429245491026148E-2</v>
      </c>
      <c r="E56" s="43">
        <f t="shared" ca="1" si="0"/>
        <v>2.0866187422873975E-3</v>
      </c>
      <c r="F56" s="43">
        <f t="shared" ca="1" si="13"/>
        <v>7.3222360873566913E-2</v>
      </c>
      <c r="G56" s="42">
        <f t="shared" ca="1" si="1"/>
        <v>32956570152</v>
      </c>
      <c r="H56" s="41">
        <f t="shared" ca="1" si="14"/>
        <v>258.26650637483709</v>
      </c>
      <c r="I56" s="3"/>
      <c r="J56" s="43">
        <f t="shared" ca="1" si="12"/>
        <v>1</v>
      </c>
      <c r="K56" s="44" t="str">
        <f t="shared" ca="1" si="10"/>
        <v/>
      </c>
      <c r="L56" s="3"/>
      <c r="M56" s="45">
        <f t="shared" ca="1" si="2"/>
        <v>220.44473971216971</v>
      </c>
      <c r="N56" s="47">
        <f t="shared" ca="1" si="3"/>
        <v>296.08827303750451</v>
      </c>
      <c r="O56" s="45">
        <f t="shared" ca="1" si="4"/>
        <v>201.533856380836</v>
      </c>
      <c r="P56" s="47">
        <f t="shared" ca="1" si="5"/>
        <v>314.99915636883816</v>
      </c>
      <c r="Q56" s="45">
        <f t="shared" ca="1" si="6"/>
        <v>182.62297304950232</v>
      </c>
      <c r="R56" s="47">
        <f t="shared" ca="1" si="7"/>
        <v>333.91003970017186</v>
      </c>
      <c r="S56" s="73">
        <f t="shared" ca="1" si="15"/>
        <v>1</v>
      </c>
      <c r="T56" s="73"/>
      <c r="U56" s="3"/>
      <c r="V56" s="3"/>
      <c r="W56" s="3"/>
      <c r="X56" s="3"/>
    </row>
    <row r="57" spans="1:24" ht="14" thickBot="1">
      <c r="A57" s="40">
        <v>42282</v>
      </c>
      <c r="B57" s="41">
        <f t="array" aca="1" ref="B57" ca="1">IF(AND(A57 &gt; TODAY(), A57 &lt;= TODAY() + 7),
   INDEX(calculations!B:B, MATCH(143^143, calculations!B:B)),
   IF(ISNUMBER(MATCH(A57, calculations!A:A, 0)),
      INDEX(calculations!B:B, MATCH(A57, calculations!A:A, 0)),
      ""
   )
)</f>
        <v>240.96</v>
      </c>
      <c r="C57" s="42">
        <f t="array" aca="1" ref="C57" ca="1">IF(B57&lt;&gt;"", IF(MATCH(A57, calculations!A:A, 0), INDEX(calculations!D:D, MATCH(A57, calculations!A:A, 0)), "No Match"),"")</f>
        <v>136796200</v>
      </c>
      <c r="D57" s="43">
        <f t="shared" ca="1" si="8"/>
        <v>3.9163403049745759E-3</v>
      </c>
      <c r="E57" s="43">
        <f t="shared" ca="1" si="0"/>
        <v>7.8028656164228128E-5</v>
      </c>
      <c r="F57" s="43">
        <f t="shared" ca="1" si="13"/>
        <v>7.240200956251848E-2</v>
      </c>
      <c r="G57" s="42">
        <f t="shared" ca="1" si="1"/>
        <v>32962412352</v>
      </c>
      <c r="H57" s="41">
        <f t="shared" ca="1" si="14"/>
        <v>257.4461791319232</v>
      </c>
      <c r="I57" s="3"/>
      <c r="J57" s="43">
        <f t="shared" ca="1" si="12"/>
        <v>1</v>
      </c>
      <c r="K57" s="44" t="str">
        <f t="shared" ca="1" si="10"/>
        <v/>
      </c>
      <c r="L57" s="3"/>
      <c r="M57" s="45">
        <f t="shared" ca="1" si="2"/>
        <v>220.16693768523652</v>
      </c>
      <c r="N57" s="47">
        <f t="shared" ca="1" si="3"/>
        <v>294.72542057860994</v>
      </c>
      <c r="O57" s="45">
        <f t="shared" ca="1" si="4"/>
        <v>201.52731696189315</v>
      </c>
      <c r="P57" s="47">
        <f t="shared" ca="1" si="5"/>
        <v>313.36504130195323</v>
      </c>
      <c r="Q57" s="45">
        <f t="shared" ca="1" si="6"/>
        <v>182.88769623854981</v>
      </c>
      <c r="R57" s="47">
        <f t="shared" ca="1" si="7"/>
        <v>332.00466202529657</v>
      </c>
      <c r="S57" s="73">
        <f t="shared" ca="1" si="15"/>
        <v>1</v>
      </c>
      <c r="T57" s="73"/>
      <c r="U57" s="3"/>
      <c r="V57" s="3"/>
      <c r="W57" s="3"/>
      <c r="X57" s="3"/>
    </row>
    <row r="58" spans="1:24" ht="14" thickBot="1">
      <c r="A58" s="40">
        <v>42289</v>
      </c>
      <c r="B58" s="41">
        <f t="array" aca="1" ref="B58" ca="1">IF(AND(A58 &gt; TODAY(), A58 &lt;= TODAY() + 7),
   INDEX(calculations!B:B, MATCH(143^143, calculations!B:B)),
   IF(ISNUMBER(MATCH(A58, calculations!A:A, 0)),
      INDEX(calculations!B:B, MATCH(A58, calculations!A:A, 0)),
      ""
   )
)</f>
        <v>246.09</v>
      </c>
      <c r="C58" s="42">
        <f t="array" aca="1" ref="C58" ca="1">IF(B58&lt;&gt;"", IF(MATCH(A58, calculations!A:A, 0), INDEX(calculations!D:D, MATCH(A58, calculations!A:A, 0)), "No Match"),"")</f>
        <v>142478600</v>
      </c>
      <c r="D58" s="43">
        <f t="shared" ca="1" si="8"/>
        <v>2.128984063745018E-2</v>
      </c>
      <c r="E58" s="43">
        <f t="shared" ca="1" si="0"/>
        <v>7.2933603144103524E-5</v>
      </c>
      <c r="F58" s="43">
        <f t="shared" ca="1" si="13"/>
        <v>7.1291160729841457E-2</v>
      </c>
      <c r="G58" s="42">
        <f t="shared" ca="1" si="1"/>
        <v>35062558674</v>
      </c>
      <c r="H58" s="41">
        <f t="shared" ca="1" si="14"/>
        <v>255.89042539505584</v>
      </c>
      <c r="I58" s="3"/>
      <c r="J58" s="43">
        <f t="shared" ca="1" si="12"/>
        <v>1</v>
      </c>
      <c r="K58" s="44" t="str">
        <f t="shared" ca="1" si="10"/>
        <v/>
      </c>
      <c r="L58" s="3"/>
      <c r="M58" s="45">
        <f t="shared" ca="1" si="2"/>
        <v>219.40497450292298</v>
      </c>
      <c r="N58" s="47">
        <f t="shared" ca="1" si="3"/>
        <v>292.3758762871887</v>
      </c>
      <c r="O58" s="45">
        <f t="shared" ca="1" si="4"/>
        <v>201.16224905685655</v>
      </c>
      <c r="P58" s="47">
        <f t="shared" ca="1" si="5"/>
        <v>310.6186017332551</v>
      </c>
      <c r="Q58" s="45">
        <f t="shared" ca="1" si="6"/>
        <v>182.91952361079012</v>
      </c>
      <c r="R58" s="47">
        <f t="shared" ca="1" si="7"/>
        <v>328.86132717932156</v>
      </c>
      <c r="S58" s="73">
        <f t="shared" ca="1" si="15"/>
        <v>1</v>
      </c>
      <c r="T58" s="73"/>
      <c r="U58" s="3"/>
      <c r="V58" s="3"/>
      <c r="W58" s="3"/>
      <c r="X58" s="3"/>
    </row>
    <row r="59" spans="1:24" ht="14" thickBot="1">
      <c r="A59" s="40">
        <v>42296</v>
      </c>
      <c r="B59" s="41">
        <f t="array" aca="1" ref="B59" ca="1">IF(AND(A59 &gt; TODAY(), A59 &lt;= TODAY() + 7),
   INDEX(calculations!B:B, MATCH(143^143, calculations!B:B)),
   IF(ISNUMBER(MATCH(A59, calculations!A:A, 0)),
      INDEX(calculations!B:B, MATCH(A59, calculations!A:A, 0)),
      ""
   )
)</f>
        <v>264.36</v>
      </c>
      <c r="C59" s="42">
        <f t="array" aca="1" ref="C59" ca="1">IF(B59&lt;&gt;"", IF(MATCH(A59, calculations!A:A, 0), INDEX(calculations!D:D, MATCH(A59, calculations!A:A, 0)), "No Match"),"")</f>
        <v>199808300</v>
      </c>
      <c r="D59" s="43">
        <f t="shared" ca="1" si="8"/>
        <v>7.4241131293429269E-2</v>
      </c>
      <c r="E59" s="43">
        <f t="shared" ca="1" si="0"/>
        <v>3.7811932498622203E-3</v>
      </c>
      <c r="F59" s="43">
        <f t="shared" ca="1" si="13"/>
        <v>7.0075978751145185E-2</v>
      </c>
      <c r="G59" s="42">
        <f t="shared" ca="1" si="1"/>
        <v>52821322188</v>
      </c>
      <c r="H59" s="41">
        <f t="shared" ca="1" si="14"/>
        <v>251.26300842522684</v>
      </c>
      <c r="I59" s="3"/>
      <c r="J59" s="43">
        <f t="shared" ca="1" si="12"/>
        <v>1</v>
      </c>
      <c r="K59" s="44" t="str">
        <f t="shared" ca="1" si="10"/>
        <v/>
      </c>
      <c r="L59" s="3"/>
      <c r="M59" s="45">
        <f t="shared" ca="1" si="2"/>
        <v>216.04800594651681</v>
      </c>
      <c r="N59" s="47">
        <f t="shared" ca="1" si="3"/>
        <v>286.47801090393682</v>
      </c>
      <c r="O59" s="45">
        <f t="shared" ca="1" si="4"/>
        <v>198.44050470716181</v>
      </c>
      <c r="P59" s="47">
        <f t="shared" ca="1" si="5"/>
        <v>304.08551214329191</v>
      </c>
      <c r="Q59" s="45">
        <f t="shared" ca="1" si="6"/>
        <v>180.8330034678068</v>
      </c>
      <c r="R59" s="47">
        <f t="shared" ca="1" si="7"/>
        <v>321.69301338264688</v>
      </c>
      <c r="S59" s="73">
        <f t="shared" ca="1" si="15"/>
        <v>1</v>
      </c>
      <c r="T59" s="73"/>
      <c r="U59" s="3"/>
      <c r="V59" s="3"/>
      <c r="W59" s="3"/>
      <c r="X59" s="3"/>
    </row>
    <row r="60" spans="1:24" ht="14" thickBot="1">
      <c r="A60" s="40">
        <v>42303</v>
      </c>
      <c r="B60" s="41">
        <f t="array" aca="1" ref="B60" ca="1">IF(AND(A60 &gt; TODAY(), A60 &lt;= TODAY() + 7),
   INDEX(calculations!B:B, MATCH(143^143, calculations!B:B)),
   IF(ISNUMBER(MATCH(A60, calculations!A:A, 0)),
      INDEX(calculations!B:B, MATCH(A60, calculations!A:A, 0)),
      ""
   )
)</f>
        <v>286.7</v>
      </c>
      <c r="C60" s="42">
        <f t="array" aca="1" ref="C60" ca="1">IF(B60&lt;&gt;"", IF(MATCH(A60, calculations!A:A, 0), INDEX(calculations!D:D, MATCH(A60, calculations!A:A, 0)), "No Match"),"")</f>
        <v>220696500</v>
      </c>
      <c r="D60" s="43">
        <f t="shared" ca="1" si="8"/>
        <v>8.4505976698441426E-2</v>
      </c>
      <c r="E60" s="43">
        <f t="shared" ca="1" si="0"/>
        <v>5.1489598934352622E-3</v>
      </c>
      <c r="F60" s="43">
        <f t="shared" ca="1" si="13"/>
        <v>7.2791825344029087E-2</v>
      </c>
      <c r="G60" s="42">
        <f t="shared" ca="1" si="1"/>
        <v>63273686550</v>
      </c>
      <c r="H60" s="41">
        <f t="shared" ca="1" si="14"/>
        <v>251.77964765715797</v>
      </c>
      <c r="I60" s="3"/>
      <c r="J60" s="43">
        <f t="shared" ca="1" si="12"/>
        <v>1</v>
      </c>
      <c r="K60" s="44" t="str">
        <f t="shared" ca="1" si="10"/>
        <v/>
      </c>
      <c r="L60" s="3"/>
      <c r="M60" s="45">
        <f t="shared" ca="1" si="2"/>
        <v>215.12464738227592</v>
      </c>
      <c r="N60" s="47">
        <f t="shared" ca="1" si="3"/>
        <v>288.43464793203998</v>
      </c>
      <c r="O60" s="45">
        <f t="shared" ca="1" si="4"/>
        <v>196.79714724483489</v>
      </c>
      <c r="P60" s="47">
        <f t="shared" ca="1" si="5"/>
        <v>306.76214806948104</v>
      </c>
      <c r="Q60" s="45">
        <f t="shared" ca="1" si="6"/>
        <v>178.46964710739385</v>
      </c>
      <c r="R60" s="47">
        <f t="shared" ca="1" si="7"/>
        <v>325.08964820692205</v>
      </c>
      <c r="S60" s="73">
        <f t="shared" ca="1" si="15"/>
        <v>1</v>
      </c>
      <c r="T60" s="73"/>
      <c r="U60" s="3"/>
      <c r="V60" s="3"/>
      <c r="W60" s="3"/>
      <c r="X60" s="3"/>
    </row>
    <row r="61" spans="1:24" ht="14" thickBot="1">
      <c r="A61" s="40">
        <v>42310</v>
      </c>
      <c r="B61" s="41">
        <f t="array" aca="1" ref="B61" ca="1">IF(AND(A61 &gt; TODAY(), A61 &lt;= TODAY() + 7),
   INDEX(calculations!B:B, MATCH(143^143, calculations!B:B)),
   IF(ISNUMBER(MATCH(A61, calculations!A:A, 0)),
      INDEX(calculations!B:B, MATCH(A61, calculations!A:A, 0)),
      ""
   )
)</f>
        <v>364.62</v>
      </c>
      <c r="C61" s="42">
        <f t="array" aca="1" ref="C61" ca="1">IF(B61&lt;&gt;"", IF(MATCH(A61, calculations!A:A, 0), INDEX(calculations!D:D, MATCH(A61, calculations!A:A, 0)), "No Match"),"")</f>
        <v>357648800</v>
      </c>
      <c r="D61" s="43">
        <f t="shared" ca="1" si="8"/>
        <v>0.27178235088943153</v>
      </c>
      <c r="E61" s="43">
        <f t="shared" ca="1" si="0"/>
        <v>6.709790212575667E-2</v>
      </c>
      <c r="F61" s="43">
        <f t="shared" ca="1" si="13"/>
        <v>0.1016862457184159</v>
      </c>
      <c r="G61" s="42">
        <f t="shared" ca="1" si="1"/>
        <v>130405905456</v>
      </c>
      <c r="H61" s="41">
        <f t="shared" ca="1" si="14"/>
        <v>264.59511122194795</v>
      </c>
      <c r="I61" s="3"/>
      <c r="J61" s="43">
        <f t="shared" ca="1" si="12"/>
        <v>-1.0221099135530956</v>
      </c>
      <c r="K61" s="44">
        <f t="shared" ca="1" si="10"/>
        <v>-3</v>
      </c>
      <c r="L61" s="3"/>
      <c r="M61" s="45">
        <f t="shared" ca="1" si="2"/>
        <v>210.78374423073478</v>
      </c>
      <c r="N61" s="47">
        <f t="shared" ca="1" si="3"/>
        <v>318.40647821316111</v>
      </c>
      <c r="O61" s="45">
        <f t="shared" ca="1" si="4"/>
        <v>183.87806073512817</v>
      </c>
      <c r="P61" s="47">
        <f t="shared" ca="1" si="5"/>
        <v>345.31216170876769</v>
      </c>
      <c r="Q61" s="45">
        <f t="shared" ca="1" si="6"/>
        <v>156.97237723952162</v>
      </c>
      <c r="R61" s="47">
        <f t="shared" ca="1" si="7"/>
        <v>372.21784520437427</v>
      </c>
      <c r="S61" s="73">
        <f t="shared" ca="1" si="15"/>
        <v>-1.0221099135530956</v>
      </c>
      <c r="T61" s="73"/>
      <c r="U61" s="3"/>
      <c r="V61" s="3"/>
      <c r="W61" s="3"/>
      <c r="X61" s="3"/>
    </row>
    <row r="62" spans="1:24" ht="14" thickBot="1">
      <c r="A62" s="40">
        <v>42317</v>
      </c>
      <c r="B62" s="41">
        <f t="array" aca="1" ref="B62" ca="1">IF(AND(A62 &gt; TODAY(), A62 &lt;= TODAY() + 7),
   INDEX(calculations!B:B, MATCH(143^143, calculations!B:B)),
   IF(ISNUMBER(MATCH(A62, calculations!A:A, 0)),
      INDEX(calculations!B:B, MATCH(A62, calculations!A:A, 0)),
      ""
   )
)</f>
        <v>380.5</v>
      </c>
      <c r="C62" s="42">
        <f t="array" aca="1" ref="C62" ca="1">IF(B62&lt;&gt;"", IF(MATCH(A62, calculations!A:A, 0), INDEX(calculations!D:D, MATCH(A62, calculations!A:A, 0)), "No Match"),"")</f>
        <v>954934692</v>
      </c>
      <c r="D62" s="43">
        <f t="shared" ca="1" si="8"/>
        <v>4.3552191322472698E-2</v>
      </c>
      <c r="E62" s="43">
        <f t="shared" ca="1" si="0"/>
        <v>9.4879203269277259E-4</v>
      </c>
      <c r="F62" s="43">
        <f t="shared" ca="1" si="13"/>
        <v>0.10025651609307483</v>
      </c>
      <c r="G62" s="42">
        <f t="shared" ca="1" si="1"/>
        <v>363352650306</v>
      </c>
      <c r="H62" s="41">
        <f t="shared" ca="1" si="14"/>
        <v>296.14588366225695</v>
      </c>
      <c r="I62" s="3"/>
      <c r="J62" s="43">
        <f t="shared" ca="1" si="12"/>
        <v>-0.29243751390440509</v>
      </c>
      <c r="K62" s="44">
        <f t="shared" ca="1" si="10"/>
        <v>-2</v>
      </c>
      <c r="L62" s="3"/>
      <c r="M62" s="45">
        <f t="shared" ca="1" si="2"/>
        <v>236.76477455969109</v>
      </c>
      <c r="N62" s="47">
        <f t="shared" ca="1" si="3"/>
        <v>355.52699276482281</v>
      </c>
      <c r="O62" s="45">
        <f t="shared" ca="1" si="4"/>
        <v>207.07422000840813</v>
      </c>
      <c r="P62" s="47">
        <f t="shared" ca="1" si="5"/>
        <v>385.21754731610577</v>
      </c>
      <c r="Q62" s="45">
        <f t="shared" ca="1" si="6"/>
        <v>177.3836654571252</v>
      </c>
      <c r="R62" s="47">
        <f t="shared" ca="1" si="7"/>
        <v>414.90810186738867</v>
      </c>
      <c r="S62" s="73">
        <f t="shared" ca="1" si="15"/>
        <v>-0.29243751390440509</v>
      </c>
      <c r="T62" s="73"/>
      <c r="U62" s="3"/>
      <c r="V62" s="3"/>
      <c r="W62" s="3"/>
      <c r="X62" s="3"/>
    </row>
    <row r="63" spans="1:24" ht="14" thickBot="1">
      <c r="A63" s="40">
        <v>42324</v>
      </c>
      <c r="B63" s="41">
        <f t="array" aca="1" ref="B63" ca="1">IF(AND(A63 &gt; TODAY(), A63 &lt;= TODAY() + 7),
   INDEX(calculations!B:B, MATCH(143^143, calculations!B:B)),
   IF(ISNUMBER(MATCH(A63, calculations!A:A, 0)),
      INDEX(calculations!B:B, MATCH(A63, calculations!A:A, 0)),
      ""
   )
)</f>
        <v>331.13</v>
      </c>
      <c r="C63" s="42">
        <f t="array" aca="1" ref="C63" ca="1">IF(B63&lt;&gt;"", IF(MATCH(A63, calculations!A:A, 0), INDEX(calculations!D:D, MATCH(A63, calculations!A:A, 0)), "No Match"),"")</f>
        <v>484398204</v>
      </c>
      <c r="D63" s="43">
        <f t="shared" ca="1" si="8"/>
        <v>-0.1297503285151117</v>
      </c>
      <c r="E63" s="43">
        <f t="shared" ca="1" si="0"/>
        <v>2.0306264783883914E-2</v>
      </c>
      <c r="F63" s="43">
        <f t="shared" ca="1" si="13"/>
        <v>0.10633867494327663</v>
      </c>
      <c r="G63" s="42">
        <f t="shared" ca="1" si="1"/>
        <v>160398777290.51999</v>
      </c>
      <c r="H63" s="41">
        <f t="shared" ca="1" si="14"/>
        <v>302.48252639416773</v>
      </c>
      <c r="I63" s="3"/>
      <c r="J63" s="43">
        <f t="shared" ca="1" si="12"/>
        <v>1</v>
      </c>
      <c r="K63" s="44" t="str">
        <f t="shared" ca="1" si="10"/>
        <v/>
      </c>
      <c r="L63" s="3"/>
      <c r="M63" s="45">
        <f t="shared" ca="1" si="2"/>
        <v>238.15134429366674</v>
      </c>
      <c r="N63" s="47">
        <f t="shared" ca="1" si="3"/>
        <v>366.81370849466873</v>
      </c>
      <c r="O63" s="45">
        <f t="shared" ca="1" si="4"/>
        <v>205.98575324341624</v>
      </c>
      <c r="P63" s="47">
        <f t="shared" ca="1" si="5"/>
        <v>398.97929954491923</v>
      </c>
      <c r="Q63" s="45">
        <f t="shared" ca="1" si="6"/>
        <v>173.82016219316574</v>
      </c>
      <c r="R63" s="47">
        <f t="shared" ca="1" si="7"/>
        <v>431.14489059516973</v>
      </c>
      <c r="S63" s="73">
        <f t="shared" ca="1" si="15"/>
        <v>1</v>
      </c>
      <c r="T63" s="73"/>
      <c r="U63" s="3"/>
      <c r="V63" s="3"/>
      <c r="W63" s="3"/>
      <c r="X63" s="3"/>
    </row>
    <row r="64" spans="1:24" ht="14" thickBot="1">
      <c r="A64" s="40">
        <v>42331</v>
      </c>
      <c r="B64" s="41">
        <f t="array" aca="1" ref="B64" ca="1">IF(AND(A64 &gt; TODAY(), A64 &lt;= TODAY() + 7),
   INDEX(calculations!B:B, MATCH(143^143, calculations!B:B)),
   IF(ISNUMBER(MATCH(A64, calculations!A:A, 0)),
      INDEX(calculations!B:B, MATCH(A64, calculations!A:A, 0)),
      ""
   )
)</f>
        <v>323.01</v>
      </c>
      <c r="C64" s="42">
        <f t="array" aca="1" ref="C64" ca="1">IF(B64&lt;&gt;"", IF(MATCH(A64, calculations!A:A, 0), INDEX(calculations!D:D, MATCH(A64, calculations!A:A, 0)), "No Match"),"")</f>
        <v>292569400</v>
      </c>
      <c r="D64" s="43">
        <f t="shared" ca="1" si="8"/>
        <v>-2.452209102165314E-2</v>
      </c>
      <c r="E64" s="43">
        <f t="shared" ca="1" si="0"/>
        <v>1.3891881471629279E-3</v>
      </c>
      <c r="F64" s="43">
        <f t="shared" ca="1" si="13"/>
        <v>0.1062848437669032</v>
      </c>
      <c r="G64" s="42">
        <f t="shared" ca="1" si="1"/>
        <v>94502841894</v>
      </c>
      <c r="H64" s="41">
        <f t="shared" ca="1" si="14"/>
        <v>306.12526018508959</v>
      </c>
      <c r="I64" s="3"/>
      <c r="J64" s="43">
        <f t="shared" ca="1" si="12"/>
        <v>1</v>
      </c>
      <c r="K64" s="44" t="str">
        <f t="shared" ca="1" si="10"/>
        <v/>
      </c>
      <c r="L64" s="3"/>
      <c r="M64" s="45">
        <f t="shared" ca="1" si="2"/>
        <v>241.05230928133992</v>
      </c>
      <c r="N64" s="47">
        <f t="shared" ca="1" si="3"/>
        <v>371.19821108883923</v>
      </c>
      <c r="O64" s="45">
        <f t="shared" ca="1" si="4"/>
        <v>208.51583382946507</v>
      </c>
      <c r="P64" s="47">
        <f t="shared" ca="1" si="5"/>
        <v>403.73468654071411</v>
      </c>
      <c r="Q64" s="45">
        <f t="shared" ca="1" si="6"/>
        <v>175.97935837759024</v>
      </c>
      <c r="R64" s="47">
        <f t="shared" ca="1" si="7"/>
        <v>436.27116199258893</v>
      </c>
      <c r="S64" s="73">
        <f t="shared" ca="1" si="15"/>
        <v>1</v>
      </c>
      <c r="T64" s="73"/>
      <c r="U64" s="3"/>
      <c r="V64" s="3"/>
      <c r="W64" s="3"/>
      <c r="X64" s="3"/>
    </row>
    <row r="65" spans="1:24" ht="14" thickBot="1">
      <c r="A65" s="40">
        <v>42338</v>
      </c>
      <c r="B65" s="41">
        <f t="array" aca="1" ref="B65" ca="1">IF(AND(A65 &gt; TODAY(), A65 &lt;= TODAY() + 7),
   INDEX(calculations!B:B, MATCH(143^143, calculations!B:B)),
   IF(ISNUMBER(MATCH(A65, calculations!A:A, 0)),
      INDEX(calculations!B:B, MATCH(A65, calculations!A:A, 0)),
      ""
   )
)</f>
        <v>377.39</v>
      </c>
      <c r="C65" s="42">
        <f t="array" aca="1" ref="C65" ca="1">IF(B65&lt;&gt;"", IF(MATCH(A65, calculations!A:A, 0), INDEX(calculations!D:D, MATCH(A65, calculations!A:A, 0)), "No Match"),"")</f>
        <v>337018400</v>
      </c>
      <c r="D65" s="43">
        <f t="shared" ca="1" si="8"/>
        <v>0.16835392093124052</v>
      </c>
      <c r="E65" s="43">
        <f t="shared" ca="1" si="0"/>
        <v>2.42126663023636E-2</v>
      </c>
      <c r="F65" s="43">
        <f t="shared" ca="1" si="13"/>
        <v>9.6068592581444165E-2</v>
      </c>
      <c r="G65" s="42">
        <f t="shared" ca="1" si="1"/>
        <v>127187373976</v>
      </c>
      <c r="H65" s="41">
        <f t="shared" ca="1" si="14"/>
        <v>317.56179413599779</v>
      </c>
      <c r="I65" s="3"/>
      <c r="J65" s="43">
        <f t="shared" ca="1" si="12"/>
        <v>1</v>
      </c>
      <c r="K65" s="44" t="str">
        <f t="shared" ca="1" si="10"/>
        <v/>
      </c>
      <c r="L65" s="3"/>
      <c r="M65" s="45">
        <f t="shared" ca="1" si="2"/>
        <v>256.54636489543054</v>
      </c>
      <c r="N65" s="47">
        <f t="shared" ca="1" si="3"/>
        <v>378.57722337656503</v>
      </c>
      <c r="O65" s="45">
        <f t="shared" ca="1" si="4"/>
        <v>226.03865027514692</v>
      </c>
      <c r="P65" s="47">
        <f t="shared" ca="1" si="5"/>
        <v>409.08493799684862</v>
      </c>
      <c r="Q65" s="45">
        <f t="shared" ca="1" si="6"/>
        <v>195.5309356548633</v>
      </c>
      <c r="R65" s="47">
        <f t="shared" ca="1" si="7"/>
        <v>439.59265261713227</v>
      </c>
      <c r="S65" s="73">
        <f t="shared" ca="1" si="15"/>
        <v>1</v>
      </c>
      <c r="T65" s="73"/>
      <c r="U65" s="3"/>
      <c r="V65" s="3"/>
      <c r="W65" s="3"/>
      <c r="X65" s="3"/>
    </row>
    <row r="66" spans="1:24" ht="14" thickBot="1">
      <c r="A66" s="40">
        <v>42345</v>
      </c>
      <c r="B66" s="41">
        <f t="array" aca="1" ref="B66" ca="1">IF(AND(A66 &gt; TODAY(), A66 &lt;= TODAY() + 7),
   INDEX(calculations!B:B, MATCH(143^143, calculations!B:B)),
   IF(ISNUMBER(MATCH(A66, calculations!A:A, 0)),
      INDEX(calculations!B:B, MATCH(A66, calculations!A:A, 0)),
      ""
   )
)</f>
        <v>395.35</v>
      </c>
      <c r="C66" s="42">
        <f t="array" aca="1" ref="C66" ca="1">IF(B66&lt;&gt;"", IF(MATCH(A66, calculations!A:A, 0), INDEX(calculations!D:D, MATCH(A66, calculations!A:A, 0)), "No Match"),"")</f>
        <v>416857500</v>
      </c>
      <c r="D66" s="43">
        <f t="shared" ca="1" si="8"/>
        <v>4.7590026232809661E-2</v>
      </c>
      <c r="E66" s="43">
        <f t="shared" ca="1" si="0"/>
        <v>1.2138467043976183E-3</v>
      </c>
      <c r="F66" s="43">
        <f t="shared" ca="1" si="13"/>
        <v>9.5302583508140692E-2</v>
      </c>
      <c r="G66" s="42">
        <f t="shared" ca="1" si="1"/>
        <v>164804612625</v>
      </c>
      <c r="H66" s="41">
        <f t="shared" ca="1" si="14"/>
        <v>330.59522335683715</v>
      </c>
      <c r="I66" s="3"/>
      <c r="J66" s="43">
        <f t="shared" ca="1" si="12"/>
        <v>-0.29555925114014492</v>
      </c>
      <c r="K66" s="44">
        <f t="shared" ca="1" si="10"/>
        <v>-2</v>
      </c>
      <c r="L66" s="3"/>
      <c r="M66" s="45">
        <f t="shared" ca="1" si="2"/>
        <v>267.58206559412235</v>
      </c>
      <c r="N66" s="47">
        <f t="shared" ca="1" si="3"/>
        <v>393.60838111955195</v>
      </c>
      <c r="O66" s="45">
        <f t="shared" ca="1" si="4"/>
        <v>236.07548671276496</v>
      </c>
      <c r="P66" s="47">
        <f t="shared" ca="1" si="5"/>
        <v>425.11496000090932</v>
      </c>
      <c r="Q66" s="45">
        <f t="shared" ca="1" si="6"/>
        <v>204.56890783140756</v>
      </c>
      <c r="R66" s="47">
        <f t="shared" ca="1" si="7"/>
        <v>456.62153888226675</v>
      </c>
      <c r="S66" s="73">
        <f t="shared" ca="1" si="15"/>
        <v>-0.29555925114014492</v>
      </c>
      <c r="T66" s="73"/>
      <c r="U66" s="3"/>
      <c r="V66" s="3"/>
      <c r="W66" s="3"/>
      <c r="X66" s="3"/>
    </row>
    <row r="67" spans="1:24" ht="14" thickBot="1">
      <c r="A67" s="40">
        <v>42352</v>
      </c>
      <c r="B67" s="41">
        <f t="array" aca="1" ref="B67" ca="1">IF(AND(A67 &gt; TODAY(), A67 &lt;= TODAY() + 7),
   INDEX(calculations!B:B, MATCH(143^143, calculations!B:B)),
   IF(ISNUMBER(MATCH(A67, calculations!A:A, 0)),
      INDEX(calculations!B:B, MATCH(A67, calculations!A:A, 0)),
      ""
   )
)</f>
        <v>442.99</v>
      </c>
      <c r="C67" s="42">
        <f t="array" aca="1" ref="C67" ca="1">IF(B67&lt;&gt;"", IF(MATCH(A67, calculations!A:A, 0), INDEX(calculations!D:D, MATCH(A67, calculations!A:A, 0)), "No Match"),"")</f>
        <v>562276900</v>
      </c>
      <c r="D67" s="43">
        <f t="shared" ca="1" si="8"/>
        <v>0.12050082205640568</v>
      </c>
      <c r="E67" s="43">
        <f t="shared" ca="1" si="0"/>
        <v>1.1610299270680002E-2</v>
      </c>
      <c r="F67" s="43">
        <f t="shared" ca="1" si="13"/>
        <v>9.7518485173681377E-2</v>
      </c>
      <c r="G67" s="42">
        <f t="shared" ca="1" si="1"/>
        <v>249083043931</v>
      </c>
      <c r="H67" s="41">
        <f t="shared" ca="1" si="14"/>
        <v>347.46299599269815</v>
      </c>
      <c r="I67" s="3"/>
      <c r="J67" s="43">
        <f t="shared" ca="1" si="12"/>
        <v>-0.44359674445287761</v>
      </c>
      <c r="K67" s="44">
        <f t="shared" ca="1" si="10"/>
        <v>-2</v>
      </c>
      <c r="L67" s="3"/>
      <c r="M67" s="45">
        <f t="shared" ca="1" si="2"/>
        <v>279.69486594646446</v>
      </c>
      <c r="N67" s="47">
        <f t="shared" ca="1" si="3"/>
        <v>415.23112603893179</v>
      </c>
      <c r="O67" s="45">
        <f t="shared" ca="1" si="4"/>
        <v>245.81080092334761</v>
      </c>
      <c r="P67" s="47">
        <f t="shared" ca="1" si="5"/>
        <v>449.11519106204867</v>
      </c>
      <c r="Q67" s="45">
        <f t="shared" ca="1" si="6"/>
        <v>211.92673590023074</v>
      </c>
      <c r="R67" s="47">
        <f t="shared" ca="1" si="7"/>
        <v>482.99925608516554</v>
      </c>
      <c r="S67" s="73">
        <f t="shared" ca="1" si="15"/>
        <v>-0.44359674445287761</v>
      </c>
      <c r="T67" s="73"/>
      <c r="U67" s="3"/>
      <c r="V67" s="3"/>
      <c r="W67" s="3"/>
      <c r="X67" s="3"/>
    </row>
    <row r="68" spans="1:24" ht="14" thickBot="1">
      <c r="A68" s="40">
        <v>42359</v>
      </c>
      <c r="B68" s="41">
        <f t="array" aca="1" ref="B68" ca="1">IF(AND(A68 &gt; TODAY(), A68 &lt;= TODAY() + 7),
   INDEX(calculations!B:B, MATCH(143^143, calculations!B:B)),
   IF(ISNUMBER(MATCH(A68, calculations!A:A, 0)),
      INDEX(calculations!B:B, MATCH(A68, calculations!A:A, 0)),
      ""
   )
)</f>
        <v>437.64</v>
      </c>
      <c r="C68" s="42">
        <f t="array" aca="1" ref="C68" ca="1">IF(B68&lt;&gt;"", IF(MATCH(A68, calculations!A:A, 0), INDEX(calculations!D:D, MATCH(A68, calculations!A:A, 0)), "No Match"),"")</f>
        <v>553061704</v>
      </c>
      <c r="D68" s="43">
        <f t="shared" ca="1" si="8"/>
        <v>-1.2077022054673972E-2</v>
      </c>
      <c r="E68" s="43">
        <f t="shared" ca="1" si="0"/>
        <v>6.1636728779346098E-4</v>
      </c>
      <c r="F68" s="43">
        <f t="shared" ca="1" si="13"/>
        <v>9.581960981128311E-2</v>
      </c>
      <c r="G68" s="42">
        <f t="shared" ca="1" si="1"/>
        <v>242041924138.56</v>
      </c>
      <c r="H68" s="41">
        <f t="shared" ca="1" si="14"/>
        <v>361.11172321262694</v>
      </c>
      <c r="I68" s="3"/>
      <c r="J68" s="43">
        <f t="shared" ca="1" si="12"/>
        <v>-0.22505026908701597</v>
      </c>
      <c r="K68" s="44">
        <f t="shared" ca="1" si="10"/>
        <v>-2</v>
      </c>
      <c r="L68" s="3"/>
      <c r="M68" s="45">
        <f t="shared" ca="1" si="2"/>
        <v>291.90855437959897</v>
      </c>
      <c r="N68" s="47">
        <f t="shared" ca="1" si="3"/>
        <v>430.31489204565491</v>
      </c>
      <c r="O68" s="45">
        <f t="shared" ca="1" si="4"/>
        <v>257.30696996308501</v>
      </c>
      <c r="P68" s="47">
        <f t="shared" ca="1" si="5"/>
        <v>464.91647646216887</v>
      </c>
      <c r="Q68" s="45">
        <f t="shared" ca="1" si="6"/>
        <v>222.70538554657099</v>
      </c>
      <c r="R68" s="47">
        <f t="shared" ca="1" si="7"/>
        <v>499.51806087868289</v>
      </c>
      <c r="S68" s="73">
        <f t="shared" ca="1" si="15"/>
        <v>-0.22505026908701597</v>
      </c>
      <c r="T68" s="73"/>
      <c r="U68" s="3"/>
      <c r="V68" s="3"/>
      <c r="W68" s="3"/>
      <c r="X68" s="3"/>
    </row>
    <row r="69" spans="1:24" ht="14" thickBot="1">
      <c r="A69" s="40">
        <v>42366</v>
      </c>
      <c r="B69" s="41">
        <f t="array" aca="1" ref="B69" ca="1">IF(AND(A69 &gt; TODAY(), A69 &lt;= TODAY() + 7),
   INDEX(calculations!B:B, MATCH(143^143, calculations!B:B)),
   IF(ISNUMBER(MATCH(A69, calculations!A:A, 0)),
      INDEX(calculations!B:B, MATCH(A69, calculations!A:A, 0)),
      ""
   )
)</f>
        <v>421.05</v>
      </c>
      <c r="C69" s="42">
        <f t="array" aca="1" ref="C69" ca="1">IF(B69&lt;&gt;"", IF(MATCH(A69, calculations!A:A, 0), INDEX(calculations!D:D, MATCH(A69, calculations!A:A, 0)), "No Match"),"")</f>
        <v>441634396</v>
      </c>
      <c r="D69" s="43">
        <f t="shared" ca="1" si="8"/>
        <v>-3.7907869481765777E-2</v>
      </c>
      <c r="E69" s="43">
        <f t="shared" ca="1" si="0"/>
        <v>2.5661917123352678E-3</v>
      </c>
      <c r="F69" s="43">
        <f t="shared" ca="1" si="13"/>
        <v>9.7051900005442365E-2</v>
      </c>
      <c r="G69" s="42">
        <f t="shared" ca="1" si="1"/>
        <v>185950162435.80002</v>
      </c>
      <c r="H69" s="41">
        <f t="shared" ca="1" si="14"/>
        <v>369.41452447779506</v>
      </c>
      <c r="I69" s="3"/>
      <c r="J69" s="43">
        <f t="shared" ref="J69:J132" ca="1" si="16">IF(B69="","",
 IF(B69&lt;Q69, 1+(4*ABS(D69))+(1+$X$2)+F69,
 IF(B69&lt;O69, 1+(3*ABS(D69))+(1+$X$2)+F69,
 IF(B69&lt;M69, 1+(2*ABS(D69))+(1+$X$2)+F69,
 IF(B69&gt;R69, 1-(4*ABS(D69))-(1+$X$2)-F69,
 IF(B69&gt;P69, 1-(3*ABS(D69))-(1+$X$2)-F69,
 IF(B69&gt;N69, 1-(2*ABS(D69))-(1+$X$2)-F69,
 1)))))))</f>
        <v>1</v>
      </c>
      <c r="K69" s="44" t="str">
        <f t="shared" ca="1" si="10"/>
        <v/>
      </c>
      <c r="L69" s="3"/>
      <c r="M69" s="45">
        <f t="shared" ca="1" si="2"/>
        <v>297.70976149744104</v>
      </c>
      <c r="N69" s="47">
        <f t="shared" ca="1" si="3"/>
        <v>441.11928745814907</v>
      </c>
      <c r="O69" s="45">
        <f t="shared" ca="1" si="4"/>
        <v>261.85738000726406</v>
      </c>
      <c r="P69" s="47">
        <f t="shared" ca="1" si="5"/>
        <v>476.971668948326</v>
      </c>
      <c r="Q69" s="45">
        <f t="shared" ca="1" si="6"/>
        <v>226.00499851708702</v>
      </c>
      <c r="R69" s="47">
        <f t="shared" ca="1" si="7"/>
        <v>512.82405043850315</v>
      </c>
      <c r="S69" s="73">
        <f t="shared" ca="1" si="15"/>
        <v>1</v>
      </c>
      <c r="T69" s="73"/>
      <c r="U69" s="3"/>
      <c r="V69" s="3"/>
      <c r="W69" s="3"/>
      <c r="X69" s="3"/>
    </row>
    <row r="70" spans="1:24" ht="14" thickBot="1">
      <c r="A70" s="40">
        <v>42373</v>
      </c>
      <c r="B70" s="41">
        <f t="array" aca="1" ref="B70" ca="1">IF(AND(A70 &gt; TODAY(), A70 &lt;= TODAY() + 7),
   INDEX(calculations!B:B, MATCH(143^143, calculations!B:B)),
   IF(ISNUMBER(MATCH(A70, calculations!A:A, 0)),
      INDEX(calculations!B:B, MATCH(A70, calculations!A:A, 0)),
      ""
   )
)</f>
        <v>433.45</v>
      </c>
      <c r="C70" s="42">
        <f t="array" aca="1" ref="C70" ca="1">IF(B70&lt;&gt;"", IF(MATCH(A70, calculations!A:A, 0), INDEX(calculations!D:D, MATCH(A70, calculations!A:A, 0)), "No Match"),"")</f>
        <v>300130400</v>
      </c>
      <c r="D70" s="43">
        <f t="shared" ca="1" si="8"/>
        <v>2.9450184063650343E-2</v>
      </c>
      <c r="E70" s="43">
        <f t="shared" ca="1" si="0"/>
        <v>2.7890538777576942E-4</v>
      </c>
      <c r="F70" s="43">
        <f t="shared" ca="1" si="13"/>
        <v>9.7150712020585089E-2</v>
      </c>
      <c r="G70" s="42">
        <f t="shared" ca="1" si="1"/>
        <v>130091521880</v>
      </c>
      <c r="H70" s="41">
        <f t="shared" ca="1" si="14"/>
        <v>376.2633617703305</v>
      </c>
      <c r="I70" s="3"/>
      <c r="J70" s="43">
        <f t="shared" ca="1" si="16"/>
        <v>1</v>
      </c>
      <c r="K70" s="44" t="str">
        <f t="shared" ca="1" si="10"/>
        <v/>
      </c>
      <c r="L70" s="3"/>
      <c r="M70" s="45">
        <f t="shared" ca="1" si="2"/>
        <v>303.15485476383725</v>
      </c>
      <c r="N70" s="47">
        <f t="shared" ca="1" si="3"/>
        <v>449.37186877682376</v>
      </c>
      <c r="O70" s="45">
        <f t="shared" ca="1" si="4"/>
        <v>266.60060126059068</v>
      </c>
      <c r="P70" s="47">
        <f t="shared" ca="1" si="5"/>
        <v>485.92612228007033</v>
      </c>
      <c r="Q70" s="45">
        <f t="shared" ca="1" si="6"/>
        <v>230.04634775734408</v>
      </c>
      <c r="R70" s="47">
        <f t="shared" ca="1" si="7"/>
        <v>522.48037578331696</v>
      </c>
      <c r="S70" s="73">
        <f t="shared" ca="1" si="15"/>
        <v>1</v>
      </c>
      <c r="T70" s="73"/>
      <c r="U70" s="3"/>
      <c r="V70" s="3"/>
      <c r="W70" s="3"/>
      <c r="X70" s="3"/>
    </row>
    <row r="71" spans="1:24" ht="14" thickBot="1">
      <c r="A71" s="40">
        <v>42380</v>
      </c>
      <c r="B71" s="41">
        <f t="array" aca="1" ref="B71" ca="1">IF(AND(A71 &gt; TODAY(), A71 &lt;= TODAY() + 7),
   INDEX(calculations!B:B, MATCH(143^143, calculations!B:B)),
   IF(ISNUMBER(MATCH(A71, calculations!A:A, 0)),
      INDEX(calculations!B:B, MATCH(A71, calculations!A:A, 0)),
      ""
   )
)</f>
        <v>449.03</v>
      </c>
      <c r="C71" s="42">
        <f t="array" aca="1" ref="C71" ca="1">IF(B71&lt;&gt;"", IF(MATCH(A71, calculations!A:A, 0), INDEX(calculations!D:D, MATCH(A71, calculations!A:A, 0)), "No Match"),"")</f>
        <v>319871700</v>
      </c>
      <c r="D71" s="43">
        <f t="shared" ca="1" si="8"/>
        <v>3.5944168877609838E-2</v>
      </c>
      <c r="E71" s="43">
        <f t="shared" ca="1" si="0"/>
        <v>5.3798230295492428E-4</v>
      </c>
      <c r="F71" s="43">
        <f t="shared" ca="1" si="13"/>
        <v>9.6427240532373171E-2</v>
      </c>
      <c r="G71" s="42">
        <f t="shared" ca="1" si="1"/>
        <v>143631989451</v>
      </c>
      <c r="H71" s="41">
        <f t="shared" ca="1" si="14"/>
        <v>383.74716779467741</v>
      </c>
      <c r="I71" s="3"/>
      <c r="J71" s="43">
        <f t="shared" ca="1" si="16"/>
        <v>1</v>
      </c>
      <c r="K71" s="44" t="str">
        <f t="shared" ca="1" si="10"/>
        <v/>
      </c>
      <c r="L71" s="3"/>
      <c r="M71" s="45">
        <f t="shared" ca="1" si="2"/>
        <v>309.73980688956874</v>
      </c>
      <c r="N71" s="47">
        <f t="shared" ca="1" si="3"/>
        <v>457.75452869978608</v>
      </c>
      <c r="O71" s="45">
        <f t="shared" ca="1" si="4"/>
        <v>272.73612643701443</v>
      </c>
      <c r="P71" s="47">
        <f t="shared" ca="1" si="5"/>
        <v>494.75820915234038</v>
      </c>
      <c r="Q71" s="45">
        <f t="shared" ca="1" si="6"/>
        <v>235.7324459844601</v>
      </c>
      <c r="R71" s="47">
        <f t="shared" ca="1" si="7"/>
        <v>531.76188960489469</v>
      </c>
      <c r="S71" s="73">
        <f t="shared" ca="1" si="15"/>
        <v>1</v>
      </c>
      <c r="T71" s="73"/>
      <c r="U71" s="3"/>
      <c r="V71" s="3"/>
      <c r="W71" s="3"/>
      <c r="X71" s="3"/>
    </row>
    <row r="72" spans="1:24" ht="14" thickBot="1">
      <c r="A72" s="40">
        <v>42387</v>
      </c>
      <c r="B72" s="41">
        <f t="array" aca="1" ref="B72" ca="1">IF(AND(A72 &gt; TODAY(), A72 &lt;= TODAY() + 7),
   INDEX(calculations!B:B, MATCH(143^143, calculations!B:B)),
   IF(ISNUMBER(MATCH(A72, calculations!A:A, 0)),
      INDEX(calculations!B:B, MATCH(A72, calculations!A:A, 0)),
      ""
   )
)</f>
        <v>384.87</v>
      </c>
      <c r="C72" s="42">
        <f t="array" aca="1" ref="C72" ca="1">IF(B72&lt;&gt;"", IF(MATCH(A72, calculations!A:A, 0), INDEX(calculations!D:D, MATCH(A72, calculations!A:A, 0)), "No Match"),"")</f>
        <v>692913108</v>
      </c>
      <c r="D72" s="43">
        <f t="shared" ca="1" si="8"/>
        <v>-0.14288577600605745</v>
      </c>
      <c r="E72" s="43">
        <f t="shared" ca="1" si="0"/>
        <v>2.4222408662348007E-2</v>
      </c>
      <c r="F72" s="43">
        <f t="shared" ca="1" si="13"/>
        <v>0.10925160948905464</v>
      </c>
      <c r="G72" s="42">
        <f t="shared" ca="1" si="1"/>
        <v>266681467875.95999</v>
      </c>
      <c r="H72" s="41">
        <f t="shared" ca="1" si="14"/>
        <v>387.07156037339769</v>
      </c>
      <c r="I72" s="3"/>
      <c r="J72" s="43">
        <f t="shared" ca="1" si="16"/>
        <v>1</v>
      </c>
      <c r="K72" s="44" t="str">
        <f t="shared" ca="1" si="10"/>
        <v/>
      </c>
      <c r="L72" s="3"/>
      <c r="M72" s="45">
        <f t="shared" ca="1" si="2"/>
        <v>302.49517845693072</v>
      </c>
      <c r="N72" s="47">
        <f t="shared" ca="1" si="3"/>
        <v>471.64794228986466</v>
      </c>
      <c r="O72" s="45">
        <f t="shared" ca="1" si="4"/>
        <v>260.20698749869729</v>
      </c>
      <c r="P72" s="47">
        <f t="shared" ca="1" si="5"/>
        <v>513.93613324809814</v>
      </c>
      <c r="Q72" s="45">
        <f t="shared" ca="1" si="6"/>
        <v>217.91879654046375</v>
      </c>
      <c r="R72" s="47">
        <f t="shared" ca="1" si="7"/>
        <v>556.22432420633163</v>
      </c>
      <c r="S72" s="73">
        <f t="shared" ca="1" si="15"/>
        <v>1</v>
      </c>
      <c r="T72" s="73"/>
      <c r="U72" s="3"/>
      <c r="V72" s="3"/>
      <c r="W72" s="3"/>
      <c r="X72" s="3"/>
    </row>
    <row r="73" spans="1:24" ht="14" thickBot="1">
      <c r="A73" s="40">
        <v>42394</v>
      </c>
      <c r="B73" s="41">
        <f t="array" aca="1" ref="B73" ca="1">IF(AND(A73 &gt; TODAY(), A73 &lt;= TODAY() + 7),
   INDEX(calculations!B:B, MATCH(143^143, calculations!B:B)),
   IF(ISNUMBER(MATCH(A73, calculations!A:A, 0)),
      INDEX(calculations!B:B, MATCH(A73, calculations!A:A, 0)),
      ""
   )
)</f>
        <v>391.99</v>
      </c>
      <c r="C73" s="42">
        <f t="array" aca="1" ref="C73" ca="1">IF(B73&lt;&gt;"", IF(MATCH(A73, calculations!A:A, 0), INDEX(calculations!D:D, MATCH(A73, calculations!A:A, 0)), "No Match"),"")</f>
        <v>493900500</v>
      </c>
      <c r="D73" s="43">
        <f t="shared" ca="1" si="8"/>
        <v>1.8499753163405838E-2</v>
      </c>
      <c r="E73" s="43">
        <f t="shared" ca="1" si="0"/>
        <v>3.3062842761264518E-5</v>
      </c>
      <c r="F73" s="43">
        <f t="shared" ca="1" si="13"/>
        <v>0.10883513609969402</v>
      </c>
      <c r="G73" s="42">
        <f t="shared" ca="1" si="1"/>
        <v>193604056995</v>
      </c>
      <c r="H73" s="41">
        <f t="shared" ca="1" si="14"/>
        <v>391.26390264630322</v>
      </c>
      <c r="I73" s="3"/>
      <c r="J73" s="43">
        <f t="shared" ca="1" si="16"/>
        <v>1</v>
      </c>
      <c r="K73" s="44" t="str">
        <f t="shared" ca="1" si="10"/>
        <v/>
      </c>
      <c r="L73" s="3"/>
      <c r="M73" s="45">
        <f t="shared" ca="1" si="2"/>
        <v>306.09738245548755</v>
      </c>
      <c r="N73" s="47">
        <f t="shared" ca="1" si="3"/>
        <v>476.4304228371189</v>
      </c>
      <c r="O73" s="45">
        <f t="shared" ca="1" si="4"/>
        <v>263.51412236007968</v>
      </c>
      <c r="P73" s="47">
        <f t="shared" ca="1" si="5"/>
        <v>519.01368293252676</v>
      </c>
      <c r="Q73" s="45">
        <f t="shared" ca="1" si="6"/>
        <v>220.93086226467184</v>
      </c>
      <c r="R73" s="47">
        <f t="shared" ca="1" si="7"/>
        <v>561.59694302793457</v>
      </c>
      <c r="S73" s="73">
        <f t="shared" ca="1" si="15"/>
        <v>1</v>
      </c>
      <c r="T73" s="73"/>
      <c r="U73" s="3"/>
      <c r="V73" s="3"/>
      <c r="W73" s="3"/>
      <c r="X73" s="3"/>
    </row>
    <row r="74" spans="1:24" ht="14" thickBot="1">
      <c r="A74" s="40">
        <v>42401</v>
      </c>
      <c r="B74" s="41">
        <f t="array" aca="1" ref="B74" ca="1">IF(AND(A74 &gt; TODAY(), A74 &lt;= TODAY() + 7),
   INDEX(calculations!B:B, MATCH(143^143, calculations!B:B)),
   IF(ISNUMBER(MATCH(A74, calculations!A:A, 0)),
      INDEX(calculations!B:B, MATCH(A74, calculations!A:A, 0)),
      ""
   )
)</f>
        <v>371.22</v>
      </c>
      <c r="C74" s="42">
        <f t="array" aca="1" ref="C74" ca="1">IF(B74&lt;&gt;"", IF(MATCH(A74, calculations!A:A, 0), INDEX(calculations!D:D, MATCH(A74, calculations!A:A, 0)), "No Match"),"")</f>
        <v>378185696</v>
      </c>
      <c r="D74" s="43">
        <f t="shared" ca="1" si="8"/>
        <v>-5.2986045562386751E-2</v>
      </c>
      <c r="E74" s="43">
        <f t="shared" ca="1" si="0"/>
        <v>4.3211913155749597E-3</v>
      </c>
      <c r="F74" s="43">
        <f t="shared" ca="1" si="13"/>
        <v>0.11010252066673838</v>
      </c>
      <c r="G74" s="42">
        <f t="shared" ca="1" si="1"/>
        <v>140390094069.12</v>
      </c>
      <c r="H74" s="41">
        <f t="shared" ca="1" si="14"/>
        <v>393.61707280652024</v>
      </c>
      <c r="I74" s="3"/>
      <c r="J74" s="43">
        <f t="shared" ca="1" si="16"/>
        <v>1</v>
      </c>
      <c r="K74" s="44" t="str">
        <f t="shared" ca="1" si="10"/>
        <v/>
      </c>
      <c r="L74" s="3"/>
      <c r="M74" s="45">
        <f t="shared" ca="1" si="2"/>
        <v>306.94060901959836</v>
      </c>
      <c r="N74" s="47">
        <f t="shared" ca="1" si="3"/>
        <v>480.29353659344218</v>
      </c>
      <c r="O74" s="45">
        <f t="shared" ca="1" si="4"/>
        <v>263.60237712613736</v>
      </c>
      <c r="P74" s="47">
        <f t="shared" ca="1" si="5"/>
        <v>523.63176848690318</v>
      </c>
      <c r="Q74" s="45">
        <f t="shared" ca="1" si="6"/>
        <v>220.26414523267641</v>
      </c>
      <c r="R74" s="47">
        <f t="shared" ca="1" si="7"/>
        <v>566.97000038036401</v>
      </c>
      <c r="S74" s="73">
        <f t="shared" ca="1" si="15"/>
        <v>1</v>
      </c>
      <c r="T74" s="73"/>
      <c r="U74" s="3"/>
      <c r="V74" s="3"/>
      <c r="W74" s="3"/>
      <c r="X74" s="3"/>
    </row>
    <row r="75" spans="1:24" ht="14" thickBot="1">
      <c r="A75" s="40">
        <v>42408</v>
      </c>
      <c r="B75" s="41">
        <f t="array" aca="1" ref="B75" ca="1">IF(AND(A75 &gt; TODAY(), A75 &lt;= TODAY() + 7),
   INDEX(calculations!B:B, MATCH(143^143, calculations!B:B)),
   IF(ISNUMBER(MATCH(A75, calculations!A:A, 0)),
      INDEX(calculations!B:B, MATCH(A75, calculations!A:A, 0)),
      ""
   )
)</f>
        <v>370.81</v>
      </c>
      <c r="C75" s="42">
        <f t="array" aca="1" ref="C75" ca="1">IF(B75&lt;&gt;"", IF(MATCH(A75, calculations!A:A, 0), INDEX(calculations!D:D, MATCH(A75, calculations!A:A, 0)), "No Match"),"")</f>
        <v>337404904</v>
      </c>
      <c r="D75" s="43">
        <f t="shared" ca="1" si="8"/>
        <v>-1.1044663541835704E-3</v>
      </c>
      <c r="E75" s="43">
        <f t="shared" ca="1" si="0"/>
        <v>1.9193857258548828E-4</v>
      </c>
      <c r="F75" s="43">
        <f t="shared" ca="1" si="13"/>
        <v>8.3891245648378465E-2</v>
      </c>
      <c r="G75" s="42">
        <f t="shared" ca="1" si="1"/>
        <v>125113112452.24001</v>
      </c>
      <c r="H75" s="41">
        <f t="shared" ca="1" si="14"/>
        <v>394.02461064248678</v>
      </c>
      <c r="I75" s="3"/>
      <c r="J75" s="43">
        <f t="shared" ca="1" si="16"/>
        <v>1</v>
      </c>
      <c r="K75" s="44" t="str">
        <f t="shared" ca="1" si="10"/>
        <v/>
      </c>
      <c r="L75" s="3"/>
      <c r="M75" s="45">
        <f t="shared" ca="1" si="2"/>
        <v>327.91417983665571</v>
      </c>
      <c r="N75" s="47">
        <f t="shared" ca="1" si="3"/>
        <v>460.13504144831785</v>
      </c>
      <c r="O75" s="45">
        <f t="shared" ca="1" si="4"/>
        <v>294.85896443374014</v>
      </c>
      <c r="P75" s="47">
        <f t="shared" ca="1" si="5"/>
        <v>493.19025685123341</v>
      </c>
      <c r="Q75" s="45">
        <f t="shared" ca="1" si="6"/>
        <v>261.80374903082463</v>
      </c>
      <c r="R75" s="47">
        <f t="shared" ca="1" si="7"/>
        <v>526.24547225414892</v>
      </c>
      <c r="S75" s="73">
        <f t="shared" ca="1" si="15"/>
        <v>1</v>
      </c>
      <c r="T75" s="73"/>
      <c r="U75" s="3"/>
      <c r="V75" s="3"/>
      <c r="W75" s="3"/>
      <c r="X75" s="3"/>
    </row>
    <row r="76" spans="1:24" ht="14" thickBot="1">
      <c r="A76" s="40">
        <v>42415</v>
      </c>
      <c r="B76" s="41">
        <f t="array" aca="1" ref="B76" ca="1">IF(AND(A76 &gt; TODAY(), A76 &lt;= TODAY() + 7),
   INDEX(calculations!B:B, MATCH(143^143, calculations!B:B)),
   IF(ISNUMBER(MATCH(A76, calculations!A:A, 0)),
      INDEX(calculations!B:B, MATCH(A76, calculations!A:A, 0)),
      ""
   )
)</f>
        <v>399.27</v>
      </c>
      <c r="C76" s="42">
        <f t="array" aca="1" ref="C76" ca="1">IF(B76&lt;&gt;"", IF(MATCH(A76, calculations!A:A, 0), INDEX(calculations!D:D, MATCH(A76, calculations!A:A, 0)), "No Match"),"")</f>
        <v>465920396</v>
      </c>
      <c r="D76" s="43">
        <f t="shared" ca="1" si="8"/>
        <v>7.675089668563409E-2</v>
      </c>
      <c r="E76" s="43">
        <f t="shared" ca="1" si="0"/>
        <v>4.0961501872939276E-3</v>
      </c>
      <c r="F76" s="43">
        <f t="shared" ca="1" si="13"/>
        <v>8.5533912261879133E-2</v>
      </c>
      <c r="G76" s="42">
        <f t="shared" ca="1" si="1"/>
        <v>186028036510.91998</v>
      </c>
      <c r="H76" s="41">
        <f t="shared" ca="1" si="14"/>
        <v>396.55237426805564</v>
      </c>
      <c r="I76" s="3"/>
      <c r="J76" s="43">
        <f t="shared" ca="1" si="16"/>
        <v>1</v>
      </c>
      <c r="K76" s="44" t="str">
        <f t="shared" ca="1" si="10"/>
        <v/>
      </c>
      <c r="L76" s="3"/>
      <c r="M76" s="45">
        <f t="shared" ca="1" si="2"/>
        <v>328.71502229228821</v>
      </c>
      <c r="N76" s="47">
        <f t="shared" ca="1" si="3"/>
        <v>464.38972624382308</v>
      </c>
      <c r="O76" s="45">
        <f t="shared" ca="1" si="4"/>
        <v>294.79634630440444</v>
      </c>
      <c r="P76" s="47">
        <f t="shared" ca="1" si="5"/>
        <v>498.30840223170685</v>
      </c>
      <c r="Q76" s="45">
        <f t="shared" ca="1" si="6"/>
        <v>260.87767031652078</v>
      </c>
      <c r="R76" s="47">
        <f t="shared" ca="1" si="7"/>
        <v>532.22707821959057</v>
      </c>
      <c r="S76" s="73">
        <f t="shared" ca="1" si="15"/>
        <v>1</v>
      </c>
      <c r="T76" s="73"/>
      <c r="U76" s="3"/>
      <c r="V76" s="3"/>
      <c r="W76" s="3"/>
      <c r="X76" s="3"/>
    </row>
    <row r="77" spans="1:24" ht="14" thickBot="1">
      <c r="A77" s="40">
        <v>42422</v>
      </c>
      <c r="B77" s="41">
        <f t="array" aca="1" ref="B77" ca="1">IF(AND(A77 &gt; TODAY(), A77 &lt;= TODAY() + 7),
   INDEX(calculations!B:B, MATCH(143^143, calculations!B:B)),
   IF(ISNUMBER(MATCH(A77, calculations!A:A, 0)),
      INDEX(calculations!B:B, MATCH(A77, calculations!A:A, 0)),
      ""
   )
)</f>
        <v>437.54</v>
      </c>
      <c r="C77" s="42">
        <f t="array" aca="1" ref="C77" ca="1">IF(B77&lt;&gt;"", IF(MATCH(A77, calculations!A:A, 0), INDEX(calculations!D:D, MATCH(A77, calculations!A:A, 0)), "No Match"),"")</f>
        <v>546633900</v>
      </c>
      <c r="D77" s="43">
        <f t="shared" ca="1" si="8"/>
        <v>9.5849926115160272E-2</v>
      </c>
      <c r="E77" s="43">
        <f t="shared" ca="1" si="0"/>
        <v>6.9056436982552647E-3</v>
      </c>
      <c r="F77" s="43">
        <f t="shared" ca="1" si="13"/>
        <v>7.8806486664858275E-2</v>
      </c>
      <c r="G77" s="42">
        <f t="shared" ca="1" si="1"/>
        <v>239174196606</v>
      </c>
      <c r="H77" s="41">
        <f t="shared" ca="1" si="14"/>
        <v>405.36507663597303</v>
      </c>
      <c r="I77" s="3"/>
      <c r="J77" s="43">
        <f t="shared" ca="1" si="16"/>
        <v>1</v>
      </c>
      <c r="K77" s="44" t="str">
        <f t="shared" ca="1" si="10"/>
        <v/>
      </c>
      <c r="L77" s="3"/>
      <c r="M77" s="45">
        <f t="shared" ca="1" si="2"/>
        <v>341.47428162334887</v>
      </c>
      <c r="N77" s="47">
        <f t="shared" ca="1" si="3"/>
        <v>469.25587164859712</v>
      </c>
      <c r="O77" s="45">
        <f t="shared" ca="1" si="4"/>
        <v>309.52888411703685</v>
      </c>
      <c r="P77" s="47">
        <f t="shared" ca="1" si="5"/>
        <v>501.2012691549092</v>
      </c>
      <c r="Q77" s="45">
        <f t="shared" ca="1" si="6"/>
        <v>277.58348661072478</v>
      </c>
      <c r="R77" s="47">
        <f t="shared" ca="1" si="7"/>
        <v>533.14666666122127</v>
      </c>
      <c r="S77" s="73">
        <f t="shared" ca="1" si="15"/>
        <v>1</v>
      </c>
      <c r="T77" s="73"/>
      <c r="U77" s="3"/>
      <c r="V77" s="3"/>
      <c r="W77" s="3"/>
      <c r="X77" s="3"/>
    </row>
    <row r="78" spans="1:24" ht="14" thickBot="1">
      <c r="A78" s="40">
        <v>42429</v>
      </c>
      <c r="B78" s="41">
        <f t="array" aca="1" ref="B78" ca="1">IF(AND(A78 &gt; TODAY(), A78 &lt;= TODAY() + 7),
   INDEX(calculations!B:B, MATCH(143^143, calculations!B:B)),
   IF(ISNUMBER(MATCH(A78, calculations!A:A, 0)),
      INDEX(calculations!B:B, MATCH(A78, calculations!A:A, 0)),
      ""
   )
)</f>
        <v>437.78</v>
      </c>
      <c r="C78" s="42">
        <f t="array" aca="1" ref="C78" ca="1">IF(B78&lt;&gt;"", IF(MATCH(A78, calculations!A:A, 0), INDEX(calculations!D:D, MATCH(A78, calculations!A:A, 0)), "No Match"),"")</f>
        <v>465584792</v>
      </c>
      <c r="D78" s="43">
        <f t="shared" ca="1" si="8"/>
        <v>5.4852127805446872E-4</v>
      </c>
      <c r="E78" s="43">
        <f t="shared" ca="1" si="0"/>
        <v>1.4886933219946752E-4</v>
      </c>
      <c r="F78" s="43">
        <f t="shared" ca="1" si="13"/>
        <v>7.792441189567266E-2</v>
      </c>
      <c r="G78" s="42">
        <f t="shared" ca="1" si="1"/>
        <v>203823710241.75998</v>
      </c>
      <c r="H78" s="41">
        <f t="shared" ca="1" si="14"/>
        <v>411.57392192001936</v>
      </c>
      <c r="I78" s="3"/>
      <c r="J78" s="43">
        <f t="shared" ca="1" si="16"/>
        <v>1</v>
      </c>
      <c r="K78" s="44" t="str">
        <f t="shared" ca="1" si="10"/>
        <v/>
      </c>
      <c r="L78" s="3"/>
      <c r="M78" s="45">
        <f t="shared" ca="1" si="2"/>
        <v>347.43061028559333</v>
      </c>
      <c r="N78" s="47">
        <f t="shared" ca="1" si="3"/>
        <v>475.71723355444539</v>
      </c>
      <c r="O78" s="45">
        <f t="shared" ca="1" si="4"/>
        <v>315.35895446838038</v>
      </c>
      <c r="P78" s="47">
        <f t="shared" ca="1" si="5"/>
        <v>507.78888937165834</v>
      </c>
      <c r="Q78" s="45">
        <f t="shared" ca="1" si="6"/>
        <v>283.2872986511673</v>
      </c>
      <c r="R78" s="47">
        <f t="shared" ca="1" si="7"/>
        <v>539.86054518887136</v>
      </c>
      <c r="S78" s="73">
        <f t="shared" ca="1" si="15"/>
        <v>1</v>
      </c>
      <c r="T78" s="73"/>
      <c r="U78" s="3"/>
      <c r="V78" s="3"/>
      <c r="W78" s="3"/>
      <c r="X78" s="3"/>
    </row>
    <row r="79" spans="1:24" ht="14" thickBot="1">
      <c r="A79" s="40">
        <v>42436</v>
      </c>
      <c r="B79" s="41">
        <f t="array" aca="1" ref="B79" ca="1">IF(AND(A79 &gt; TODAY(), A79 &lt;= TODAY() + 7),
   INDEX(calculations!B:B, MATCH(143^143, calculations!B:B)),
   IF(ISNUMBER(MATCH(A79, calculations!A:A, 0)),
      INDEX(calculations!B:B, MATCH(A79, calculations!A:A, 0)),
      ""
   )
)</f>
        <v>413.23</v>
      </c>
      <c r="C79" s="42">
        <f t="array" aca="1" ref="C79" ca="1">IF(B79&lt;&gt;"", IF(MATCH(A79, calculations!A:A, 0), INDEX(calculations!D:D, MATCH(A79, calculations!A:A, 0)), "No Match"),"")</f>
        <v>628483380</v>
      </c>
      <c r="D79" s="43">
        <f t="shared" ca="1" si="8"/>
        <v>-5.6078395541139282E-2</v>
      </c>
      <c r="E79" s="43">
        <f t="shared" ca="1" si="0"/>
        <v>4.7373099512154921E-3</v>
      </c>
      <c r="F79" s="43">
        <f t="shared" ca="1" si="13"/>
        <v>6.8642297170478206E-2</v>
      </c>
      <c r="G79" s="42">
        <f t="shared" ca="1" si="1"/>
        <v>259708187117.40002</v>
      </c>
      <c r="H79" s="41">
        <f t="shared" ca="1" si="14"/>
        <v>413.47634444568456</v>
      </c>
      <c r="I79" s="3"/>
      <c r="J79" s="43">
        <f t="shared" ca="1" si="16"/>
        <v>1</v>
      </c>
      <c r="K79" s="44" t="str">
        <f t="shared" ca="1" si="10"/>
        <v/>
      </c>
      <c r="L79" s="3"/>
      <c r="M79" s="45">
        <f t="shared" ca="1" si="2"/>
        <v>356.71241222887721</v>
      </c>
      <c r="N79" s="47">
        <f t="shared" ca="1" si="3"/>
        <v>470.24027666249191</v>
      </c>
      <c r="O79" s="45">
        <f t="shared" ca="1" si="4"/>
        <v>328.33044612047348</v>
      </c>
      <c r="P79" s="47">
        <f t="shared" ca="1" si="5"/>
        <v>498.62224277089564</v>
      </c>
      <c r="Q79" s="45">
        <f t="shared" ca="1" si="6"/>
        <v>299.94848001206981</v>
      </c>
      <c r="R79" s="47">
        <f t="shared" ca="1" si="7"/>
        <v>527.00420887929931</v>
      </c>
      <c r="S79" s="73">
        <f t="shared" ca="1" si="15"/>
        <v>1</v>
      </c>
      <c r="T79" s="73"/>
      <c r="U79" s="3"/>
      <c r="V79" s="3"/>
      <c r="W79" s="3"/>
      <c r="X79" s="3"/>
    </row>
    <row r="80" spans="1:24" ht="14" thickBot="1">
      <c r="A80" s="40">
        <v>42443</v>
      </c>
      <c r="B80" s="41">
        <f t="array" aca="1" ref="B80" ca="1">IF(AND(A80 &gt; TODAY(), A80 &lt;= TODAY() + 7),
   INDEX(calculations!B:B, MATCH(143^143, calculations!B:B)),
   IF(ISNUMBER(MATCH(A80, calculations!A:A, 0)),
      INDEX(calculations!B:B, MATCH(A80, calculations!A:A, 0)),
      ""
   )
)</f>
        <v>415.03</v>
      </c>
      <c r="C80" s="42">
        <f t="array" aca="1" ref="C80" ca="1">IF(B80&lt;&gt;"", IF(MATCH(A80, calculations!A:A, 0), INDEX(calculations!D:D, MATCH(A80, calculations!A:A, 0)), "No Match"),"")</f>
        <v>548114688</v>
      </c>
      <c r="D80" s="43">
        <f t="shared" ca="1" si="8"/>
        <v>4.3559276916002093E-3</v>
      </c>
      <c r="E80" s="43">
        <f t="shared" ca="1" si="0"/>
        <v>7.0455805691886365E-5</v>
      </c>
      <c r="F80" s="43">
        <f t="shared" ca="1" si="13"/>
        <v>6.7725514018762062E-2</v>
      </c>
      <c r="G80" s="42">
        <f t="shared" ca="1" si="1"/>
        <v>227484038960.63998</v>
      </c>
      <c r="H80" s="41">
        <f t="shared" ca="1" si="14"/>
        <v>414.72486518394732</v>
      </c>
      <c r="I80" s="3"/>
      <c r="J80" s="43">
        <f t="shared" ca="1" si="16"/>
        <v>1</v>
      </c>
      <c r="K80" s="44" t="str">
        <f t="shared" ca="1" si="10"/>
        <v/>
      </c>
      <c r="L80" s="3"/>
      <c r="M80" s="45">
        <f t="shared" ca="1" si="2"/>
        <v>358.54995584205807</v>
      </c>
      <c r="N80" s="47">
        <f t="shared" ca="1" si="3"/>
        <v>470.89977452583656</v>
      </c>
      <c r="O80" s="45">
        <f t="shared" ca="1" si="4"/>
        <v>330.46250117111339</v>
      </c>
      <c r="P80" s="47">
        <f t="shared" ca="1" si="5"/>
        <v>498.98722919678119</v>
      </c>
      <c r="Q80" s="45">
        <f t="shared" ca="1" si="6"/>
        <v>302.37504650016882</v>
      </c>
      <c r="R80" s="47">
        <f t="shared" ca="1" si="7"/>
        <v>527.07468386772575</v>
      </c>
      <c r="S80" s="73">
        <f t="shared" ca="1" si="15"/>
        <v>1</v>
      </c>
      <c r="T80" s="73"/>
      <c r="U80" s="3"/>
      <c r="V80" s="3"/>
      <c r="W80" s="3"/>
      <c r="X80" s="3"/>
    </row>
    <row r="81" spans="1:24" ht="14" thickBot="1">
      <c r="A81" s="40">
        <v>42450</v>
      </c>
      <c r="B81" s="41">
        <f t="array" aca="1" ref="B81" ca="1">IF(AND(A81 &gt; TODAY(), A81 &lt;= TODAY() + 7),
   INDEX(calculations!B:B, MATCH(143^143, calculations!B:B)),
   IF(ISNUMBER(MATCH(A81, calculations!A:A, 0)),
      INDEX(calculations!B:B, MATCH(A81, calculations!A:A, 0)),
      ""
   )
)</f>
        <v>411.6</v>
      </c>
      <c r="C81" s="42">
        <f t="array" aca="1" ref="C81" ca="1">IF(B81&lt;&gt;"", IF(MATCH(A81, calculations!A:A, 0), INDEX(calculations!D:D, MATCH(A81, calculations!A:A, 0)), "No Match"),"")</f>
        <v>520066400</v>
      </c>
      <c r="D81" s="43">
        <f t="shared" ca="1" si="8"/>
        <v>-8.2644628099172359E-3</v>
      </c>
      <c r="E81" s="43">
        <f t="shared" ca="1" si="0"/>
        <v>4.4159602030642944E-4</v>
      </c>
      <c r="F81" s="43">
        <f t="shared" ca="1" si="13"/>
        <v>5.9122990806568562E-2</v>
      </c>
      <c r="G81" s="42">
        <f t="shared" ca="1" si="1"/>
        <v>214059330240</v>
      </c>
      <c r="H81" s="41">
        <f t="shared" ca="1" si="14"/>
        <v>412.10708037594293</v>
      </c>
      <c r="I81" s="3"/>
      <c r="J81" s="43">
        <f t="shared" ca="1" si="16"/>
        <v>1</v>
      </c>
      <c r="K81" s="44" t="str">
        <f t="shared" ca="1" si="10"/>
        <v/>
      </c>
      <c r="L81" s="3"/>
      <c r="M81" s="45">
        <f t="shared" ca="1" si="2"/>
        <v>363.37707412716554</v>
      </c>
      <c r="N81" s="47">
        <f t="shared" ca="1" si="3"/>
        <v>460.83708662472031</v>
      </c>
      <c r="O81" s="45">
        <f t="shared" ca="1" si="4"/>
        <v>339.01207100277691</v>
      </c>
      <c r="P81" s="47">
        <f t="shared" ca="1" si="5"/>
        <v>485.20208974910895</v>
      </c>
      <c r="Q81" s="45">
        <f t="shared" ca="1" si="6"/>
        <v>314.64706787838816</v>
      </c>
      <c r="R81" s="47">
        <f t="shared" ca="1" si="7"/>
        <v>509.5670928734977</v>
      </c>
      <c r="S81" s="73">
        <f t="shared" ca="1" si="15"/>
        <v>1</v>
      </c>
      <c r="T81" s="73"/>
      <c r="U81" s="3"/>
      <c r="V81" s="3"/>
      <c r="W81" s="3"/>
      <c r="X81" s="3"/>
    </row>
    <row r="82" spans="1:24" ht="14" thickBot="1">
      <c r="A82" s="40">
        <v>42457</v>
      </c>
      <c r="B82" s="41">
        <f t="array" aca="1" ref="B82" ca="1">IF(AND(A82 &gt; TODAY(), A82 &lt;= TODAY() + 7),
   INDEX(calculations!B:B, MATCH(143^143, calculations!B:B)),
   IF(ISNUMBER(MATCH(A82, calculations!A:A, 0)),
      INDEX(calculations!B:B, MATCH(A82, calculations!A:A, 0)),
      ""
   )
)</f>
        <v>422.92</v>
      </c>
      <c r="C82" s="42">
        <f t="array" aca="1" ref="C82" ca="1">IF(B82&lt;&gt;"", IF(MATCH(A82, calculations!A:A, 0), INDEX(calculations!D:D, MATCH(A82, calculations!A:A, 0)), "No Match"),"")</f>
        <v>426699404</v>
      </c>
      <c r="D82" s="43">
        <f t="shared" ca="1" si="8"/>
        <v>2.7502429543245853E-2</v>
      </c>
      <c r="E82" s="43">
        <f t="shared" ca="1" si="0"/>
        <v>2.1764233978359616E-4</v>
      </c>
      <c r="F82" s="43">
        <f t="shared" ca="1" si="13"/>
        <v>5.9628768093495314E-2</v>
      </c>
      <c r="G82" s="42">
        <f t="shared" ca="1" si="1"/>
        <v>180459711939.67999</v>
      </c>
      <c r="H82" s="41">
        <f t="shared" ca="1" si="14"/>
        <v>410.65900323826111</v>
      </c>
      <c r="I82" s="3"/>
      <c r="J82" s="43">
        <f t="shared" ca="1" si="16"/>
        <v>1</v>
      </c>
      <c r="K82" s="44" t="str">
        <f t="shared" ca="1" si="10"/>
        <v/>
      </c>
      <c r="L82" s="3"/>
      <c r="M82" s="45">
        <f t="shared" ca="1" si="2"/>
        <v>361.68482229906067</v>
      </c>
      <c r="N82" s="47">
        <f t="shared" ca="1" si="3"/>
        <v>459.63318417746149</v>
      </c>
      <c r="O82" s="45">
        <f t="shared" ca="1" si="4"/>
        <v>337.19773182946051</v>
      </c>
      <c r="P82" s="47">
        <f t="shared" ca="1" si="5"/>
        <v>484.12027464706176</v>
      </c>
      <c r="Q82" s="45">
        <f t="shared" ca="1" si="6"/>
        <v>312.71064135986023</v>
      </c>
      <c r="R82" s="47">
        <f t="shared" ca="1" si="7"/>
        <v>508.60736511666198</v>
      </c>
      <c r="S82" s="73">
        <f t="shared" ca="1" si="15"/>
        <v>1</v>
      </c>
      <c r="T82" s="73"/>
      <c r="U82" s="3"/>
      <c r="V82" s="3"/>
      <c r="W82" s="3"/>
      <c r="X82" s="3"/>
    </row>
    <row r="83" spans="1:24" ht="14" thickBot="1">
      <c r="A83" s="40">
        <v>42464</v>
      </c>
      <c r="B83" s="41">
        <f t="array" aca="1" ref="B83" ca="1">IF(AND(A83 &gt; TODAY(), A83 &lt;= TODAY() + 7),
   INDEX(calculations!B:B, MATCH(143^143, calculations!B:B)),
   IF(ISNUMBER(MATCH(A83, calculations!A:A, 0)),
      INDEX(calculations!B:B, MATCH(A83, calculations!A:A, 0)),
      ""
   )
)</f>
        <v>419.54</v>
      </c>
      <c r="C83" s="42">
        <f t="array" aca="1" ref="C83" ca="1">IF(B83&lt;&gt;"", IF(MATCH(A83, calculations!A:A, 0), INDEX(calculations!D:D, MATCH(A83, calculations!A:A, 0)), "No Match"),"")</f>
        <v>405154204</v>
      </c>
      <c r="D83" s="43">
        <f t="shared" ca="1" si="8"/>
        <v>-7.9920552350326197E-3</v>
      </c>
      <c r="E83" s="43">
        <f t="shared" ca="1" si="0"/>
        <v>4.3022137920884667E-4</v>
      </c>
      <c r="F83" s="43">
        <f t="shared" ca="1" si="13"/>
        <v>5.8723430958968099E-2</v>
      </c>
      <c r="G83" s="42">
        <f t="shared" ca="1" si="1"/>
        <v>169978394746.16</v>
      </c>
      <c r="H83" s="41">
        <f t="shared" ca="1" si="14"/>
        <v>410.50724358555914</v>
      </c>
      <c r="I83" s="3"/>
      <c r="J83" s="43">
        <f t="shared" ca="1" si="16"/>
        <v>1</v>
      </c>
      <c r="K83" s="44" t="str">
        <f t="shared" ca="1" si="10"/>
        <v/>
      </c>
      <c r="L83" s="3"/>
      <c r="M83" s="45">
        <f t="shared" ca="1" si="2"/>
        <v>362.29445603185337</v>
      </c>
      <c r="N83" s="47">
        <f t="shared" ca="1" si="3"/>
        <v>458.72003113926496</v>
      </c>
      <c r="O83" s="45">
        <f t="shared" ca="1" si="4"/>
        <v>338.18806225500049</v>
      </c>
      <c r="P83" s="47">
        <f t="shared" ca="1" si="5"/>
        <v>482.82642491611773</v>
      </c>
      <c r="Q83" s="45">
        <f t="shared" ca="1" si="6"/>
        <v>314.08166847814761</v>
      </c>
      <c r="R83" s="47">
        <f t="shared" ca="1" si="7"/>
        <v>506.93281869297067</v>
      </c>
      <c r="S83" s="73">
        <f t="shared" ca="1" si="15"/>
        <v>1</v>
      </c>
      <c r="T83" s="73"/>
      <c r="U83" s="3"/>
      <c r="V83" s="3"/>
      <c r="W83" s="3"/>
      <c r="X83" s="3"/>
    </row>
    <row r="84" spans="1:24" ht="14" thickBot="1">
      <c r="A84" s="40">
        <v>42471</v>
      </c>
      <c r="B84" s="41">
        <f t="array" aca="1" ref="B84" ca="1">IF(AND(A84 &gt; TODAY(), A84 &lt;= TODAY() + 7),
   INDEX(calculations!B:B, MATCH(143^143, calculations!B:B)),
   IF(ISNUMBER(MATCH(A84, calculations!A:A, 0)),
      INDEX(calculations!B:B, MATCH(A84, calculations!A:A, 0)),
      ""
   )
)</f>
        <v>423.27</v>
      </c>
      <c r="C84" s="42">
        <f t="array" aca="1" ref="C84" ca="1">IF(B84&lt;&gt;"", IF(MATCH(A84, calculations!A:A, 0), INDEX(calculations!D:D, MATCH(A84, calculations!A:A, 0)), "No Match"),"")</f>
        <v>415027900</v>
      </c>
      <c r="D84" s="43">
        <f t="shared" ca="1" si="8"/>
        <v>8.8906898031176074E-3</v>
      </c>
      <c r="E84" s="43">
        <f t="shared" ca="1" si="0"/>
        <v>1.4892139978910225E-5</v>
      </c>
      <c r="F84" s="43">
        <f t="shared" ca="1" si="13"/>
        <v>5.8222923809573071E-2</v>
      </c>
      <c r="G84" s="42">
        <f t="shared" ca="1" si="1"/>
        <v>175668859233</v>
      </c>
      <c r="H84" s="41">
        <f t="shared" ca="1" si="14"/>
        <v>410.26809126760179</v>
      </c>
      <c r="I84" s="3"/>
      <c r="J84" s="43">
        <f t="shared" ca="1" si="16"/>
        <v>1</v>
      </c>
      <c r="K84" s="44" t="str">
        <f t="shared" ca="1" si="10"/>
        <v/>
      </c>
      <c r="L84" s="3"/>
      <c r="M84" s="45">
        <f t="shared" ca="1" si="2"/>
        <v>362.49407562885671</v>
      </c>
      <c r="N84" s="47">
        <f t="shared" ca="1" si="3"/>
        <v>458.04210690634687</v>
      </c>
      <c r="O84" s="45">
        <f t="shared" ca="1" si="4"/>
        <v>338.60706780948414</v>
      </c>
      <c r="P84" s="47">
        <f t="shared" ca="1" si="5"/>
        <v>481.92911472571944</v>
      </c>
      <c r="Q84" s="45">
        <f t="shared" ca="1" si="6"/>
        <v>314.72005999011162</v>
      </c>
      <c r="R84" s="47">
        <f t="shared" ca="1" si="7"/>
        <v>505.81612254509196</v>
      </c>
      <c r="S84" s="73">
        <f t="shared" ca="1" si="15"/>
        <v>1</v>
      </c>
      <c r="T84" s="73"/>
      <c r="U84" s="3"/>
      <c r="V84" s="3"/>
      <c r="W84" s="3"/>
      <c r="X84" s="3"/>
    </row>
    <row r="85" spans="1:24" ht="14" thickBot="1">
      <c r="A85" s="40">
        <v>42478</v>
      </c>
      <c r="B85" s="41">
        <f t="array" aca="1" ref="B85" ca="1">IF(AND(A85 &gt; TODAY(), A85 &lt;= TODAY() + 7),
   INDEX(calculations!B:B, MATCH(143^143, calculations!B:B)),
   IF(ISNUMBER(MATCH(A85, calculations!A:A, 0)),
      INDEX(calculations!B:B, MATCH(A85, calculations!A:A, 0)),
      ""
   )
)</f>
        <v>429.66</v>
      </c>
      <c r="C85" s="42">
        <f t="array" aca="1" ref="C85" ca="1">IF(B85&lt;&gt;"", IF(MATCH(A85, calculations!A:A, 0), INDEX(calculations!D:D, MATCH(A85, calculations!A:A, 0)), "No Match"),"")</f>
        <v>382137900</v>
      </c>
      <c r="D85" s="43">
        <f t="shared" ca="1" si="8"/>
        <v>1.5096746757389003E-2</v>
      </c>
      <c r="E85" s="43">
        <f t="shared" ca="1" si="0"/>
        <v>5.5085188365484767E-6</v>
      </c>
      <c r="F85" s="43">
        <f t="shared" ca="1" si="13"/>
        <v>5.7493019075193511E-2</v>
      </c>
      <c r="G85" s="42">
        <f t="shared" ca="1" si="1"/>
        <v>164189370114</v>
      </c>
      <c r="H85" s="41">
        <f t="shared" ca="1" si="14"/>
        <v>409.52423719980118</v>
      </c>
      <c r="I85" s="3"/>
      <c r="J85" s="43">
        <f t="shared" ca="1" si="16"/>
        <v>1</v>
      </c>
      <c r="K85" s="44" t="str">
        <f t="shared" ca="1" si="10"/>
        <v/>
      </c>
      <c r="L85" s="3"/>
      <c r="M85" s="45">
        <f t="shared" ca="1" si="2"/>
        <v>362.43466763763672</v>
      </c>
      <c r="N85" s="47">
        <f t="shared" ca="1" si="3"/>
        <v>456.61380676196569</v>
      </c>
      <c r="O85" s="45">
        <f t="shared" ca="1" si="4"/>
        <v>338.88988285655444</v>
      </c>
      <c r="P85" s="47">
        <f t="shared" ca="1" si="5"/>
        <v>480.15859154304792</v>
      </c>
      <c r="Q85" s="45">
        <f t="shared" ca="1" si="6"/>
        <v>315.34509807547227</v>
      </c>
      <c r="R85" s="47">
        <f t="shared" ca="1" si="7"/>
        <v>503.70337632413009</v>
      </c>
      <c r="S85" s="73">
        <f t="shared" ca="1" si="15"/>
        <v>1</v>
      </c>
      <c r="T85" s="73"/>
      <c r="U85" s="3"/>
      <c r="V85" s="3"/>
      <c r="W85" s="3"/>
      <c r="X85" s="3"/>
    </row>
    <row r="86" spans="1:24" ht="14" thickBot="1">
      <c r="A86" s="40">
        <v>42485</v>
      </c>
      <c r="B86" s="41">
        <f t="array" aca="1" ref="B86" ca="1">IF(AND(A86 &gt; TODAY(), A86 &lt;= TODAY() + 7),
   INDEX(calculations!B:B, MATCH(143^143, calculations!B:B)),
   IF(ISNUMBER(MATCH(A86, calculations!A:A, 0)),
      INDEX(calculations!B:B, MATCH(A86, calculations!A:A, 0)),
      ""
   )
)</f>
        <v>465.32</v>
      </c>
      <c r="C86" s="42">
        <f t="array" aca="1" ref="C86" ca="1">IF(B86&lt;&gt;"", IF(MATCH(A86, calculations!A:A, 0), INDEX(calculations!D:D, MATCH(A86, calculations!A:A, 0)), "No Match"),"")</f>
        <v>427064400</v>
      </c>
      <c r="D86" s="43">
        <f t="shared" ca="1" si="8"/>
        <v>8.2995857189405498E-2</v>
      </c>
      <c r="E86" s="43">
        <f t="shared" ca="1" si="0"/>
        <v>4.9345193182378528E-3</v>
      </c>
      <c r="F86" s="43">
        <f t="shared" ca="1" si="13"/>
        <v>4.5151286361493057E-2</v>
      </c>
      <c r="G86" s="42">
        <f t="shared" ca="1" si="1"/>
        <v>198721606608</v>
      </c>
      <c r="H86" s="41">
        <f t="shared" ca="1" si="14"/>
        <v>415.87660116644969</v>
      </c>
      <c r="I86" s="3"/>
      <c r="J86" s="43">
        <f t="shared" ca="1" si="16"/>
        <v>-0.31621961590668896</v>
      </c>
      <c r="K86" s="44">
        <f t="shared" ca="1" si="10"/>
        <v>-2</v>
      </c>
      <c r="L86" s="3"/>
      <c r="M86" s="45">
        <f t="shared" ca="1" si="2"/>
        <v>378.32187414582808</v>
      </c>
      <c r="N86" s="47">
        <f t="shared" ca="1" si="3"/>
        <v>453.43132818707124</v>
      </c>
      <c r="O86" s="45">
        <f t="shared" ca="1" si="4"/>
        <v>359.54451063551727</v>
      </c>
      <c r="P86" s="47">
        <f t="shared" ca="1" si="5"/>
        <v>472.20869169738211</v>
      </c>
      <c r="Q86" s="45">
        <f t="shared" ca="1" si="6"/>
        <v>340.76714712520646</v>
      </c>
      <c r="R86" s="47">
        <f t="shared" ca="1" si="7"/>
        <v>490.98605520769291</v>
      </c>
      <c r="S86" s="73">
        <f t="shared" ca="1" si="15"/>
        <v>-0.31621961590668896</v>
      </c>
      <c r="T86" s="73"/>
      <c r="U86" s="3"/>
      <c r="V86" s="3"/>
      <c r="W86" s="3"/>
      <c r="X86" s="3"/>
    </row>
    <row r="87" spans="1:24" ht="14" thickBot="1">
      <c r="A87" s="40">
        <v>42492</v>
      </c>
      <c r="B87" s="41">
        <f t="array" aca="1" ref="B87" ca="1">IF(AND(A87 &gt; TODAY(), A87 &lt;= TODAY() + 7),
   INDEX(calculations!B:B, MATCH(143^143, calculations!B:B)),
   IF(ISNUMBER(MATCH(A87, calculations!A:A, 0)),
      INDEX(calculations!B:B, MATCH(A87, calculations!A:A, 0)),
      ""
   )
)</f>
        <v>444.93</v>
      </c>
      <c r="C87" s="42">
        <f t="array" aca="1" ref="C87" ca="1">IF(B87&lt;&gt;"", IF(MATCH(A87, calculations!A:A, 0), INDEX(calculations!D:D, MATCH(A87, calculations!A:A, 0)), "No Match"),"")</f>
        <v>492934504</v>
      </c>
      <c r="D87" s="43">
        <f t="shared" ca="1" si="8"/>
        <v>-4.3819307143471133E-2</v>
      </c>
      <c r="E87" s="43">
        <f t="shared" ca="1" si="0"/>
        <v>3.2000552118939913E-3</v>
      </c>
      <c r="F87" s="43">
        <f t="shared" ca="1" si="13"/>
        <v>4.7732850929319795E-2</v>
      </c>
      <c r="G87" s="42">
        <f t="shared" ca="1" si="1"/>
        <v>219321348864.72</v>
      </c>
      <c r="H87" s="41">
        <f t="shared" ca="1" si="14"/>
        <v>419.9327207476594</v>
      </c>
      <c r="I87" s="3"/>
      <c r="J87" s="43">
        <f t="shared" ca="1" si="16"/>
        <v>1</v>
      </c>
      <c r="K87" s="44" t="str">
        <f t="shared" ca="1" si="10"/>
        <v/>
      </c>
      <c r="L87" s="3"/>
      <c r="M87" s="45">
        <f t="shared" ca="1" si="2"/>
        <v>379.843548828076</v>
      </c>
      <c r="N87" s="47">
        <f t="shared" ca="1" si="3"/>
        <v>460.02189266724281</v>
      </c>
      <c r="O87" s="45">
        <f t="shared" ca="1" si="4"/>
        <v>359.79896286828432</v>
      </c>
      <c r="P87" s="47">
        <f t="shared" ca="1" si="5"/>
        <v>480.06647862703448</v>
      </c>
      <c r="Q87" s="45">
        <f t="shared" ca="1" si="6"/>
        <v>339.75437690849259</v>
      </c>
      <c r="R87" s="47">
        <f t="shared" ca="1" si="7"/>
        <v>500.11106458682622</v>
      </c>
      <c r="S87" s="73">
        <f t="shared" ca="1" si="15"/>
        <v>1</v>
      </c>
      <c r="T87" s="73"/>
      <c r="U87" s="3"/>
      <c r="V87" s="3"/>
      <c r="W87" s="3"/>
      <c r="X87" s="3"/>
    </row>
    <row r="88" spans="1:24" ht="14" thickBot="1">
      <c r="A88" s="40">
        <v>42499</v>
      </c>
      <c r="B88" s="41">
        <f t="array" aca="1" ref="B88" ca="1">IF(AND(A88 &gt; TODAY(), A88 &lt;= TODAY() + 7),
   INDEX(calculations!B:B, MATCH(143^143, calculations!B:B)),
   IF(ISNUMBER(MATCH(A88, calculations!A:A, 0)),
      INDEX(calculations!B:B, MATCH(A88, calculations!A:A, 0)),
      ""
   )
)</f>
        <v>463.46</v>
      </c>
      <c r="C88" s="42">
        <f t="array" aca="1" ref="C88" ca="1">IF(B88&lt;&gt;"", IF(MATCH(A88, calculations!A:A, 0), INDEX(calculations!D:D, MATCH(A88, calculations!A:A, 0)), "No Match"),"")</f>
        <v>403817800</v>
      </c>
      <c r="D88" s="43">
        <f t="shared" ca="1" si="8"/>
        <v>4.1647000651787856E-2</v>
      </c>
      <c r="E88" s="43">
        <f t="shared" ca="1" si="0"/>
        <v>8.3505263498506635E-4</v>
      </c>
      <c r="F88" s="43">
        <f t="shared" ca="1" si="13"/>
        <v>4.4713219818661741E-2</v>
      </c>
      <c r="G88" s="42">
        <f t="shared" ca="1" si="1"/>
        <v>187153397588</v>
      </c>
      <c r="H88" s="41">
        <f t="shared" ca="1" si="14"/>
        <v>425.50105735334751</v>
      </c>
      <c r="I88" s="3"/>
      <c r="J88" s="43">
        <f t="shared" ca="1" si="16"/>
        <v>1</v>
      </c>
      <c r="K88" s="44" t="str">
        <f t="shared" ca="1" si="10"/>
        <v/>
      </c>
      <c r="L88" s="3"/>
      <c r="M88" s="45">
        <f t="shared" ca="1" si="2"/>
        <v>387.45001273232106</v>
      </c>
      <c r="N88" s="47">
        <f t="shared" ca="1" si="3"/>
        <v>463.55210197437395</v>
      </c>
      <c r="O88" s="45">
        <f t="shared" ca="1" si="4"/>
        <v>368.42449042180789</v>
      </c>
      <c r="P88" s="47">
        <f t="shared" ca="1" si="5"/>
        <v>482.57762428488712</v>
      </c>
      <c r="Q88" s="45">
        <f t="shared" ca="1" si="6"/>
        <v>349.39896811129461</v>
      </c>
      <c r="R88" s="47">
        <f t="shared" ca="1" si="7"/>
        <v>501.60314659540035</v>
      </c>
      <c r="S88" s="73">
        <f t="shared" ca="1" si="15"/>
        <v>1</v>
      </c>
      <c r="T88" s="73"/>
      <c r="U88" s="3"/>
      <c r="V88" s="3"/>
      <c r="W88" s="3"/>
      <c r="X88" s="3"/>
    </row>
    <row r="89" spans="1:24" ht="14" thickBot="1">
      <c r="A89" s="40">
        <v>42506</v>
      </c>
      <c r="B89" s="41">
        <f t="array" aca="1" ref="B89" ca="1">IF(AND(A89 &gt; TODAY(), A89 &lt;= TODAY() + 7),
   INDEX(calculations!B:B, MATCH(143^143, calculations!B:B)),
   IF(ISNUMBER(MATCH(A89, calculations!A:A, 0)),
      INDEX(calculations!B:B, MATCH(A89, calculations!A:A, 0)),
      ""
   )
)</f>
        <v>455.22</v>
      </c>
      <c r="C89" s="42">
        <f t="array" aca="1" ref="C89" ca="1">IF(B89&lt;&gt;"", IF(MATCH(A89, calculations!A:A, 0), INDEX(calculations!D:D, MATCH(A89, calculations!A:A, 0)), "No Match"),"")</f>
        <v>351471700</v>
      </c>
      <c r="D89" s="43">
        <f t="shared" ca="1" si="8"/>
        <v>-1.7779312130496598E-2</v>
      </c>
      <c r="E89" s="43">
        <f t="shared" ca="1" si="0"/>
        <v>9.3202200786739382E-4</v>
      </c>
      <c r="F89" s="43">
        <f t="shared" ca="1" si="13"/>
        <v>4.5445354983190238E-2</v>
      </c>
      <c r="G89" s="42">
        <f t="shared" ca="1" si="1"/>
        <v>159996947274</v>
      </c>
      <c r="H89" s="41">
        <f t="shared" ca="1" si="14"/>
        <v>429.96129836616814</v>
      </c>
      <c r="I89" s="3"/>
      <c r="J89" s="43">
        <f t="shared" ca="1" si="16"/>
        <v>1</v>
      </c>
      <c r="K89" s="44" t="str">
        <f t="shared" ca="1" si="10"/>
        <v/>
      </c>
      <c r="L89" s="3"/>
      <c r="M89" s="45">
        <f t="shared" ca="1" si="2"/>
        <v>390.88181069960035</v>
      </c>
      <c r="N89" s="47">
        <f t="shared" ca="1" si="3"/>
        <v>469.04078603273592</v>
      </c>
      <c r="O89" s="45">
        <f t="shared" ca="1" si="4"/>
        <v>371.34206686631649</v>
      </c>
      <c r="P89" s="47">
        <f t="shared" ca="1" si="5"/>
        <v>488.58052986601973</v>
      </c>
      <c r="Q89" s="45">
        <f t="shared" ca="1" si="6"/>
        <v>351.80232303303256</v>
      </c>
      <c r="R89" s="47">
        <f t="shared" ca="1" si="7"/>
        <v>508.12027369930371</v>
      </c>
      <c r="S89" s="73">
        <f t="shared" ca="1" si="15"/>
        <v>1</v>
      </c>
      <c r="T89" s="73"/>
      <c r="U89" s="3"/>
      <c r="V89" s="3"/>
      <c r="W89" s="3"/>
      <c r="X89" s="3"/>
    </row>
    <row r="90" spans="1:24" ht="14" thickBot="1">
      <c r="A90" s="40">
        <v>42513</v>
      </c>
      <c r="B90" s="41">
        <f t="array" aca="1" ref="B90" ca="1">IF(AND(A90 &gt; TODAY(), A90 &lt;= TODAY() + 7),
   INDEX(calculations!B:B, MATCH(143^143, calculations!B:B)),
   IF(ISNUMBER(MATCH(A90, calculations!A:A, 0)),
      INDEX(calculations!B:B, MATCH(A90, calculations!A:A, 0)),
      ""
   )
)</f>
        <v>444.21</v>
      </c>
      <c r="C90" s="42">
        <f t="array" aca="1" ref="C90" ca="1">IF(B90&lt;&gt;"", IF(MATCH(A90, calculations!A:A, 0), INDEX(calculations!D:D, MATCH(A90, calculations!A:A, 0)), "No Match"),"")</f>
        <v>470557100</v>
      </c>
      <c r="D90" s="43">
        <f t="shared" ca="1" si="8"/>
        <v>-2.4186107816001157E-2</v>
      </c>
      <c r="E90" s="43">
        <f t="shared" ca="1" si="0"/>
        <v>1.3642556245258201E-3</v>
      </c>
      <c r="F90" s="43">
        <f t="shared" ca="1" si="13"/>
        <v>4.2951870707373857E-2</v>
      </c>
      <c r="G90" s="42">
        <f t="shared" ca="1" si="1"/>
        <v>209026169391</v>
      </c>
      <c r="H90" s="41">
        <f t="shared" ca="1" si="14"/>
        <v>433.20086433555059</v>
      </c>
      <c r="I90" s="3"/>
      <c r="J90" s="43">
        <f t="shared" ca="1" si="16"/>
        <v>1</v>
      </c>
      <c r="K90" s="44" t="str">
        <f t="shared" ca="1" si="10"/>
        <v/>
      </c>
      <c r="L90" s="3"/>
      <c r="M90" s="45">
        <f t="shared" ca="1" si="2"/>
        <v>395.98728930502426</v>
      </c>
      <c r="N90" s="47">
        <f t="shared" ca="1" si="3"/>
        <v>470.41443936607692</v>
      </c>
      <c r="O90" s="45">
        <f t="shared" ca="1" si="4"/>
        <v>377.38050178976107</v>
      </c>
      <c r="P90" s="47">
        <f t="shared" ca="1" si="5"/>
        <v>489.02122688134011</v>
      </c>
      <c r="Q90" s="45">
        <f t="shared" ca="1" si="6"/>
        <v>358.77371427449788</v>
      </c>
      <c r="R90" s="47">
        <f t="shared" ca="1" si="7"/>
        <v>507.62801439660325</v>
      </c>
      <c r="S90" s="73">
        <f t="shared" ca="1" si="15"/>
        <v>1</v>
      </c>
      <c r="T90" s="73"/>
      <c r="U90" s="3"/>
      <c r="V90" s="3"/>
      <c r="W90" s="3"/>
      <c r="X90" s="3"/>
    </row>
    <row r="91" spans="1:24" ht="14" thickBot="1">
      <c r="A91" s="40">
        <v>42520</v>
      </c>
      <c r="B91" s="41">
        <f t="array" aca="1" ref="B91" ca="1">IF(AND(A91 &gt; TODAY(), A91 &lt;= TODAY() + 7),
   INDEX(calculations!B:B, MATCH(143^143, calculations!B:B)),
   IF(ISNUMBER(MATCH(A91, calculations!A:A, 0)),
      INDEX(calculations!B:B, MATCH(A91, calculations!A:A, 0)),
      ""
   )
)</f>
        <v>533.49</v>
      </c>
      <c r="C91" s="42">
        <f t="array" aca="1" ref="C91" ca="1">IF(B91&lt;&gt;"", IF(MATCH(A91, calculations!A:A, 0), INDEX(calculations!D:D, MATCH(A91, calculations!A:A, 0)), "No Match"),"")</f>
        <v>741517392</v>
      </c>
      <c r="D91" s="43">
        <f t="shared" ca="1" si="8"/>
        <v>0.20098602012561634</v>
      </c>
      <c r="E91" s="43">
        <f t="shared" ca="1" si="0"/>
        <v>3.5432903420727496E-2</v>
      </c>
      <c r="F91" s="43">
        <f t="shared" ca="1" si="13"/>
        <v>6.3620285727441203E-2</v>
      </c>
      <c r="G91" s="42">
        <f t="shared" ca="1" si="1"/>
        <v>395592113458.08002</v>
      </c>
      <c r="H91" s="41">
        <f t="shared" ca="1" si="14"/>
        <v>443.98065043140622</v>
      </c>
      <c r="I91" s="3"/>
      <c r="J91" s="43">
        <f t="shared" ca="1" si="16"/>
        <v>-0.77165496127067501</v>
      </c>
      <c r="K91" s="44">
        <f t="shared" ca="1" si="10"/>
        <v>-3</v>
      </c>
      <c r="L91" s="3"/>
      <c r="M91" s="45">
        <f t="shared" ca="1" si="2"/>
        <v>387.48829875560369</v>
      </c>
      <c r="N91" s="47">
        <f t="shared" ca="1" si="3"/>
        <v>500.47300210720869</v>
      </c>
      <c r="O91" s="45">
        <f t="shared" ca="1" si="4"/>
        <v>359.24212291770243</v>
      </c>
      <c r="P91" s="47">
        <f t="shared" ca="1" si="5"/>
        <v>528.71917794511</v>
      </c>
      <c r="Q91" s="45">
        <f t="shared" ca="1" si="6"/>
        <v>330.99594707980117</v>
      </c>
      <c r="R91" s="47">
        <f t="shared" ca="1" si="7"/>
        <v>556.96535378301121</v>
      </c>
      <c r="S91" s="73">
        <f t="shared" ca="1" si="15"/>
        <v>-0.77165496127067501</v>
      </c>
      <c r="T91" s="73"/>
      <c r="U91" s="3"/>
      <c r="V91" s="3"/>
      <c r="W91" s="3"/>
      <c r="X91" s="3"/>
    </row>
    <row r="92" spans="1:24" ht="14" thickBot="1">
      <c r="A92" s="40">
        <v>42527</v>
      </c>
      <c r="B92" s="41">
        <f t="array" aca="1" ref="B92" ca="1">IF(AND(A92 &gt; TODAY(), A92 &lt;= TODAY() + 7),
   INDEX(calculations!B:B, MATCH(143^143, calculations!B:B)),
   IF(ISNUMBER(MATCH(A92, calculations!A:A, 0)),
      INDEX(calculations!B:B, MATCH(A92, calculations!A:A, 0)),
      ""
   )
)</f>
        <v>585.86</v>
      </c>
      <c r="C92" s="42">
        <f t="array" aca="1" ref="C92" ca="1">IF(B92&lt;&gt;"", IF(MATCH(A92, calculations!A:A, 0), INDEX(calculations!D:D, MATCH(A92, calculations!A:A, 0)), "No Match"),"")</f>
        <v>658668096</v>
      </c>
      <c r="D92" s="43">
        <f t="shared" ca="1" si="8"/>
        <v>9.8164914056495911E-2</v>
      </c>
      <c r="E92" s="43">
        <f t="shared" ca="1" si="0"/>
        <v>7.2957548020338185E-3</v>
      </c>
      <c r="F92" s="43">
        <f t="shared" ca="1" si="13"/>
        <v>6.7053973499706196E-2</v>
      </c>
      <c r="G92" s="42">
        <f t="shared" ca="1" si="1"/>
        <v>385887290722.56</v>
      </c>
      <c r="H92" s="41">
        <f t="shared" ca="1" si="14"/>
        <v>458.00019743444915</v>
      </c>
      <c r="I92" s="3"/>
      <c r="J92" s="43">
        <f t="shared" ca="1" si="16"/>
        <v>-0.56479024489207474</v>
      </c>
      <c r="K92" s="44">
        <f t="shared" ca="1" si="10"/>
        <v>-4</v>
      </c>
      <c r="L92" s="3"/>
      <c r="M92" s="45">
        <f t="shared" ca="1" si="2"/>
        <v>396.57873123118964</v>
      </c>
      <c r="N92" s="47">
        <f t="shared" ca="1" si="3"/>
        <v>519.42166363770866</v>
      </c>
      <c r="O92" s="45">
        <f t="shared" ca="1" si="4"/>
        <v>365.86799812955985</v>
      </c>
      <c r="P92" s="47">
        <f t="shared" ca="1" si="5"/>
        <v>550.13239673933845</v>
      </c>
      <c r="Q92" s="45">
        <f t="shared" ca="1" si="6"/>
        <v>335.15726502793007</v>
      </c>
      <c r="R92" s="47">
        <f t="shared" ca="1" si="7"/>
        <v>580.84312984096823</v>
      </c>
      <c r="S92" s="73">
        <f t="shared" ca="1" si="15"/>
        <v>-0.56479024489207474</v>
      </c>
      <c r="T92" s="73"/>
      <c r="U92" s="3"/>
      <c r="V92" s="3"/>
      <c r="W92" s="3"/>
      <c r="X92" s="3"/>
    </row>
    <row r="93" spans="1:24" ht="14" thickBot="1">
      <c r="A93" s="40">
        <v>42534</v>
      </c>
      <c r="B93" s="41">
        <f t="array" aca="1" ref="B93" ca="1">IF(AND(A93 &gt; TODAY(), A93 &lt;= TODAY() + 7),
   INDEX(calculations!B:B, MATCH(143^143, calculations!B:B)),
   IF(ISNUMBER(MATCH(A93, calculations!A:A, 0)),
      INDEX(calculations!B:B, MATCH(A93, calculations!A:A, 0)),
      ""
   )
)</f>
        <v>704.32</v>
      </c>
      <c r="C93" s="42">
        <f t="array" aca="1" ref="C93" ca="1">IF(B93&lt;&gt;"", IF(MATCH(A93, calculations!A:A, 0), INDEX(calculations!D:D, MATCH(A93, calculations!A:A, 0)), "No Match"),"")</f>
        <v>757909588</v>
      </c>
      <c r="D93" s="43">
        <f t="shared" ca="1" si="8"/>
        <v>0.20219847745195105</v>
      </c>
      <c r="E93" s="43">
        <f t="shared" ca="1" si="0"/>
        <v>3.5890830427691325E-2</v>
      </c>
      <c r="F93" s="43">
        <f t="shared" ca="1" si="13"/>
        <v>7.8231752442826097E-2</v>
      </c>
      <c r="G93" s="42">
        <f t="shared" ca="1" si="1"/>
        <v>533810881020.16003</v>
      </c>
      <c r="H93" s="41">
        <f t="shared" ca="1" si="14"/>
        <v>488.68454770729147</v>
      </c>
      <c r="I93" s="3"/>
      <c r="J93" s="43">
        <f t="shared" ca="1" si="16"/>
        <v>-0.99210227741701518</v>
      </c>
      <c r="K93" s="44">
        <f t="shared" ca="1" si="10"/>
        <v>-4</v>
      </c>
      <c r="L93" s="3"/>
      <c r="M93" s="45">
        <f t="shared" ca="1" si="2"/>
        <v>412.22325058954897</v>
      </c>
      <c r="N93" s="47">
        <f t="shared" ca="1" si="3"/>
        <v>565.14584482503403</v>
      </c>
      <c r="O93" s="45">
        <f t="shared" ca="1" si="4"/>
        <v>373.99260203067769</v>
      </c>
      <c r="P93" s="47">
        <f t="shared" ca="1" si="5"/>
        <v>603.37649338390531</v>
      </c>
      <c r="Q93" s="45">
        <f t="shared" ca="1" si="6"/>
        <v>335.76195347180641</v>
      </c>
      <c r="R93" s="47">
        <f t="shared" ca="1" si="7"/>
        <v>641.60714194277648</v>
      </c>
      <c r="S93" s="73">
        <f t="shared" ref="S93:S156" ca="1" si="17">IF(B93="","",
 IF(B93&lt;Q93, 1+(4*ABS(D93))+(1+$X$2)+F93,
 IF(B93&lt;O93, 1+(3*ABS(D93))+(1+$X$2)+F93,
 IF(B93&lt;M93, 1+(2*ABS(D93))+(1+$X$2)+F93,
 IF(B93&gt;R93, 1-(4*ABS(D93))-(1+$X$2)-F93,
 IF(B93&gt;P93, 1-(3*ABS(D93))-(1+$X$2)-F93,
 IF(B93&gt;N93, 1-(2*ABS(D93))-(1+$X$2)-F93,
 1)))))))</f>
        <v>-0.99210227741701518</v>
      </c>
      <c r="T93" s="73"/>
      <c r="U93" s="3"/>
      <c r="V93" s="3"/>
      <c r="W93" s="3"/>
      <c r="X93" s="3"/>
    </row>
    <row r="94" spans="1:24" ht="14" thickBot="1">
      <c r="A94" s="40">
        <v>42541</v>
      </c>
      <c r="B94" s="41">
        <f t="array" aca="1" ref="B94" ca="1">IF(AND(A94 &gt; TODAY(), A94 &lt;= TODAY() + 7),
   INDEX(calculations!B:B, MATCH(143^143, calculations!B:B)),
   IF(ISNUMBER(MATCH(A94, calculations!A:A, 0)),
      INDEX(calculations!B:B, MATCH(A94, calculations!A:A, 0)),
      ""
   )
)</f>
        <v>722.5</v>
      </c>
      <c r="C94" s="42">
        <f t="array" aca="1" ref="C94" ca="1">IF(B94&lt;&gt;"", IF(MATCH(A94, calculations!A:A, 0), INDEX(calculations!D:D, MATCH(A94, calculations!A:A, 0)), "No Match"),"")</f>
        <v>1553070776</v>
      </c>
      <c r="D94" s="43">
        <f t="shared" ca="1" si="8"/>
        <v>2.581213084961374E-2</v>
      </c>
      <c r="E94" s="43">
        <f t="shared" ca="1" si="0"/>
        <v>1.7062648947289814E-4</v>
      </c>
      <c r="F94" s="43">
        <f t="shared" ca="1" si="13"/>
        <v>7.7657989726326537E-2</v>
      </c>
      <c r="G94" s="42">
        <f t="shared" ca="1" si="1"/>
        <v>1122093635660</v>
      </c>
      <c r="H94" s="41">
        <f t="shared" ca="1" si="14"/>
        <v>539.08402164620043</v>
      </c>
      <c r="I94" s="3"/>
      <c r="J94" s="43">
        <f t="shared" ca="1" si="16"/>
        <v>-0.28598312829116634</v>
      </c>
      <c r="K94" s="44">
        <f t="shared" ca="1" si="10"/>
        <v>-4</v>
      </c>
      <c r="L94" s="3"/>
      <c r="M94" s="45">
        <f t="shared" ca="1" si="2"/>
        <v>455.35565881694555</v>
      </c>
      <c r="N94" s="47">
        <f t="shared" ca="1" si="3"/>
        <v>622.81238447545525</v>
      </c>
      <c r="O94" s="45">
        <f t="shared" ca="1" si="4"/>
        <v>413.49147740231814</v>
      </c>
      <c r="P94" s="47">
        <f t="shared" ca="1" si="5"/>
        <v>664.67656589008266</v>
      </c>
      <c r="Q94" s="45">
        <f t="shared" ca="1" si="6"/>
        <v>371.62729598769073</v>
      </c>
      <c r="R94" s="47">
        <f t="shared" ca="1" si="7"/>
        <v>706.54074730471018</v>
      </c>
      <c r="S94" s="73">
        <f t="shared" ca="1" si="17"/>
        <v>-0.28598312829116634</v>
      </c>
      <c r="T94" s="73"/>
      <c r="U94" s="3"/>
      <c r="V94" s="3"/>
      <c r="W94" s="3"/>
      <c r="X94" s="3"/>
    </row>
    <row r="95" spans="1:24" ht="14" thickBot="1">
      <c r="A95" s="40">
        <v>42548</v>
      </c>
      <c r="B95" s="41">
        <f t="array" aca="1" ref="B95" ca="1">IF(AND(A95 &gt; TODAY(), A95 &lt;= TODAY() + 7),
   INDEX(calculations!B:B, MATCH(143^143, calculations!B:B)),
   IF(ISNUMBER(MATCH(A95, calculations!A:A, 0)),
      INDEX(calculations!B:B, MATCH(A95, calculations!A:A, 0)),
      ""
   )
)</f>
        <v>652.24</v>
      </c>
      <c r="C95" s="42">
        <f t="array" aca="1" ref="C95" ca="1">IF(B95&lt;&gt;"", IF(MATCH(A95, calculations!A:A, 0), INDEX(calculations!D:D, MATCH(A95, calculations!A:A, 0)), "No Match"),"")</f>
        <v>1464507992</v>
      </c>
      <c r="D95" s="43">
        <f t="shared" ca="1" si="8"/>
        <v>-9.7245674740484414E-2</v>
      </c>
      <c r="E95" s="43">
        <f t="shared" ca="1" si="0"/>
        <v>1.2098987602878327E-2</v>
      </c>
      <c r="F95" s="43">
        <f t="shared" ca="1" si="13"/>
        <v>8.5424589220847419E-2</v>
      </c>
      <c r="G95" s="42">
        <f t="shared" ca="1" si="1"/>
        <v>955210692702.07996</v>
      </c>
      <c r="H95" s="41">
        <f t="shared" ca="1" si="14"/>
        <v>565.00625908484028</v>
      </c>
      <c r="I95" s="3"/>
      <c r="J95" s="43">
        <f t="shared" ca="1" si="16"/>
        <v>1</v>
      </c>
      <c r="K95" s="44" t="str">
        <f t="shared" ca="1" si="10"/>
        <v/>
      </c>
      <c r="L95" s="3"/>
      <c r="M95" s="45">
        <f t="shared" ca="1" si="2"/>
        <v>468.47540390577996</v>
      </c>
      <c r="N95" s="47">
        <f t="shared" ca="1" si="3"/>
        <v>661.53711426390055</v>
      </c>
      <c r="O95" s="45">
        <f t="shared" ca="1" si="4"/>
        <v>420.20997631624977</v>
      </c>
      <c r="P95" s="47">
        <f t="shared" ca="1" si="5"/>
        <v>709.80254185343074</v>
      </c>
      <c r="Q95" s="45">
        <f t="shared" ca="1" si="6"/>
        <v>371.94454872671957</v>
      </c>
      <c r="R95" s="47">
        <f t="shared" ca="1" si="7"/>
        <v>758.06796944296093</v>
      </c>
      <c r="S95" s="73">
        <f t="shared" ca="1" si="17"/>
        <v>1</v>
      </c>
      <c r="T95" s="73"/>
      <c r="U95" s="3"/>
      <c r="V95" s="3"/>
      <c r="W95" s="3"/>
      <c r="X95" s="3"/>
    </row>
    <row r="96" spans="1:24" ht="14" thickBot="1">
      <c r="A96" s="40">
        <v>42555</v>
      </c>
      <c r="B96" s="41">
        <f t="array" aca="1" ref="B96" ca="1">IF(AND(A96 &gt; TODAY(), A96 &lt;= TODAY() + 7),
   INDEX(calculations!B:B, MATCH(143^143, calculations!B:B)),
   IF(ISNUMBER(MATCH(A96, calculations!A:A, 0)),
      INDEX(calculations!B:B, MATCH(A96, calculations!A:A, 0)),
      ""
   )
)</f>
        <v>679.84</v>
      </c>
      <c r="C96" s="42">
        <f t="array" aca="1" ref="C96" ca="1">IF(B96&lt;&gt;"", IF(MATCH(A96, calculations!A:A, 0), INDEX(calculations!D:D, MATCH(A96, calculations!A:A, 0)), "No Match"),"")</f>
        <v>918252000</v>
      </c>
      <c r="D96" s="43">
        <f t="shared" ca="1" si="8"/>
        <v>4.2315712007849907E-2</v>
      </c>
      <c r="E96" s="43">
        <f t="shared" ca="1" si="0"/>
        <v>8.741476848338444E-4</v>
      </c>
      <c r="F96" s="43">
        <f t="shared" ca="1" si="13"/>
        <v>8.5395093899230251E-2</v>
      </c>
      <c r="G96" s="42">
        <f t="shared" ca="1" si="1"/>
        <v>624264439680</v>
      </c>
      <c r="H96" s="41">
        <f t="shared" ca="1" si="14"/>
        <v>582.59499320524685</v>
      </c>
      <c r="I96" s="3"/>
      <c r="J96" s="43">
        <f t="shared" ca="1" si="16"/>
        <v>1</v>
      </c>
      <c r="K96" s="44" t="str">
        <f t="shared" ca="1" si="10"/>
        <v/>
      </c>
      <c r="L96" s="3"/>
      <c r="M96" s="45">
        <f t="shared" ca="1" si="2"/>
        <v>483.09348490527987</v>
      </c>
      <c r="N96" s="47">
        <f t="shared" ca="1" si="3"/>
        <v>682.09650150521384</v>
      </c>
      <c r="O96" s="45">
        <f t="shared" ca="1" si="4"/>
        <v>433.34273075529649</v>
      </c>
      <c r="P96" s="47">
        <f t="shared" ca="1" si="5"/>
        <v>731.84725565519727</v>
      </c>
      <c r="Q96" s="45">
        <f t="shared" ca="1" si="6"/>
        <v>383.59197660531299</v>
      </c>
      <c r="R96" s="47">
        <f t="shared" ca="1" si="7"/>
        <v>781.59800980518082</v>
      </c>
      <c r="S96" s="73">
        <f t="shared" ca="1" si="17"/>
        <v>1</v>
      </c>
      <c r="T96" s="73"/>
      <c r="U96" s="3"/>
      <c r="V96" s="3"/>
      <c r="W96" s="3"/>
      <c r="X96" s="3"/>
    </row>
    <row r="97" spans="1:24" ht="14" thickBot="1">
      <c r="A97" s="40">
        <v>42562</v>
      </c>
      <c r="B97" s="41">
        <f t="array" aca="1" ref="B97" ca="1">IF(AND(A97 &gt; TODAY(), A97 &lt;= TODAY() + 7),
   INDEX(calculations!B:B, MATCH(143^143, calculations!B:B)),
   IF(ISNUMBER(MATCH(A97, calculations!A:A, 0)),
      INDEX(calculations!B:B, MATCH(A97, calculations!A:A, 0)),
      ""
   )
)</f>
        <v>650.27</v>
      </c>
      <c r="C97" s="42">
        <f t="array" aca="1" ref="C97" ca="1">IF(B97&lt;&gt;"", IF(MATCH(A97, calculations!A:A, 0), INDEX(calculations!D:D, MATCH(A97, calculations!A:A, 0)), "No Match"),"")</f>
        <v>1040574400</v>
      </c>
      <c r="D97" s="43">
        <f t="shared" ca="1" si="8"/>
        <v>-4.3495528359614101E-2</v>
      </c>
      <c r="E97" s="43">
        <f t="shared" ca="1" si="0"/>
        <v>3.1635283407952909E-3</v>
      </c>
      <c r="F97" s="43">
        <f t="shared" ca="1" si="13"/>
        <v>8.7359326607279991E-2</v>
      </c>
      <c r="G97" s="42">
        <f t="shared" ca="1" si="1"/>
        <v>676654315088</v>
      </c>
      <c r="H97" s="41">
        <f t="shared" ca="1" si="14"/>
        <v>596.13834613723429</v>
      </c>
      <c r="I97" s="3"/>
      <c r="J97" s="43">
        <f t="shared" ca="1" si="16"/>
        <v>1</v>
      </c>
      <c r="K97" s="44" t="str">
        <f t="shared" ca="1" si="10"/>
        <v/>
      </c>
      <c r="L97" s="3"/>
      <c r="M97" s="45">
        <f t="shared" ca="1" si="2"/>
        <v>491.98185717058158</v>
      </c>
      <c r="N97" s="47">
        <f t="shared" ca="1" si="3"/>
        <v>700.29483510388707</v>
      </c>
      <c r="O97" s="45">
        <f t="shared" ca="1" si="4"/>
        <v>439.90361268725513</v>
      </c>
      <c r="P97" s="47">
        <f t="shared" ca="1" si="5"/>
        <v>752.3730795872134</v>
      </c>
      <c r="Q97" s="45">
        <f t="shared" ca="1" si="6"/>
        <v>387.82536820392875</v>
      </c>
      <c r="R97" s="47">
        <f t="shared" ca="1" si="7"/>
        <v>804.45132407053973</v>
      </c>
      <c r="S97" s="73">
        <f t="shared" ca="1" si="17"/>
        <v>1</v>
      </c>
      <c r="T97" s="73"/>
      <c r="U97" s="3"/>
      <c r="V97" s="3"/>
      <c r="W97" s="3"/>
      <c r="X97" s="3"/>
    </row>
    <row r="98" spans="1:24" ht="14" thickBot="1">
      <c r="A98" s="40">
        <v>42569</v>
      </c>
      <c r="B98" s="41">
        <f t="array" aca="1" ref="B98" ca="1">IF(AND(A98 &gt; TODAY(), A98 &lt;= TODAY() + 7),
   INDEX(calculations!B:B, MATCH(143^143, calculations!B:B)),
   IF(ISNUMBER(MATCH(A98, calculations!A:A, 0)),
      INDEX(calculations!B:B, MATCH(A98, calculations!A:A, 0)),
      ""
   )
)</f>
        <v>675.12</v>
      </c>
      <c r="C98" s="42">
        <f t="array" aca="1" ref="C98" ca="1">IF(B98&lt;&gt;"", IF(MATCH(A98, calculations!A:A, 0), INDEX(calculations!D:D, MATCH(A98, calculations!A:A, 0)), "No Match"),"")</f>
        <v>682454600</v>
      </c>
      <c r="D98" s="43">
        <f t="shared" ca="1" si="8"/>
        <v>3.8214895351161862E-2</v>
      </c>
      <c r="E98" s="43">
        <f t="shared" ca="1" si="0"/>
        <v>6.4847498463338341E-4</v>
      </c>
      <c r="F98" s="43">
        <f t="shared" ca="1" si="13"/>
        <v>8.7033179798099491E-2</v>
      </c>
      <c r="G98" s="42">
        <f t="shared" ca="1" si="1"/>
        <v>460738749552</v>
      </c>
      <c r="H98" s="41">
        <f t="shared" ca="1" si="14"/>
        <v>608.28405224547066</v>
      </c>
      <c r="I98" s="3"/>
      <c r="J98" s="43">
        <f t="shared" ca="1" si="16"/>
        <v>1</v>
      </c>
      <c r="K98" s="44" t="str">
        <f t="shared" ca="1" si="10"/>
        <v/>
      </c>
      <c r="L98" s="3"/>
      <c r="M98" s="45">
        <f t="shared" ca="1" si="2"/>
        <v>502.40226167067749</v>
      </c>
      <c r="N98" s="47">
        <f t="shared" ca="1" si="3"/>
        <v>714.16584282026383</v>
      </c>
      <c r="O98" s="45">
        <f t="shared" ca="1" si="4"/>
        <v>449.46136638328085</v>
      </c>
      <c r="P98" s="47">
        <f t="shared" ca="1" si="5"/>
        <v>767.10673810766048</v>
      </c>
      <c r="Q98" s="45">
        <f t="shared" ca="1" si="6"/>
        <v>396.52047109588432</v>
      </c>
      <c r="R98" s="47">
        <f t="shared" ca="1" si="7"/>
        <v>820.04763339505701</v>
      </c>
      <c r="S98" s="73">
        <f t="shared" ca="1" si="17"/>
        <v>1</v>
      </c>
      <c r="T98" s="73"/>
      <c r="U98" s="3"/>
      <c r="V98" s="3"/>
      <c r="W98" s="3"/>
      <c r="X98" s="3"/>
    </row>
    <row r="99" spans="1:24" ht="14" thickBot="1">
      <c r="A99" s="40">
        <v>42576</v>
      </c>
      <c r="B99" s="41">
        <f t="array" aca="1" ref="B99" ca="1">IF(AND(A99 &gt; TODAY(), A99 &lt;= TODAY() + 7),
   INDEX(calculations!B:B, MATCH(143^143, calculations!B:B)),
   IF(ISNUMBER(MATCH(A99, calculations!A:A, 0)),
      INDEX(calculations!B:B, MATCH(A99, calculations!A:A, 0)),
      ""
   )
)</f>
        <v>655.12</v>
      </c>
      <c r="C99" s="42">
        <f t="array" aca="1" ref="C99" ca="1">IF(B99&lt;&gt;"", IF(MATCH(A99, calculations!A:A, 0), INDEX(calculations!D:D, MATCH(A99, calculations!A:A, 0)), "No Match"),"")</f>
        <v>607681700</v>
      </c>
      <c r="D99" s="43">
        <f t="shared" ca="1" si="8"/>
        <v>-2.9624363076193861E-2</v>
      </c>
      <c r="E99" s="43">
        <f t="shared" ca="1" si="0"/>
        <v>1.7955632011457305E-3</v>
      </c>
      <c r="F99" s="43">
        <f t="shared" ca="1" si="13"/>
        <v>8.8711645773823317E-2</v>
      </c>
      <c r="G99" s="42">
        <f t="shared" ca="1" si="1"/>
        <v>398104435304</v>
      </c>
      <c r="H99" s="41">
        <f t="shared" ca="1" si="14"/>
        <v>617.43409555739868</v>
      </c>
      <c r="I99" s="3"/>
      <c r="J99" s="43">
        <f t="shared" ca="1" si="16"/>
        <v>1</v>
      </c>
      <c r="K99" s="44" t="str">
        <f t="shared" ca="1" si="10"/>
        <v/>
      </c>
      <c r="L99" s="3"/>
      <c r="M99" s="45">
        <f t="shared" ca="1" si="2"/>
        <v>507.88690600986087</v>
      </c>
      <c r="N99" s="47">
        <f t="shared" ca="1" si="3"/>
        <v>726.98128510493655</v>
      </c>
      <c r="O99" s="45">
        <f t="shared" ca="1" si="4"/>
        <v>453.11331123609187</v>
      </c>
      <c r="P99" s="47">
        <f t="shared" ca="1" si="5"/>
        <v>781.75487987870542</v>
      </c>
      <c r="Q99" s="45">
        <f t="shared" ca="1" si="6"/>
        <v>398.33971646232294</v>
      </c>
      <c r="R99" s="47">
        <f t="shared" ca="1" si="7"/>
        <v>836.5284746524743</v>
      </c>
      <c r="S99" s="73">
        <f t="shared" ca="1" si="17"/>
        <v>1</v>
      </c>
      <c r="T99" s="73"/>
      <c r="U99" s="3"/>
      <c r="V99" s="3"/>
      <c r="W99" s="3"/>
      <c r="X99" s="3"/>
    </row>
    <row r="100" spans="1:24" ht="14" thickBot="1">
      <c r="A100" s="40">
        <v>42583</v>
      </c>
      <c r="B100" s="41">
        <f t="array" aca="1" ref="B100" ca="1">IF(AND(A100 &gt; TODAY(), A100 &lt;= TODAY() + 7),
   INDEX(calculations!B:B, MATCH(143^143, calculations!B:B)),
   IF(ISNUMBER(MATCH(A100, calculations!A:A, 0)),
      INDEX(calculations!B:B, MATCH(A100, calculations!A:A, 0)),
      ""
   )
)</f>
        <v>606.51</v>
      </c>
      <c r="C100" s="42">
        <f t="array" aca="1" ref="C100" ca="1">IF(B100&lt;&gt;"", IF(MATCH(A100, calculations!A:A, 0), INDEX(calculations!D:D, MATCH(A100, calculations!A:A, 0)), "No Match"),"")</f>
        <v>747178496</v>
      </c>
      <c r="D100" s="43">
        <f t="shared" ca="1" si="8"/>
        <v>-7.4200146538038858E-2</v>
      </c>
      <c r="E100" s="43">
        <f t="shared" ca="1" si="0"/>
        <v>7.5602798749651659E-3</v>
      </c>
      <c r="F100" s="43">
        <f t="shared" ca="1" si="13"/>
        <v>9.1924974970643863E-2</v>
      </c>
      <c r="G100" s="42">
        <f t="shared" ca="1" si="1"/>
        <v>453171229608.96002</v>
      </c>
      <c r="H100" s="41">
        <f t="shared" ca="1" si="14"/>
        <v>622.64962874869411</v>
      </c>
      <c r="I100" s="3"/>
      <c r="J100" s="43">
        <f t="shared" ca="1" si="16"/>
        <v>1</v>
      </c>
      <c r="K100" s="44" t="str">
        <f t="shared" ca="1" si="10"/>
        <v/>
      </c>
      <c r="L100" s="3"/>
      <c r="M100" s="45">
        <f t="shared" ca="1" si="2"/>
        <v>508.17552567228529</v>
      </c>
      <c r="N100" s="47">
        <f t="shared" ca="1" si="3"/>
        <v>737.12373182510294</v>
      </c>
      <c r="O100" s="45">
        <f t="shared" ca="1" si="4"/>
        <v>450.93847413408093</v>
      </c>
      <c r="P100" s="47">
        <f t="shared" ca="1" si="5"/>
        <v>794.36078336330741</v>
      </c>
      <c r="Q100" s="45">
        <f t="shared" ca="1" si="6"/>
        <v>393.70142259587652</v>
      </c>
      <c r="R100" s="47">
        <f t="shared" ca="1" si="7"/>
        <v>851.59783490151176</v>
      </c>
      <c r="S100" s="73">
        <f t="shared" ca="1" si="17"/>
        <v>1</v>
      </c>
      <c r="T100" s="73"/>
      <c r="U100" s="3"/>
      <c r="V100" s="3"/>
      <c r="W100" s="3"/>
      <c r="X100" s="3"/>
    </row>
    <row r="101" spans="1:24" ht="14" thickBot="1">
      <c r="A101" s="40">
        <v>42590</v>
      </c>
      <c r="B101" s="41">
        <f t="array" aca="1" ref="B101" ca="1">IF(AND(A101 &gt; TODAY(), A101 &lt;= TODAY() + 7),
   INDEX(calculations!B:B, MATCH(143^143, calculations!B:B)),
   IF(ISNUMBER(MATCH(A101, calculations!A:A, 0)),
      INDEX(calculations!B:B, MATCH(A101, calculations!A:A, 0)),
      ""
   )
)</f>
        <v>591.63</v>
      </c>
      <c r="C101" s="42">
        <f t="array" aca="1" ref="C101" ca="1">IF(B101&lt;&gt;"", IF(MATCH(A101, calculations!A:A, 0), INDEX(calculations!D:D, MATCH(A101, calculations!A:A, 0)), "No Match"),"")</f>
        <v>1015417588</v>
      </c>
      <c r="D101" s="43">
        <f t="shared" ca="1" si="8"/>
        <v>-2.4533808181233609E-2</v>
      </c>
      <c r="E101" s="43">
        <f t="shared" ca="1" si="0"/>
        <v>1.3900617240486402E-3</v>
      </c>
      <c r="F101" s="43">
        <f t="shared" ca="1" si="13"/>
        <v>9.0989849928950345E-2</v>
      </c>
      <c r="G101" s="42">
        <f t="shared" ca="1" si="1"/>
        <v>600751507588.43994</v>
      </c>
      <c r="H101" s="41">
        <f t="shared" ca="1" si="14"/>
        <v>627.56559045568042</v>
      </c>
      <c r="I101" s="3"/>
      <c r="J101" s="43">
        <f t="shared" ca="1" si="16"/>
        <v>1</v>
      </c>
      <c r="K101" s="44" t="str">
        <f t="shared" ca="1" si="10"/>
        <v/>
      </c>
      <c r="L101" s="3"/>
      <c r="M101" s="45">
        <f t="shared" ca="1" si="2"/>
        <v>513.36139266340956</v>
      </c>
      <c r="N101" s="47">
        <f t="shared" ca="1" si="3"/>
        <v>741.76978824795128</v>
      </c>
      <c r="O101" s="45">
        <f t="shared" ca="1" si="4"/>
        <v>456.25929376727396</v>
      </c>
      <c r="P101" s="47">
        <f t="shared" ca="1" si="5"/>
        <v>798.87188714408683</v>
      </c>
      <c r="Q101" s="45">
        <f t="shared" ca="1" si="6"/>
        <v>399.15719487113853</v>
      </c>
      <c r="R101" s="47">
        <f t="shared" ca="1" si="7"/>
        <v>855.97398604022226</v>
      </c>
      <c r="S101" s="73">
        <f t="shared" ca="1" si="17"/>
        <v>1</v>
      </c>
      <c r="T101" s="73"/>
      <c r="U101" s="3"/>
      <c r="V101" s="3"/>
      <c r="W101" s="3"/>
      <c r="X101" s="3"/>
    </row>
    <row r="102" spans="1:24" ht="14" thickBot="1">
      <c r="A102" s="40">
        <v>42597</v>
      </c>
      <c r="B102" s="41">
        <f t="array" aca="1" ref="B102" ca="1">IF(AND(A102 &gt; TODAY(), A102 &lt;= TODAY() + 7),
   INDEX(calculations!B:B, MATCH(143^143, calculations!B:B)),
   IF(ISNUMBER(MATCH(A102, calculations!A:A, 0)),
      INDEX(calculations!B:B, MATCH(A102, calculations!A:A, 0)),
      ""
   )
)</f>
        <v>566.55999999999995</v>
      </c>
      <c r="C102" s="42">
        <f t="array" aca="1" ref="C102" ca="1">IF(B102&lt;&gt;"", IF(MATCH(A102, calculations!A:A, 0), INDEX(calculations!D:D, MATCH(A102, calculations!A:A, 0)), "No Match"),"")</f>
        <v>504473696</v>
      </c>
      <c r="D102" s="43">
        <f t="shared" ca="1" si="8"/>
        <v>-4.2374457008603435E-2</v>
      </c>
      <c r="E102" s="43">
        <f t="shared" ca="1" si="0"/>
        <v>3.0386752611069974E-3</v>
      </c>
      <c r="F102" s="43">
        <f t="shared" ca="1" si="13"/>
        <v>9.250620692053535E-2</v>
      </c>
      <c r="G102" s="42">
        <f t="shared" ca="1" si="1"/>
        <v>285814617205.75995</v>
      </c>
      <c r="H102" s="41">
        <f t="shared" ca="1" si="14"/>
        <v>630.64826019138502</v>
      </c>
      <c r="I102" s="3"/>
      <c r="J102" s="43">
        <f t="shared" ca="1" si="16"/>
        <v>1</v>
      </c>
      <c r="K102" s="44" t="str">
        <f t="shared" ca="1" si="10"/>
        <v/>
      </c>
      <c r="L102" s="3"/>
      <c r="M102" s="45">
        <f t="shared" ca="1" si="2"/>
        <v>513.97050328870523</v>
      </c>
      <c r="N102" s="47">
        <f t="shared" ca="1" si="3"/>
        <v>747.32601709406481</v>
      </c>
      <c r="O102" s="45">
        <f t="shared" ca="1" si="4"/>
        <v>455.63162483736539</v>
      </c>
      <c r="P102" s="47">
        <f t="shared" ca="1" si="5"/>
        <v>805.66489554540465</v>
      </c>
      <c r="Q102" s="45">
        <f t="shared" ca="1" si="6"/>
        <v>397.2927463860255</v>
      </c>
      <c r="R102" s="47">
        <f t="shared" ca="1" si="7"/>
        <v>864.00377399674448</v>
      </c>
      <c r="S102" s="73">
        <f t="shared" ca="1" si="17"/>
        <v>1</v>
      </c>
      <c r="T102" s="73"/>
      <c r="U102" s="3"/>
      <c r="V102" s="3"/>
      <c r="W102" s="3"/>
      <c r="X102" s="3"/>
    </row>
    <row r="103" spans="1:24" ht="14" thickBot="1">
      <c r="A103" s="40">
        <v>42604</v>
      </c>
      <c r="B103" s="41">
        <f t="array" aca="1" ref="B103" ca="1">IF(AND(A103 &gt; TODAY(), A103 &lt;= TODAY() + 7),
   INDEX(calculations!B:B, MATCH(143^143, calculations!B:B)),
   IF(ISNUMBER(MATCH(A103, calculations!A:A, 0)),
      INDEX(calculations!B:B, MATCH(A103, calculations!A:A, 0)),
      ""
   )
)</f>
        <v>584.97</v>
      </c>
      <c r="C103" s="42">
        <f t="array" aca="1" ref="C103" ca="1">IF(B103&lt;&gt;"", IF(MATCH(A103, calculations!A:A, 0), INDEX(calculations!D:D, MATCH(A103, calculations!A:A, 0)), "No Match"),"")</f>
        <v>364239500</v>
      </c>
      <c r="D103" s="43">
        <f t="shared" ca="1" si="8"/>
        <v>3.2494351878000712E-2</v>
      </c>
      <c r="E103" s="43">
        <f t="shared" ca="1" si="0"/>
        <v>3.8985035538667551E-4</v>
      </c>
      <c r="F103" s="43">
        <f t="shared" ca="1" si="13"/>
        <v>9.1978005116173572E-2</v>
      </c>
      <c r="G103" s="42">
        <f t="shared" ca="1" si="1"/>
        <v>213069180315</v>
      </c>
      <c r="H103" s="41">
        <f t="shared" ca="1" si="14"/>
        <v>634.55406253936258</v>
      </c>
      <c r="I103" s="3"/>
      <c r="J103" s="43">
        <f t="shared" ca="1" si="16"/>
        <v>1</v>
      </c>
      <c r="K103" s="44" t="str">
        <f t="shared" ca="1" si="10"/>
        <v/>
      </c>
      <c r="L103" s="3"/>
      <c r="M103" s="45">
        <f t="shared" ca="1" si="2"/>
        <v>517.82402891789411</v>
      </c>
      <c r="N103" s="47">
        <f t="shared" ca="1" si="3"/>
        <v>751.28409616083104</v>
      </c>
      <c r="O103" s="45">
        <f t="shared" ca="1" si="4"/>
        <v>459.45901210715994</v>
      </c>
      <c r="P103" s="47">
        <f t="shared" ca="1" si="5"/>
        <v>809.64911297156516</v>
      </c>
      <c r="Q103" s="45">
        <f t="shared" ca="1" si="6"/>
        <v>401.0939952964257</v>
      </c>
      <c r="R103" s="47">
        <f t="shared" ca="1" si="7"/>
        <v>868.01412978229951</v>
      </c>
      <c r="S103" s="73">
        <f t="shared" ca="1" si="17"/>
        <v>1</v>
      </c>
      <c r="T103" s="73"/>
      <c r="U103" s="3"/>
      <c r="V103" s="3"/>
      <c r="W103" s="3"/>
      <c r="X103" s="3"/>
    </row>
    <row r="104" spans="1:24" ht="14" thickBot="1">
      <c r="A104" s="40">
        <v>42611</v>
      </c>
      <c r="B104" s="41">
        <f t="array" aca="1" ref="B104" ca="1">IF(AND(A104 &gt; TODAY(), A104 &lt;= TODAY() + 7),
   INDEX(calculations!B:B, MATCH(143^143, calculations!B:B)),
   IF(ISNUMBER(MATCH(A104, calculations!A:A, 0)),
      INDEX(calculations!B:B, MATCH(A104, calculations!A:A, 0)),
      ""
   )
)</f>
        <v>573.42999999999995</v>
      </c>
      <c r="C104" s="42">
        <f t="array" aca="1" ref="C104" ca="1">IF(B104&lt;&gt;"", IF(MATCH(A104, calculations!A:A, 0), INDEX(calculations!D:D, MATCH(A104, calculations!A:A, 0)), "No Match"),"")</f>
        <v>545508100</v>
      </c>
      <c r="D104" s="43">
        <f t="shared" ca="1" si="8"/>
        <v>-1.972750739354168E-2</v>
      </c>
      <c r="E104" s="43">
        <f t="shared" ca="1" si="0"/>
        <v>1.0547705172990003E-3</v>
      </c>
      <c r="F104" s="43">
        <f t="shared" ca="1" si="13"/>
        <v>9.1814283865602281E-2</v>
      </c>
      <c r="G104" s="42">
        <f t="shared" ca="1" si="1"/>
        <v>312810709783</v>
      </c>
      <c r="H104" s="41">
        <f t="shared" ca="1" si="14"/>
        <v>639.40035846217779</v>
      </c>
      <c r="I104" s="3"/>
      <c r="J104" s="43">
        <f t="shared" ca="1" si="16"/>
        <v>1</v>
      </c>
      <c r="K104" s="44" t="str">
        <f t="shared" ca="1" si="10"/>
        <v/>
      </c>
      <c r="L104" s="3"/>
      <c r="M104" s="45">
        <f t="shared" ca="1" si="2"/>
        <v>521.98818643094921</v>
      </c>
      <c r="N104" s="47">
        <f t="shared" ca="1" si="3"/>
        <v>756.81253049340637</v>
      </c>
      <c r="O104" s="45">
        <f t="shared" ca="1" si="4"/>
        <v>463.28210041533509</v>
      </c>
      <c r="P104" s="47">
        <f t="shared" ca="1" si="5"/>
        <v>815.51861650902049</v>
      </c>
      <c r="Q104" s="45">
        <f t="shared" ca="1" si="6"/>
        <v>404.5760143997208</v>
      </c>
      <c r="R104" s="47">
        <f t="shared" ca="1" si="7"/>
        <v>874.22470252463484</v>
      </c>
      <c r="S104" s="73">
        <f t="shared" ca="1" si="17"/>
        <v>1</v>
      </c>
      <c r="T104" s="73"/>
      <c r="U104" s="3"/>
      <c r="V104" s="3"/>
      <c r="W104" s="3"/>
      <c r="X104" s="3"/>
    </row>
    <row r="105" spans="1:24" ht="14" thickBot="1">
      <c r="A105" s="40">
        <v>42618</v>
      </c>
      <c r="B105" s="41">
        <f t="array" aca="1" ref="B105" ca="1">IF(AND(A105 &gt; TODAY(), A105 &lt;= TODAY() + 7),
   INDEX(calculations!B:B, MATCH(143^143, calculations!B:B)),
   IF(ISNUMBER(MATCH(A105, calculations!A:A, 0)),
      INDEX(calculations!B:B, MATCH(A105, calculations!A:A, 0)),
      ""
   )
)</f>
        <v>607.53</v>
      </c>
      <c r="C105" s="42">
        <f t="array" aca="1" ref="C105" ca="1">IF(B105&lt;&gt;"", IF(MATCH(A105, calculations!A:A, 0), INDEX(calculations!D:D, MATCH(A105, calculations!A:A, 0)), "No Match"),"")</f>
        <v>670372392</v>
      </c>
      <c r="D105" s="43">
        <f t="shared" ca="1" si="8"/>
        <v>5.9466717820832578E-2</v>
      </c>
      <c r="E105" s="43">
        <f t="shared" ca="1" si="0"/>
        <v>2.1824775716257783E-3</v>
      </c>
      <c r="F105" s="43">
        <f t="shared" ca="1" si="13"/>
        <v>7.7233580840606691E-2</v>
      </c>
      <c r="G105" s="42">
        <f t="shared" ca="1" si="1"/>
        <v>407271339311.76001</v>
      </c>
      <c r="H105" s="41">
        <f t="shared" ca="1" si="14"/>
        <v>644.35853995872685</v>
      </c>
      <c r="I105" s="3"/>
      <c r="J105" s="43">
        <f t="shared" ca="1" si="16"/>
        <v>1</v>
      </c>
      <c r="K105" s="44" t="str">
        <f t="shared" ca="1" si="10"/>
        <v/>
      </c>
      <c r="L105" s="3"/>
      <c r="M105" s="45">
        <f t="shared" ca="1" si="2"/>
        <v>544.8263051862516</v>
      </c>
      <c r="N105" s="47">
        <f t="shared" ca="1" si="3"/>
        <v>743.8907747312021</v>
      </c>
      <c r="O105" s="45">
        <f t="shared" ca="1" si="4"/>
        <v>495.06018780001398</v>
      </c>
      <c r="P105" s="47">
        <f t="shared" ca="1" si="5"/>
        <v>793.65689211743972</v>
      </c>
      <c r="Q105" s="45">
        <f t="shared" ca="1" si="6"/>
        <v>445.29407041377635</v>
      </c>
      <c r="R105" s="47">
        <f t="shared" ca="1" si="7"/>
        <v>843.42300950367746</v>
      </c>
      <c r="S105" s="73">
        <f t="shared" ca="1" si="17"/>
        <v>1</v>
      </c>
      <c r="T105" s="73"/>
      <c r="U105" s="3"/>
      <c r="V105" s="3"/>
      <c r="W105" s="3"/>
      <c r="X105" s="3"/>
    </row>
    <row r="106" spans="1:24" ht="14" thickBot="1">
      <c r="A106" s="40">
        <v>42625</v>
      </c>
      <c r="B106" s="41">
        <f t="array" aca="1" ref="B106" ca="1">IF(AND(A106 &gt; TODAY(), A106 &lt;= TODAY() + 7),
   INDEX(calculations!B:B, MATCH(143^143, calculations!B:B)),
   IF(ISNUMBER(MATCH(A106, calculations!A:A, 0)),
      INDEX(calculations!B:B, MATCH(A106, calculations!A:A, 0)),
      ""
   )
)</f>
        <v>607.71</v>
      </c>
      <c r="C106" s="42">
        <f t="array" aca="1" ref="C106" ca="1">IF(B106&lt;&gt;"", IF(MATCH(A106, calculations!A:A, 0), INDEX(calculations!D:D, MATCH(A106, calculations!A:A, 0)), "No Match"),"")</f>
        <v>505899104</v>
      </c>
      <c r="D106" s="43">
        <f t="shared" ca="1" si="8"/>
        <v>2.962816651030627E-4</v>
      </c>
      <c r="E106" s="43">
        <f t="shared" ca="1" si="0"/>
        <v>1.5508821000226263E-4</v>
      </c>
      <c r="F106" s="43">
        <f t="shared" ca="1" si="13"/>
        <v>7.3152259899814137E-2</v>
      </c>
      <c r="G106" s="42">
        <f t="shared" ca="1" si="1"/>
        <v>307439944491.84003</v>
      </c>
      <c r="H106" s="41">
        <f t="shared" ca="1" si="14"/>
        <v>646.11556814978098</v>
      </c>
      <c r="I106" s="3"/>
      <c r="J106" s="43">
        <f t="shared" ca="1" si="16"/>
        <v>1</v>
      </c>
      <c r="K106" s="44" t="str">
        <f t="shared" ca="1" si="10"/>
        <v/>
      </c>
      <c r="L106" s="3"/>
      <c r="M106" s="45">
        <f t="shared" ca="1" si="2"/>
        <v>551.58594021656336</v>
      </c>
      <c r="N106" s="47">
        <f t="shared" ca="1" si="3"/>
        <v>740.64519608299861</v>
      </c>
      <c r="O106" s="45">
        <f t="shared" ca="1" si="4"/>
        <v>504.32112624995443</v>
      </c>
      <c r="P106" s="47">
        <f t="shared" ca="1" si="5"/>
        <v>787.91001004960754</v>
      </c>
      <c r="Q106" s="45">
        <f t="shared" ca="1" si="6"/>
        <v>457.05631228334556</v>
      </c>
      <c r="R106" s="47">
        <f t="shared" ca="1" si="7"/>
        <v>835.17482401621635</v>
      </c>
      <c r="S106" s="73">
        <f t="shared" ca="1" si="17"/>
        <v>1</v>
      </c>
      <c r="T106" s="73"/>
      <c r="U106" s="3"/>
      <c r="V106" s="3"/>
      <c r="W106" s="3"/>
      <c r="X106" s="3"/>
    </row>
    <row r="107" spans="1:24" ht="14" thickBot="1">
      <c r="A107" s="40">
        <v>42632</v>
      </c>
      <c r="B107" s="41">
        <f t="array" aca="1" ref="B107" ca="1">IF(AND(A107 &gt; TODAY(), A107 &lt;= TODAY() + 7),
   INDEX(calculations!B:B, MATCH(143^143, calculations!B:B)),
   IF(ISNUMBER(MATCH(A107, calculations!A:A, 0)),
      INDEX(calculations!B:B, MATCH(A107, calculations!A:A, 0)),
      ""
   )
)</f>
        <v>608.87</v>
      </c>
      <c r="C107" s="42">
        <f t="array" aca="1" ref="C107" ca="1">IF(B107&lt;&gt;"", IF(MATCH(A107, calculations!A:A, 0), INDEX(calculations!D:D, MATCH(A107, calculations!A:A, 0)), "No Match"),"")</f>
        <v>417858304</v>
      </c>
      <c r="D107" s="43">
        <f t="shared" ca="1" si="8"/>
        <v>1.9088051866843858E-3</v>
      </c>
      <c r="E107" s="43">
        <f t="shared" ca="1" si="0"/>
        <v>1.1752550680053773E-4</v>
      </c>
      <c r="F107" s="43">
        <f t="shared" ca="1" si="13"/>
        <v>4.6253193503531582E-2</v>
      </c>
      <c r="G107" s="42">
        <f t="shared" ca="1" si="1"/>
        <v>254421385556.48001</v>
      </c>
      <c r="H107" s="41">
        <f t="shared" ca="1" si="14"/>
        <v>640.7088068107538</v>
      </c>
      <c r="I107" s="3"/>
      <c r="J107" s="43">
        <f t="shared" ca="1" si="16"/>
        <v>1</v>
      </c>
      <c r="K107" s="44" t="str">
        <f t="shared" ca="1" si="10"/>
        <v/>
      </c>
      <c r="L107" s="3"/>
      <c r="M107" s="45">
        <f t="shared" ca="1" si="2"/>
        <v>581.4391499690845</v>
      </c>
      <c r="N107" s="47">
        <f t="shared" ca="1" si="3"/>
        <v>699.9784636524231</v>
      </c>
      <c r="O107" s="45">
        <f t="shared" ca="1" si="4"/>
        <v>551.80432154824985</v>
      </c>
      <c r="P107" s="47">
        <f t="shared" ca="1" si="5"/>
        <v>729.61329207325775</v>
      </c>
      <c r="Q107" s="45">
        <f t="shared" ca="1" si="6"/>
        <v>522.16949312741531</v>
      </c>
      <c r="R107" s="47">
        <f t="shared" ca="1" si="7"/>
        <v>759.24812049409229</v>
      </c>
      <c r="S107" s="73">
        <f t="shared" ca="1" si="17"/>
        <v>1</v>
      </c>
      <c r="T107" s="73"/>
      <c r="U107" s="3"/>
      <c r="V107" s="3"/>
      <c r="W107" s="3"/>
      <c r="X107" s="3"/>
    </row>
    <row r="108" spans="1:24" ht="14" thickBot="1">
      <c r="A108" s="40">
        <v>42639</v>
      </c>
      <c r="B108" s="41">
        <f t="array" aca="1" ref="B108" ca="1">IF(AND(A108 &gt; TODAY(), A108 &lt;= TODAY() + 7),
   INDEX(calculations!B:B, MATCH(143^143, calculations!B:B)),
   IF(ISNUMBER(MATCH(A108, calculations!A:A, 0)),
      INDEX(calculations!B:B, MATCH(A108, calculations!A:A, 0)),
      ""
   )
)</f>
        <v>606.78</v>
      </c>
      <c r="C108" s="42">
        <f t="array" aca="1" ref="C108" ca="1">IF(B108&lt;&gt;"", IF(MATCH(A108, calculations!A:A, 0), INDEX(calculations!D:D, MATCH(A108, calculations!A:A, 0)), "No Match"),"")</f>
        <v>397773096</v>
      </c>
      <c r="D108" s="43">
        <f t="shared" ca="1" si="8"/>
        <v>-3.4325882372263894E-3</v>
      </c>
      <c r="E108" s="43">
        <f t="shared" ca="1" si="0"/>
        <v>2.6186720857003884E-4</v>
      </c>
      <c r="F108" s="43">
        <f t="shared" ca="1" si="13"/>
        <v>4.5191958196271836E-2</v>
      </c>
      <c r="G108" s="42">
        <f t="shared" ca="1" si="1"/>
        <v>241360759190.87997</v>
      </c>
      <c r="H108" s="41">
        <f t="shared" ca="1" si="14"/>
        <v>626.48893604928764</v>
      </c>
      <c r="I108" s="3"/>
      <c r="J108" s="43">
        <f t="shared" ca="1" si="16"/>
        <v>1</v>
      </c>
      <c r="K108" s="44" t="str">
        <f t="shared" ca="1" si="10"/>
        <v/>
      </c>
      <c r="L108" s="3"/>
      <c r="M108" s="45">
        <f t="shared" ca="1" si="2"/>
        <v>569.86441243255513</v>
      </c>
      <c r="N108" s="47">
        <f t="shared" ca="1" si="3"/>
        <v>683.11345966602016</v>
      </c>
      <c r="O108" s="45">
        <f t="shared" ca="1" si="4"/>
        <v>541.55215062418893</v>
      </c>
      <c r="P108" s="47">
        <f t="shared" ca="1" si="5"/>
        <v>711.42572147438636</v>
      </c>
      <c r="Q108" s="45">
        <f t="shared" ca="1" si="6"/>
        <v>513.23988881582272</v>
      </c>
      <c r="R108" s="47">
        <f t="shared" ca="1" si="7"/>
        <v>739.73798328275268</v>
      </c>
      <c r="S108" s="73">
        <f t="shared" ca="1" si="17"/>
        <v>1</v>
      </c>
      <c r="T108" s="73"/>
      <c r="U108" s="3"/>
      <c r="V108" s="3"/>
      <c r="W108" s="3"/>
      <c r="X108" s="3"/>
    </row>
    <row r="109" spans="1:24" ht="14" thickBot="1">
      <c r="A109" s="40">
        <v>42646</v>
      </c>
      <c r="B109" s="41">
        <f t="array" aca="1" ref="B109" ca="1">IF(AND(A109 &gt; TODAY(), A109 &lt;= TODAY() + 7),
   INDEX(calculations!B:B, MATCH(143^143, calculations!B:B)),
   IF(ISNUMBER(MATCH(A109, calculations!A:A, 0)),
      INDEX(calculations!B:B, MATCH(A109, calculations!A:A, 0)),
      ""
   )
)</f>
        <v>612.59</v>
      </c>
      <c r="C109" s="42">
        <f t="array" aca="1" ref="C109" ca="1">IF(B109&lt;&gt;"", IF(MATCH(A109, calculations!A:A, 0), INDEX(calculations!D:D, MATCH(A109, calculations!A:A, 0)), "No Match"),"")</f>
        <v>364686600</v>
      </c>
      <c r="D109" s="43">
        <f t="shared" ca="1" si="8"/>
        <v>9.5751343155675191E-3</v>
      </c>
      <c r="E109" s="43">
        <f t="shared" ca="1" si="0"/>
        <v>1.0078015589321178E-5</v>
      </c>
      <c r="F109" s="43">
        <f t="shared" ca="1" si="13"/>
        <v>3.8039094200278588E-2</v>
      </c>
      <c r="G109" s="42">
        <f t="shared" ca="1" si="1"/>
        <v>223403364294</v>
      </c>
      <c r="H109" s="41">
        <f t="shared" ca="1" si="14"/>
        <v>621.6176545210468</v>
      </c>
      <c r="I109" s="3"/>
      <c r="J109" s="43">
        <f t="shared" ca="1" si="16"/>
        <v>1</v>
      </c>
      <c r="K109" s="44" t="str">
        <f t="shared" ca="1" si="10"/>
        <v/>
      </c>
      <c r="L109" s="3"/>
      <c r="M109" s="45">
        <f t="shared" ca="1" si="2"/>
        <v>574.32610948728222</v>
      </c>
      <c r="N109" s="47">
        <f t="shared" ca="1" si="3"/>
        <v>668.90919955481149</v>
      </c>
      <c r="O109" s="45">
        <f t="shared" ca="1" si="4"/>
        <v>550.68033697039982</v>
      </c>
      <c r="P109" s="47">
        <f t="shared" ca="1" si="5"/>
        <v>692.5549720716939</v>
      </c>
      <c r="Q109" s="45">
        <f t="shared" ca="1" si="6"/>
        <v>527.03456445351742</v>
      </c>
      <c r="R109" s="47">
        <f t="shared" ca="1" si="7"/>
        <v>716.20074458857607</v>
      </c>
      <c r="S109" s="73">
        <f t="shared" ca="1" si="17"/>
        <v>1</v>
      </c>
      <c r="T109" s="73"/>
      <c r="U109" s="3"/>
      <c r="V109" s="3"/>
      <c r="W109" s="3"/>
      <c r="X109" s="3"/>
    </row>
    <row r="110" spans="1:24" ht="14" thickBot="1">
      <c r="A110" s="40">
        <v>42653</v>
      </c>
      <c r="B110" s="41">
        <f t="array" aca="1" ref="B110" ca="1">IF(AND(A110 &gt; TODAY(), A110 &lt;= TODAY() + 7),
   INDEX(calculations!B:B, MATCH(143^143, calculations!B:B)),
   IF(ISNUMBER(MATCH(A110, calculations!A:A, 0)),
      INDEX(calculations!B:B, MATCH(A110, calculations!A:A, 0)),
      ""
   )
)</f>
        <v>618.09</v>
      </c>
      <c r="C110" s="42">
        <f t="array" aca="1" ref="C110" ca="1">IF(B110&lt;&gt;"", IF(MATCH(A110, calculations!A:A, 0), INDEX(calculations!D:D, MATCH(A110, calculations!A:A, 0)), "No Match"),"")</f>
        <v>367150204</v>
      </c>
      <c r="D110" s="43">
        <f t="shared" ca="1" si="8"/>
        <v>8.9782725803555386E-3</v>
      </c>
      <c r="E110" s="43">
        <f t="shared" ca="1" si="0"/>
        <v>1.4223840969369721E-5</v>
      </c>
      <c r="F110" s="43">
        <f t="shared" ca="1" si="13"/>
        <v>3.5914731631992221E-2</v>
      </c>
      <c r="G110" s="42">
        <f t="shared" ca="1" si="1"/>
        <v>226931869590.36002</v>
      </c>
      <c r="H110" s="41">
        <f t="shared" ca="1" si="14"/>
        <v>614.96522068930676</v>
      </c>
      <c r="I110" s="3"/>
      <c r="J110" s="43">
        <f t="shared" ca="1" si="16"/>
        <v>1</v>
      </c>
      <c r="K110" s="44" t="str">
        <f t="shared" ca="1" si="10"/>
        <v/>
      </c>
      <c r="L110" s="3"/>
      <c r="M110" s="45">
        <f t="shared" ca="1" si="2"/>
        <v>570.79259896117617</v>
      </c>
      <c r="N110" s="47">
        <f t="shared" ca="1" si="3"/>
        <v>659.13784241743735</v>
      </c>
      <c r="O110" s="45">
        <f t="shared" ca="1" si="4"/>
        <v>548.70628809711081</v>
      </c>
      <c r="P110" s="47">
        <f t="shared" ca="1" si="5"/>
        <v>681.22415328150282</v>
      </c>
      <c r="Q110" s="45">
        <f t="shared" ca="1" si="6"/>
        <v>526.61997723304546</v>
      </c>
      <c r="R110" s="47">
        <f t="shared" ca="1" si="7"/>
        <v>703.31046414556806</v>
      </c>
      <c r="S110" s="73">
        <f t="shared" ca="1" si="17"/>
        <v>1</v>
      </c>
      <c r="T110" s="73"/>
      <c r="U110" s="3"/>
      <c r="V110" s="3"/>
      <c r="W110" s="3"/>
      <c r="X110" s="3"/>
    </row>
    <row r="111" spans="1:24" ht="14" thickBot="1">
      <c r="A111" s="40">
        <v>42660</v>
      </c>
      <c r="B111" s="41">
        <f t="array" aca="1" ref="B111" ca="1">IF(AND(A111 &gt; TODAY(), A111 &lt;= TODAY() + 7),
   INDEX(calculations!B:B, MATCH(143^143, calculations!B:B)),
   IF(ISNUMBER(MATCH(A111, calculations!A:A, 0)),
      INDEX(calculations!B:B, MATCH(A111, calculations!A:A, 0)),
      ""
   )
)</f>
        <v>639.14</v>
      </c>
      <c r="C111" s="42">
        <f t="array" aca="1" ref="C111" ca="1">IF(B111&lt;&gt;"", IF(MATCH(A111, calculations!A:A, 0), INDEX(calculations!D:D, MATCH(A111, calculations!A:A, 0)), "No Match"),"")</f>
        <v>462540104</v>
      </c>
      <c r="D111" s="43">
        <f t="shared" ca="1" si="8"/>
        <v>3.4056528984452029E-2</v>
      </c>
      <c r="E111" s="43">
        <f t="shared" ca="1" si="0"/>
        <v>4.5397996599677126E-4</v>
      </c>
      <c r="F111" s="43">
        <f t="shared" ca="1" si="13"/>
        <v>3.5695816028013638E-2</v>
      </c>
      <c r="G111" s="42">
        <f t="shared" ca="1" si="1"/>
        <v>295627882070.56</v>
      </c>
      <c r="H111" s="41">
        <f t="shared" ca="1" si="14"/>
        <v>611.62605108664934</v>
      </c>
      <c r="I111" s="3"/>
      <c r="J111" s="43">
        <f t="shared" ca="1" si="16"/>
        <v>1</v>
      </c>
      <c r="K111" s="44" t="str">
        <f t="shared" ca="1" si="10"/>
        <v/>
      </c>
      <c r="L111" s="3"/>
      <c r="M111" s="45">
        <f t="shared" ca="1" si="2"/>
        <v>567.96106909159028</v>
      </c>
      <c r="N111" s="47">
        <f t="shared" ca="1" si="3"/>
        <v>655.29103308170841</v>
      </c>
      <c r="O111" s="45">
        <f t="shared" ca="1" si="4"/>
        <v>546.1285780940608</v>
      </c>
      <c r="P111" s="47">
        <f t="shared" ca="1" si="5"/>
        <v>677.12352407923788</v>
      </c>
      <c r="Q111" s="45">
        <f t="shared" ca="1" si="6"/>
        <v>524.29608709653132</v>
      </c>
      <c r="R111" s="47">
        <f t="shared" ca="1" si="7"/>
        <v>698.95601507676736</v>
      </c>
      <c r="S111" s="73">
        <f t="shared" ca="1" si="17"/>
        <v>1</v>
      </c>
      <c r="T111" s="73"/>
      <c r="U111" s="3"/>
      <c r="V111" s="3"/>
      <c r="W111" s="3"/>
      <c r="X111" s="3"/>
    </row>
    <row r="112" spans="1:24" ht="14" thickBot="1">
      <c r="A112" s="40">
        <v>42667</v>
      </c>
      <c r="B112" s="41">
        <f t="array" aca="1" ref="B112" ca="1">IF(AND(A112 &gt; TODAY(), A112 &lt;= TODAY() + 7),
   INDEX(calculations!B:B, MATCH(143^143, calculations!B:B)),
   IF(ISNUMBER(MATCH(A112, calculations!A:A, 0)),
      INDEX(calculations!B:B, MATCH(A112, calculations!A:A, 0)),
      ""
   )
)</f>
        <v>650.03</v>
      </c>
      <c r="C112" s="42">
        <f t="array" aca="1" ref="C112" ca="1">IF(B112&lt;&gt;"", IF(MATCH(A112, calculations!A:A, 0), INDEX(calculations!D:D, MATCH(A112, calculations!A:A, 0)), "No Match"),"")</f>
        <v>438931392</v>
      </c>
      <c r="D112" s="43">
        <f t="shared" ca="1" si="8"/>
        <v>1.7038520511937896E-2</v>
      </c>
      <c r="E112" s="43">
        <f t="shared" ca="1" si="0"/>
        <v>1.8393781026289949E-5</v>
      </c>
      <c r="F112" s="43">
        <f t="shared" ca="1" si="13"/>
        <v>3.4346042577301117E-2</v>
      </c>
      <c r="G112" s="42">
        <f t="shared" ca="1" si="1"/>
        <v>285318572741.76001</v>
      </c>
      <c r="H112" s="41">
        <f t="shared" ca="1" si="14"/>
        <v>608.05303166118017</v>
      </c>
      <c r="I112" s="3"/>
      <c r="J112" s="43">
        <f t="shared" ca="1" si="16"/>
        <v>-0.17349969876756177</v>
      </c>
      <c r="K112" s="44">
        <f t="shared" ca="1" si="10"/>
        <v>-2</v>
      </c>
      <c r="L112" s="3"/>
      <c r="M112" s="45">
        <f t="shared" ca="1" si="2"/>
        <v>566.28460103179634</v>
      </c>
      <c r="N112" s="47">
        <f t="shared" ca="1" si="3"/>
        <v>649.821462290564</v>
      </c>
      <c r="O112" s="45">
        <f t="shared" ca="1" si="4"/>
        <v>545.40038571710443</v>
      </c>
      <c r="P112" s="47">
        <f t="shared" ca="1" si="5"/>
        <v>670.70567760525603</v>
      </c>
      <c r="Q112" s="45">
        <f t="shared" ca="1" si="6"/>
        <v>524.51617040241251</v>
      </c>
      <c r="R112" s="47">
        <f t="shared" ca="1" si="7"/>
        <v>691.58989291994783</v>
      </c>
      <c r="S112" s="73">
        <f t="shared" ca="1" si="17"/>
        <v>-0.17349969876756177</v>
      </c>
      <c r="T112" s="73"/>
      <c r="U112" s="3"/>
      <c r="V112" s="3"/>
      <c r="W112" s="3"/>
      <c r="X112" s="3"/>
    </row>
    <row r="113" spans="1:24" ht="14" thickBot="1">
      <c r="A113" s="40">
        <v>42674</v>
      </c>
      <c r="B113" s="41">
        <f t="array" aca="1" ref="B113" ca="1">IF(AND(A113 &gt; TODAY(), A113 &lt;= TODAY() + 7),
   INDEX(calculations!B:B, MATCH(143^143, calculations!B:B)),
   IF(ISNUMBER(MATCH(A113, calculations!A:A, 0)),
      INDEX(calculations!B:B, MATCH(A113, calculations!A:A, 0)),
      ""
   )
)</f>
        <v>698.9</v>
      </c>
      <c r="C113" s="42">
        <f t="array" aca="1" ref="C113" ca="1">IF(B113&lt;&gt;"", IF(MATCH(A113, calculations!A:A, 0), INDEX(calculations!D:D, MATCH(A113, calculations!A:A, 0)), "No Match"),"")</f>
        <v>654150896</v>
      </c>
      <c r="D113" s="43">
        <f t="shared" ca="1" si="8"/>
        <v>7.5181145485592987E-2</v>
      </c>
      <c r="E113" s="43">
        <f t="shared" ca="1" si="0"/>
        <v>3.8976824688542614E-3</v>
      </c>
      <c r="F113" s="43">
        <f t="shared" ca="1" si="13"/>
        <v>3.9002773965635631E-2</v>
      </c>
      <c r="G113" s="42">
        <f t="shared" ca="1" si="1"/>
        <v>457186061214.39996</v>
      </c>
      <c r="H113" s="41">
        <f t="shared" ca="1" si="14"/>
        <v>612.18730585877722</v>
      </c>
      <c r="I113" s="3"/>
      <c r="J113" s="43">
        <f t="shared" ca="1" si="16"/>
        <v>-0.3696228255887995</v>
      </c>
      <c r="K113" s="44">
        <f t="shared" ca="1" si="10"/>
        <v>-3</v>
      </c>
      <c r="L113" s="3"/>
      <c r="M113" s="45">
        <f t="shared" ca="1" si="2"/>
        <v>564.43329962869461</v>
      </c>
      <c r="N113" s="47">
        <f t="shared" ca="1" si="3"/>
        <v>659.94131208885995</v>
      </c>
      <c r="O113" s="45">
        <f t="shared" ca="1" si="4"/>
        <v>540.55629651365325</v>
      </c>
      <c r="P113" s="47">
        <f t="shared" ca="1" si="5"/>
        <v>683.81831520390119</v>
      </c>
      <c r="Q113" s="45">
        <f t="shared" ca="1" si="6"/>
        <v>516.67929339861189</v>
      </c>
      <c r="R113" s="47">
        <f t="shared" ca="1" si="7"/>
        <v>707.69531831894255</v>
      </c>
      <c r="S113" s="73">
        <f t="shared" ca="1" si="17"/>
        <v>-0.3696228255887995</v>
      </c>
      <c r="T113" s="73"/>
      <c r="U113" s="3"/>
      <c r="V113" s="3"/>
      <c r="W113" s="3"/>
      <c r="X113" s="3"/>
    </row>
    <row r="114" spans="1:24" ht="14" thickBot="1">
      <c r="A114" s="40">
        <v>42681</v>
      </c>
      <c r="B114" s="41">
        <f t="array" aca="1" ref="B114" ca="1">IF(AND(A114 &gt; TODAY(), A114 &lt;= TODAY() + 7),
   INDEX(calculations!B:B, MATCH(143^143, calculations!B:B)),
   IF(ISNUMBER(MATCH(A114, calculations!A:A, 0)),
      INDEX(calculations!B:B, MATCH(A114, calculations!A:A, 0)),
      ""
   )
)</f>
        <v>706.18</v>
      </c>
      <c r="C114" s="42">
        <f t="array" aca="1" ref="C114" ca="1">IF(B114&lt;&gt;"", IF(MATCH(A114, calculations!A:A, 0), INDEX(calculations!D:D, MATCH(A114, calculations!A:A, 0)), "No Match"),"")</f>
        <v>698826796</v>
      </c>
      <c r="D114" s="43">
        <f t="shared" ca="1" si="8"/>
        <v>1.0416368579195841E-2</v>
      </c>
      <c r="E114" s="43">
        <f t="shared" ca="1" si="0"/>
        <v>5.4445445244949843E-6</v>
      </c>
      <c r="F114" s="43">
        <f t="shared" ca="1" si="13"/>
        <v>3.1578861050938559E-2</v>
      </c>
      <c r="G114" s="42">
        <f t="shared" ca="1" si="1"/>
        <v>493497506799.27997</v>
      </c>
      <c r="H114" s="41">
        <f t="shared" ca="1" si="14"/>
        <v>621.62685768142069</v>
      </c>
      <c r="I114" s="3"/>
      <c r="J114" s="43">
        <f t="shared" ca="1" si="16"/>
        <v>-0.17832095053410679</v>
      </c>
      <c r="K114" s="44">
        <f t="shared" ca="1" si="10"/>
        <v>-4</v>
      </c>
      <c r="L114" s="3"/>
      <c r="M114" s="45">
        <f t="shared" ca="1" si="2"/>
        <v>582.36632135291438</v>
      </c>
      <c r="N114" s="47">
        <f t="shared" ca="1" si="3"/>
        <v>660.88739400992699</v>
      </c>
      <c r="O114" s="45">
        <f t="shared" ca="1" si="4"/>
        <v>562.73605318866123</v>
      </c>
      <c r="P114" s="47">
        <f t="shared" ca="1" si="5"/>
        <v>680.51766217418015</v>
      </c>
      <c r="Q114" s="45">
        <f t="shared" ca="1" si="6"/>
        <v>543.10578502440819</v>
      </c>
      <c r="R114" s="47">
        <f t="shared" ca="1" si="7"/>
        <v>700.14793033843318</v>
      </c>
      <c r="S114" s="73">
        <f t="shared" ca="1" si="17"/>
        <v>-0.17832095053410679</v>
      </c>
      <c r="T114" s="73"/>
      <c r="U114" s="3"/>
      <c r="V114" s="3"/>
      <c r="W114" s="3"/>
      <c r="X114" s="3"/>
    </row>
    <row r="115" spans="1:24" ht="14" thickBot="1">
      <c r="A115" s="40">
        <v>42688</v>
      </c>
      <c r="B115" s="41">
        <f t="array" aca="1" ref="B115" ca="1">IF(AND(A115 &gt; TODAY(), A115 &lt;= TODAY() + 7),
   INDEX(calculations!B:B, MATCH(143^143, calculations!B:B)),
   IF(ISNUMBER(MATCH(A115, calculations!A:A, 0)),
      INDEX(calculations!B:B, MATCH(A115, calculations!A:A, 0)),
      ""
   )
)</f>
        <v>705.64</v>
      </c>
      <c r="C115" s="42">
        <f t="array" aca="1" ref="C115" ca="1">IF(B115&lt;&gt;"", IF(MATCH(A115, calculations!A:A, 0), INDEX(calculations!D:D, MATCH(A115, calculations!A:A, 0)), "No Match"),"")</f>
        <v>554004996</v>
      </c>
      <c r="D115" s="43">
        <f t="shared" ca="1" si="8"/>
        <v>-7.6467756096174294E-4</v>
      </c>
      <c r="E115" s="43">
        <f t="shared" ca="1" si="0"/>
        <v>1.8263903220264337E-4</v>
      </c>
      <c r="F115" s="43">
        <f t="shared" ca="1" si="13"/>
        <v>3.0103889106208419E-2</v>
      </c>
      <c r="G115" s="42">
        <f t="shared" ca="1" si="1"/>
        <v>390928085377.44</v>
      </c>
      <c r="H115" s="41">
        <f t="shared" ca="1" si="14"/>
        <v>632.71214922435991</v>
      </c>
      <c r="I115" s="3"/>
      <c r="J115" s="43">
        <f t="shared" ca="1" si="16"/>
        <v>-0.13747453695547851</v>
      </c>
      <c r="K115" s="44">
        <f t="shared" ca="1" si="10"/>
        <v>-3</v>
      </c>
      <c r="L115" s="3"/>
      <c r="M115" s="45">
        <f t="shared" ca="1" si="2"/>
        <v>594.61795647155805</v>
      </c>
      <c r="N115" s="47">
        <f t="shared" ca="1" si="3"/>
        <v>670.80634197716176</v>
      </c>
      <c r="O115" s="45">
        <f t="shared" ca="1" si="4"/>
        <v>575.57086009515717</v>
      </c>
      <c r="P115" s="47">
        <f t="shared" ca="1" si="5"/>
        <v>689.85343835356264</v>
      </c>
      <c r="Q115" s="45">
        <f t="shared" ca="1" si="6"/>
        <v>556.52376371875619</v>
      </c>
      <c r="R115" s="47">
        <f t="shared" ca="1" si="7"/>
        <v>708.90053472996362</v>
      </c>
      <c r="S115" s="73">
        <f t="shared" ca="1" si="17"/>
        <v>-0.13747453695547851</v>
      </c>
      <c r="T115" s="73"/>
      <c r="U115" s="3"/>
      <c r="V115" s="3"/>
      <c r="W115" s="3"/>
      <c r="X115" s="3"/>
    </row>
    <row r="116" spans="1:24" ht="14" thickBot="1">
      <c r="A116" s="40">
        <v>42695</v>
      </c>
      <c r="B116" s="41">
        <f t="array" aca="1" ref="B116" ca="1">IF(AND(A116 &gt; TODAY(), A116 &lt;= TODAY() + 7),
   INDEX(calculations!B:B, MATCH(143^143, calculations!B:B)),
   IF(ISNUMBER(MATCH(A116, calculations!A:A, 0)),
      INDEX(calculations!B:B, MATCH(A116, calculations!A:A, 0)),
      ""
   )
)</f>
        <v>736.51</v>
      </c>
      <c r="C116" s="42">
        <f t="array" aca="1" ref="C116" ca="1">IF(B116&lt;&gt;"", IF(MATCH(A116, calculations!A:A, 0), INDEX(calculations!D:D, MATCH(A116, calculations!A:A, 0)), "No Match"),"")</f>
        <v>736991600</v>
      </c>
      <c r="D116" s="43">
        <f t="shared" ca="1" si="8"/>
        <v>4.3747519981860446E-2</v>
      </c>
      <c r="E116" s="43">
        <f t="shared" ca="1" si="0"/>
        <v>9.6086339552455891E-4</v>
      </c>
      <c r="F116" s="43">
        <f t="shared" ca="1" si="13"/>
        <v>2.6481889066583147E-2</v>
      </c>
      <c r="G116" s="42">
        <f t="shared" ca="1" si="1"/>
        <v>542801683316</v>
      </c>
      <c r="H116" s="41">
        <f t="shared" ca="1" si="14"/>
        <v>648.01667456979453</v>
      </c>
      <c r="I116" s="3"/>
      <c r="J116" s="43">
        <f t="shared" ca="1" si="16"/>
        <v>-0.30654858416040981</v>
      </c>
      <c r="K116" s="44">
        <f t="shared" ca="1" si="10"/>
        <v>-4</v>
      </c>
      <c r="L116" s="3"/>
      <c r="M116" s="45">
        <f t="shared" ca="1" si="2"/>
        <v>613.69526319128772</v>
      </c>
      <c r="N116" s="47">
        <f t="shared" ca="1" si="3"/>
        <v>682.33808594830134</v>
      </c>
      <c r="O116" s="45">
        <f t="shared" ca="1" si="4"/>
        <v>596.53455750203432</v>
      </c>
      <c r="P116" s="47">
        <f t="shared" ca="1" si="5"/>
        <v>699.49879163755475</v>
      </c>
      <c r="Q116" s="45">
        <f t="shared" ca="1" si="6"/>
        <v>579.37385181278091</v>
      </c>
      <c r="R116" s="47">
        <f t="shared" ca="1" si="7"/>
        <v>716.65949732680826</v>
      </c>
      <c r="S116" s="73">
        <f t="shared" ca="1" si="17"/>
        <v>-0.30654858416040981</v>
      </c>
      <c r="T116" s="73"/>
      <c r="U116" s="3"/>
      <c r="V116" s="3"/>
      <c r="W116" s="3"/>
      <c r="X116" s="3"/>
    </row>
    <row r="117" spans="1:24" ht="14" thickBot="1">
      <c r="A117" s="40">
        <v>42702</v>
      </c>
      <c r="B117" s="41">
        <f t="array" aca="1" ref="B117" ca="1">IF(AND(A117 &gt; TODAY(), A117 &lt;= TODAY() + 7),
   INDEX(calculations!B:B, MATCH(143^143, calculations!B:B)),
   IF(ISNUMBER(MATCH(A117, calculations!A:A, 0)),
      INDEX(calculations!B:B, MATCH(A117, calculations!A:A, 0)),
      ""
   )
)</f>
        <v>730.08</v>
      </c>
      <c r="C117" s="42">
        <f t="array" aca="1" ref="C117" ca="1">IF(B117&lt;&gt;"", IF(MATCH(A117, calculations!A:A, 0), INDEX(calculations!D:D, MATCH(A117, calculations!A:A, 0)), "No Match"),"")</f>
        <v>528543596</v>
      </c>
      <c r="D117" s="43">
        <f t="shared" ca="1" si="8"/>
        <v>-8.7303634709643453E-3</v>
      </c>
      <c r="E117" s="43">
        <f t="shared" ca="1" si="0"/>
        <v>4.6139413018653794E-4</v>
      </c>
      <c r="F117" s="43">
        <f t="shared" ca="1" si="13"/>
        <v>2.7176504410523696E-2</v>
      </c>
      <c r="G117" s="42">
        <f t="shared" ca="1" si="1"/>
        <v>385879108567.67999</v>
      </c>
      <c r="H117" s="41">
        <f t="shared" ca="1" si="14"/>
        <v>657.05058328313987</v>
      </c>
      <c r="I117" s="3"/>
      <c r="J117" s="43">
        <f t="shared" ca="1" si="16"/>
        <v>-0.16717457346076595</v>
      </c>
      <c r="K117" s="44">
        <f t="shared" ca="1" si="10"/>
        <v>-4</v>
      </c>
      <c r="L117" s="3"/>
      <c r="M117" s="45">
        <f t="shared" ca="1" si="2"/>
        <v>621.337907134077</v>
      </c>
      <c r="N117" s="47">
        <f t="shared" ca="1" si="3"/>
        <v>692.76325943220263</v>
      </c>
      <c r="O117" s="45">
        <f t="shared" ca="1" si="4"/>
        <v>603.48156905954556</v>
      </c>
      <c r="P117" s="47">
        <f t="shared" ca="1" si="5"/>
        <v>710.61959750673418</v>
      </c>
      <c r="Q117" s="45">
        <f t="shared" ca="1" si="6"/>
        <v>585.62523098501424</v>
      </c>
      <c r="R117" s="47">
        <f t="shared" ca="1" si="7"/>
        <v>728.47593558126562</v>
      </c>
      <c r="S117" s="73">
        <f t="shared" ca="1" si="17"/>
        <v>-0.16717457346076595</v>
      </c>
      <c r="T117" s="73"/>
      <c r="U117" s="3"/>
      <c r="V117" s="3"/>
      <c r="W117" s="3"/>
      <c r="X117" s="3"/>
    </row>
    <row r="118" spans="1:24" ht="14" thickBot="1">
      <c r="A118" s="40">
        <v>42709</v>
      </c>
      <c r="B118" s="41">
        <f t="array" aca="1" ref="B118" ca="1">IF(AND(A118 &gt; TODAY(), A118 &lt;= TODAY() + 7),
   INDEX(calculations!B:B, MATCH(143^143, calculations!B:B)),
   IF(ISNUMBER(MATCH(A118, calculations!A:A, 0)),
      INDEX(calculations!B:B, MATCH(A118, calculations!A:A, 0)),
      ""
   )
)</f>
        <v>752.67</v>
      </c>
      <c r="C118" s="42">
        <f t="array" aca="1" ref="C118" ca="1">IF(B118&lt;&gt;"", IF(MATCH(A118, calculations!A:A, 0), INDEX(calculations!D:D, MATCH(A118, calculations!A:A, 0)), "No Match"),"")</f>
        <v>552642604</v>
      </c>
      <c r="D118" s="43">
        <f t="shared" ca="1" si="8"/>
        <v>3.0941814595660637E-2</v>
      </c>
      <c r="E118" s="43">
        <f t="shared" ca="1" si="0"/>
        <v>3.309521835937025E-4</v>
      </c>
      <c r="F118" s="43">
        <f t="shared" ca="1" si="13"/>
        <v>2.5322082799913392E-2</v>
      </c>
      <c r="G118" s="42">
        <f t="shared" ca="1" si="1"/>
        <v>415957508752.67999</v>
      </c>
      <c r="H118" s="41">
        <f t="shared" ca="1" si="14"/>
        <v>670.44569759679644</v>
      </c>
      <c r="I118" s="3"/>
      <c r="J118" s="43">
        <f t="shared" ca="1" si="16"/>
        <v>-0.25416595634894085</v>
      </c>
      <c r="K118" s="44">
        <f t="shared" ca="1" si="10"/>
        <v>-4</v>
      </c>
      <c r="L118" s="3"/>
      <c r="M118" s="45">
        <f t="shared" ca="1" si="2"/>
        <v>636.4915346620129</v>
      </c>
      <c r="N118" s="47">
        <f t="shared" ca="1" si="3"/>
        <v>704.39986053158009</v>
      </c>
      <c r="O118" s="45">
        <f t="shared" ca="1" si="4"/>
        <v>619.51445319462107</v>
      </c>
      <c r="P118" s="47">
        <f t="shared" ca="1" si="5"/>
        <v>721.37694199897169</v>
      </c>
      <c r="Q118" s="45">
        <f t="shared" ca="1" si="6"/>
        <v>602.53737172722936</v>
      </c>
      <c r="R118" s="47">
        <f t="shared" ca="1" si="7"/>
        <v>738.35402346636351</v>
      </c>
      <c r="S118" s="73">
        <f t="shared" ca="1" si="17"/>
        <v>-0.25416595634894085</v>
      </c>
      <c r="T118" s="73"/>
      <c r="U118" s="3"/>
      <c r="V118" s="3"/>
      <c r="W118" s="3"/>
      <c r="X118" s="3"/>
    </row>
    <row r="119" spans="1:24" ht="14" thickBot="1">
      <c r="A119" s="40">
        <v>42716</v>
      </c>
      <c r="B119" s="41">
        <f t="array" aca="1" ref="B119" ca="1">IF(AND(A119 &gt; TODAY(), A119 &lt;= TODAY() + 7),
   INDEX(calculations!B:B, MATCH(143^143, calculations!B:B)),
   IF(ISNUMBER(MATCH(A119, calculations!A:A, 0)),
      INDEX(calculations!B:B, MATCH(A119, calculations!A:A, 0)),
      ""
   )
)</f>
        <v>778.51</v>
      </c>
      <c r="C119" s="42">
        <f t="array" aca="1" ref="C119" ca="1">IF(B119&lt;&gt;"", IF(MATCH(A119, calculations!A:A, 0), INDEX(calculations!D:D, MATCH(A119, calculations!A:A, 0)), "No Match"),"")</f>
        <v>578980796</v>
      </c>
      <c r="D119" s="43">
        <f t="shared" ca="1" si="8"/>
        <v>3.433111456548027E-2</v>
      </c>
      <c r="E119" s="43">
        <f t="shared" ca="1" si="0"/>
        <v>4.6575644644358458E-4</v>
      </c>
      <c r="F119" s="43">
        <f t="shared" ca="1" si="13"/>
        <v>2.3094440296958372E-2</v>
      </c>
      <c r="G119" s="42">
        <f t="shared" ca="1" si="1"/>
        <v>450742339493.96002</v>
      </c>
      <c r="H119" s="41">
        <f t="shared" ca="1" si="14"/>
        <v>684.87528704973636</v>
      </c>
      <c r="I119" s="3"/>
      <c r="J119" s="43">
        <f t="shared" ca="1" si="16"/>
        <v>-0.26549551372526436</v>
      </c>
      <c r="K119" s="44">
        <f t="shared" ca="1" si="10"/>
        <v>-4</v>
      </c>
      <c r="L119" s="3"/>
      <c r="M119" s="45">
        <f t="shared" ca="1" si="2"/>
        <v>653.24166419447158</v>
      </c>
      <c r="N119" s="47">
        <f t="shared" ca="1" si="3"/>
        <v>716.50890990500113</v>
      </c>
      <c r="O119" s="45">
        <f t="shared" ca="1" si="4"/>
        <v>637.42485276683931</v>
      </c>
      <c r="P119" s="47">
        <f t="shared" ca="1" si="5"/>
        <v>732.32572133263352</v>
      </c>
      <c r="Q119" s="45">
        <f t="shared" ca="1" si="6"/>
        <v>621.60804133920692</v>
      </c>
      <c r="R119" s="47">
        <f t="shared" ca="1" si="7"/>
        <v>748.14253276026591</v>
      </c>
      <c r="S119" s="73">
        <f t="shared" ca="1" si="17"/>
        <v>-0.26549551372526436</v>
      </c>
      <c r="T119" s="73"/>
      <c r="U119" s="3"/>
      <c r="V119" s="3"/>
      <c r="W119" s="3"/>
      <c r="X119" s="3"/>
    </row>
    <row r="120" spans="1:24" ht="14" thickBot="1">
      <c r="A120" s="40">
        <v>42723</v>
      </c>
      <c r="B120" s="41">
        <f t="array" aca="1" ref="B120" ca="1">IF(AND(A120 &gt; TODAY(), A120 &lt;= TODAY() + 7),
   INDEX(calculations!B:B, MATCH(143^143, calculations!B:B)),
   IF(ISNUMBER(MATCH(A120, calculations!A:A, 0)),
      INDEX(calculations!B:B, MATCH(A120, calculations!A:A, 0)),
      ""
   )
)</f>
        <v>790.28</v>
      </c>
      <c r="C120" s="42">
        <f t="array" aca="1" ref="C120" ca="1">IF(B120&lt;&gt;"", IF(MATCH(A120, calculations!A:A, 0), INDEX(calculations!D:D, MATCH(A120, calculations!A:A, 0)), "No Match"),"")</f>
        <v>538898096</v>
      </c>
      <c r="D120" s="43">
        <f t="shared" ca="1" si="8"/>
        <v>1.5118624038226846E-2</v>
      </c>
      <c r="E120" s="43">
        <f t="shared" ca="1" si="0"/>
        <v>5.6116904320413623E-6</v>
      </c>
      <c r="F120" s="43">
        <f t="shared" ca="1" si="13"/>
        <v>2.2548255630071554E-2</v>
      </c>
      <c r="G120" s="42">
        <f t="shared" ca="1" si="1"/>
        <v>425880387306.88</v>
      </c>
      <c r="H120" s="41">
        <f t="shared" ca="1" si="14"/>
        <v>698.01852945968142</v>
      </c>
      <c r="I120" s="3"/>
      <c r="J120" s="43">
        <f t="shared" ca="1" si="16"/>
        <v>-0.1880993669493638</v>
      </c>
      <c r="K120" s="44">
        <f t="shared" ca="1" si="10"/>
        <v>-4</v>
      </c>
      <c r="L120" s="3"/>
      <c r="M120" s="45">
        <f t="shared" ca="1" si="2"/>
        <v>666.54032898611433</v>
      </c>
      <c r="N120" s="47">
        <f t="shared" ca="1" si="3"/>
        <v>729.4967299332485</v>
      </c>
      <c r="O120" s="45">
        <f t="shared" ca="1" si="4"/>
        <v>650.80122874933079</v>
      </c>
      <c r="P120" s="47">
        <f t="shared" ca="1" si="5"/>
        <v>745.23583017003205</v>
      </c>
      <c r="Q120" s="45">
        <f t="shared" ca="1" si="6"/>
        <v>635.06212851254725</v>
      </c>
      <c r="R120" s="47">
        <f t="shared" ca="1" si="7"/>
        <v>760.97493040681559</v>
      </c>
      <c r="S120" s="73">
        <f t="shared" ca="1" si="17"/>
        <v>-0.1880993669493638</v>
      </c>
      <c r="T120" s="73"/>
      <c r="U120" s="3"/>
      <c r="V120" s="3"/>
      <c r="W120" s="3"/>
      <c r="X120" s="3"/>
    </row>
    <row r="121" spans="1:24" ht="14" thickBot="1">
      <c r="A121" s="40">
        <v>42730</v>
      </c>
      <c r="B121" s="41">
        <f t="array" aca="1" ref="B121" ca="1">IF(AND(A121 &gt; TODAY(), A121 &lt;= TODAY() + 7),
   INDEX(calculations!B:B, MATCH(143^143, calculations!B:B)),
   IF(ISNUMBER(MATCH(A121, calculations!A:A, 0)),
      INDEX(calculations!B:B, MATCH(A121, calculations!A:A, 0)),
      ""
   )
)</f>
        <v>903.2</v>
      </c>
      <c r="C121" s="42">
        <f t="array" aca="1" ref="C121" ca="1">IF(B121&lt;&gt;"", IF(MATCH(A121, calculations!A:A, 0), INDEX(calculations!D:D, MATCH(A121, calculations!A:A, 0)), "No Match"),"")</f>
        <v>1087074704</v>
      </c>
      <c r="D121" s="43">
        <f t="shared" ca="1" si="8"/>
        <v>0.14288606569823364</v>
      </c>
      <c r="E121" s="43">
        <f t="shared" ca="1" si="0"/>
        <v>1.693546759765395E-2</v>
      </c>
      <c r="F121" s="43">
        <f t="shared" ca="1" si="13"/>
        <v>3.9416796484637549E-2</v>
      </c>
      <c r="G121" s="42">
        <f t="shared" ca="1" si="1"/>
        <v>981845872652.80005</v>
      </c>
      <c r="H121" s="41">
        <f t="shared" ca="1" si="14"/>
        <v>730.71450336610496</v>
      </c>
      <c r="I121" s="3"/>
      <c r="J121" s="43">
        <f t="shared" ca="1" si="16"/>
        <v>-0.71603767444395705</v>
      </c>
      <c r="K121" s="44">
        <f t="shared" ca="1" si="10"/>
        <v>-4</v>
      </c>
      <c r="L121" s="3"/>
      <c r="M121" s="45">
        <f t="shared" ca="1" si="2"/>
        <v>673.10965363099547</v>
      </c>
      <c r="N121" s="47">
        <f t="shared" ca="1" si="3"/>
        <v>788.31935310121457</v>
      </c>
      <c r="O121" s="45">
        <f t="shared" ca="1" si="4"/>
        <v>644.30722876344066</v>
      </c>
      <c r="P121" s="47">
        <f t="shared" ca="1" si="5"/>
        <v>817.12177796876927</v>
      </c>
      <c r="Q121" s="45">
        <f t="shared" ca="1" si="6"/>
        <v>615.50480389588586</v>
      </c>
      <c r="R121" s="47">
        <f t="shared" ca="1" si="7"/>
        <v>845.92420283632396</v>
      </c>
      <c r="S121" s="73">
        <f t="shared" ca="1" si="17"/>
        <v>-0.71603767444395705</v>
      </c>
      <c r="T121" s="73"/>
      <c r="U121" s="3"/>
      <c r="V121" s="3"/>
      <c r="W121" s="3"/>
      <c r="X121" s="3"/>
    </row>
    <row r="122" spans="1:24" ht="14" thickBot="1">
      <c r="A122" s="40">
        <v>42737</v>
      </c>
      <c r="B122" s="41">
        <f t="array" aca="1" ref="B122" ca="1">IF(AND(A122 &gt; TODAY(), A122 &lt;= TODAY() + 7),
   INDEX(calculations!B:B, MATCH(143^143, calculations!B:B)),
   IF(ISNUMBER(MATCH(A122, calculations!A:A, 0)),
      INDEX(calculations!B:B, MATCH(A122, calculations!A:A, 0)),
      ""
   )
)</f>
        <v>1017.08</v>
      </c>
      <c r="C122" s="42">
        <f t="array" aca="1" ref="C122" ca="1">IF(B122&lt;&gt;"", IF(MATCH(A122, calculations!A:A, 0), INDEX(calculations!D:D, MATCH(A122, calculations!A:A, 0)), "No Match"),"")</f>
        <v>1161413112</v>
      </c>
      <c r="D122" s="43">
        <f t="shared" ca="1" si="8"/>
        <v>0.12608503100088572</v>
      </c>
      <c r="E122" s="43">
        <f t="shared" ca="1" si="0"/>
        <v>1.284489195847225E-2</v>
      </c>
      <c r="F122" s="43">
        <f t="shared" ca="1" si="13"/>
        <v>4.5835371524407011E-2</v>
      </c>
      <c r="G122" s="42">
        <f t="shared" ca="1" si="1"/>
        <v>1181250047952.96</v>
      </c>
      <c r="H122" s="41">
        <f t="shared" ca="1" si="14"/>
        <v>774.48454967760688</v>
      </c>
      <c r="I122" s="3"/>
      <c r="J122" s="43">
        <f t="shared" ca="1" si="16"/>
        <v>-0.65525211069433476</v>
      </c>
      <c r="K122" s="44">
        <f t="shared" ca="1" si="10"/>
        <v>-4</v>
      </c>
      <c r="L122" s="3"/>
      <c r="M122" s="45">
        <f t="shared" ca="1" si="2"/>
        <v>703.48697552883448</v>
      </c>
      <c r="N122" s="47">
        <f t="shared" ca="1" si="3"/>
        <v>845.48212382637917</v>
      </c>
      <c r="O122" s="45">
        <f t="shared" ca="1" si="4"/>
        <v>667.98818845444839</v>
      </c>
      <c r="P122" s="47">
        <f t="shared" ca="1" si="5"/>
        <v>880.98091090076537</v>
      </c>
      <c r="Q122" s="45">
        <f t="shared" ca="1" si="6"/>
        <v>632.48940138006219</v>
      </c>
      <c r="R122" s="47">
        <f t="shared" ca="1" si="7"/>
        <v>916.47969797515157</v>
      </c>
      <c r="S122" s="73">
        <f t="shared" ca="1" si="17"/>
        <v>-0.65525211069433476</v>
      </c>
      <c r="T122" s="73"/>
      <c r="U122" s="3"/>
      <c r="V122" s="3"/>
      <c r="W122" s="3"/>
      <c r="X122" s="3"/>
    </row>
    <row r="123" spans="1:24" ht="14" thickBot="1">
      <c r="A123" s="40">
        <v>42744</v>
      </c>
      <c r="B123" s="41">
        <f t="array" aca="1" ref="B123" ca="1">IF(AND(A123 &gt; TODAY(), A123 &lt;= TODAY() + 7),
   INDEX(calculations!B:B, MATCH(143^143, calculations!B:B)),
   IF(ISNUMBER(MATCH(A123, calculations!A:A, 0)),
      INDEX(calculations!B:B, MATCH(A123, calculations!A:A, 0)),
      ""
   )
)</f>
        <v>903.51</v>
      </c>
      <c r="C123" s="42">
        <f t="array" aca="1" ref="C123" ca="1">IF(B123&lt;&gt;"", IF(MATCH(A123, calculations!A:A, 0), INDEX(calculations!D:D, MATCH(A123, calculations!A:A, 0)), "No Match"),"")</f>
        <v>2052639008</v>
      </c>
      <c r="D123" s="43">
        <f t="shared" ca="1" si="8"/>
        <v>-0.11166279938647898</v>
      </c>
      <c r="E123" s="43">
        <f t="shared" ca="1" si="0"/>
        <v>1.547847581568425E-2</v>
      </c>
      <c r="F123" s="43">
        <f t="shared" ca="1" si="13"/>
        <v>6.0746235597085266E-2</v>
      </c>
      <c r="G123" s="42">
        <f t="shared" ca="1" si="1"/>
        <v>1854579870118.0801</v>
      </c>
      <c r="H123" s="41">
        <f t="shared" ca="1" si="14"/>
        <v>805.58894248988634</v>
      </c>
      <c r="I123" s="3"/>
      <c r="J123" s="43">
        <f t="shared" ca="1" si="16"/>
        <v>-0.38914844953642813</v>
      </c>
      <c r="K123" s="44">
        <f t="shared" ca="1" si="10"/>
        <v>-2</v>
      </c>
      <c r="L123" s="3"/>
      <c r="M123" s="45">
        <f t="shared" ca="1" si="2"/>
        <v>707.7159511000915</v>
      </c>
      <c r="N123" s="47">
        <f t="shared" ca="1" si="3"/>
        <v>903.46193387968117</v>
      </c>
      <c r="O123" s="45">
        <f t="shared" ca="1" si="4"/>
        <v>658.77945540519408</v>
      </c>
      <c r="P123" s="47">
        <f t="shared" ca="1" si="5"/>
        <v>952.39842957457859</v>
      </c>
      <c r="Q123" s="45">
        <f t="shared" ca="1" si="6"/>
        <v>609.84295971029678</v>
      </c>
      <c r="R123" s="47">
        <f t="shared" ca="1" si="7"/>
        <v>1001.3349252694759</v>
      </c>
      <c r="S123" s="73">
        <f t="shared" ca="1" si="17"/>
        <v>-0.38914844953642813</v>
      </c>
      <c r="T123" s="73"/>
      <c r="U123" s="3"/>
      <c r="V123" s="3"/>
      <c r="W123" s="3"/>
      <c r="X123" s="3"/>
    </row>
    <row r="124" spans="1:24" ht="14" thickBot="1">
      <c r="A124" s="40">
        <v>42751</v>
      </c>
      <c r="B124" s="41">
        <f t="array" aca="1" ref="B124" ca="1">IF(AND(A124 &gt; TODAY(), A124 &lt;= TODAY() + 7),
   INDEX(calculations!B:B, MATCH(143^143, calculations!B:B)),
   IF(ISNUMBER(MATCH(A124, calculations!A:A, 0)),
      INDEX(calculations!B:B, MATCH(A124, calculations!A:A, 0)),
      ""
   )
)</f>
        <v>830.84</v>
      </c>
      <c r="C124" s="42">
        <f t="array" aca="1" ref="C124" ca="1">IF(B124&lt;&gt;"", IF(MATCH(A124, calculations!A:A, 0), INDEX(calculations!D:D, MATCH(A124, calculations!A:A, 0)), "No Match"),"")</f>
        <v>1123984880</v>
      </c>
      <c r="D124" s="43">
        <f t="shared" ca="1" si="8"/>
        <v>-8.0430764463038554E-2</v>
      </c>
      <c r="E124" s="43">
        <f t="shared" ca="1" si="0"/>
        <v>8.6826033105957372E-3</v>
      </c>
      <c r="F124" s="43">
        <f t="shared" ca="1" si="13"/>
        <v>6.7438319743554825E-2</v>
      </c>
      <c r="G124" s="42">
        <f t="shared" ca="1" si="1"/>
        <v>933851597699.20007</v>
      </c>
      <c r="H124" s="41">
        <f t="shared" ca="1" si="14"/>
        <v>814.29309351504332</v>
      </c>
      <c r="I124" s="3"/>
      <c r="J124" s="43">
        <f t="shared" ca="1" si="16"/>
        <v>1</v>
      </c>
      <c r="K124" s="44" t="str">
        <f t="shared" ca="1" si="10"/>
        <v/>
      </c>
      <c r="L124" s="3"/>
      <c r="M124" s="45">
        <f t="shared" ca="1" si="2"/>
        <v>704.46397750417157</v>
      </c>
      <c r="N124" s="47">
        <f t="shared" ca="1" si="3"/>
        <v>924.12220952591508</v>
      </c>
      <c r="O124" s="45">
        <f t="shared" ca="1" si="4"/>
        <v>649.54941949873569</v>
      </c>
      <c r="P124" s="47">
        <f t="shared" ca="1" si="5"/>
        <v>979.03676753135107</v>
      </c>
      <c r="Q124" s="45">
        <f t="shared" ca="1" si="6"/>
        <v>594.63486149329981</v>
      </c>
      <c r="R124" s="47">
        <f t="shared" ca="1" si="7"/>
        <v>1033.951325536787</v>
      </c>
      <c r="S124" s="73">
        <f t="shared" ca="1" si="17"/>
        <v>1</v>
      </c>
      <c r="T124" s="73"/>
      <c r="U124" s="3"/>
      <c r="V124" s="3"/>
      <c r="W124" s="3"/>
      <c r="X124" s="3"/>
    </row>
    <row r="125" spans="1:24" ht="14" thickBot="1">
      <c r="A125" s="40">
        <v>42758</v>
      </c>
      <c r="B125" s="41">
        <f t="array" aca="1" ref="B125" ca="1">IF(AND(A125 &gt; TODAY(), A125 &lt;= TODAY() + 7),
   INDEX(calculations!B:B, MATCH(143^143, calculations!B:B)),
   IF(ISNUMBER(MATCH(A125, calculations!A:A, 0)),
      INDEX(calculations!B:B, MATCH(A125, calculations!A:A, 0)),
      ""
   )
)</f>
        <v>919.12</v>
      </c>
      <c r="C125" s="42">
        <f t="array" aca="1" ref="C125" ca="1">IF(B125&lt;&gt;"", IF(MATCH(A125, calculations!A:A, 0), INDEX(calculations!D:D, MATCH(A125, calculations!A:A, 0)), "No Match"),"")</f>
        <v>883611600</v>
      </c>
      <c r="D125" s="43">
        <f t="shared" ca="1" si="8"/>
        <v>0.10625391170381779</v>
      </c>
      <c r="E125" s="43">
        <f t="shared" ca="1" si="0"/>
        <v>8.7430332381810433E-3</v>
      </c>
      <c r="F125" s="43">
        <f t="shared" ca="1" si="13"/>
        <v>7.0979740823193818E-2</v>
      </c>
      <c r="G125" s="42">
        <f t="shared" ca="1" si="1"/>
        <v>812145093792</v>
      </c>
      <c r="H125" s="41">
        <f t="shared" ca="1" si="14"/>
        <v>829.27421539730744</v>
      </c>
      <c r="I125" s="3"/>
      <c r="J125" s="43">
        <f t="shared" ca="1" si="16"/>
        <v>1</v>
      </c>
      <c r="K125" s="44" t="str">
        <f t="shared" ca="1" si="10"/>
        <v/>
      </c>
      <c r="L125" s="3"/>
      <c r="M125" s="45">
        <f t="shared" ca="1" si="2"/>
        <v>711.55087763679091</v>
      </c>
      <c r="N125" s="47">
        <f t="shared" ca="1" si="3"/>
        <v>946.99755315782397</v>
      </c>
      <c r="O125" s="45">
        <f t="shared" ca="1" si="4"/>
        <v>652.68920875653259</v>
      </c>
      <c r="P125" s="47">
        <f t="shared" ca="1" si="5"/>
        <v>1005.8592220380823</v>
      </c>
      <c r="Q125" s="45">
        <f t="shared" ca="1" si="6"/>
        <v>593.82753987627439</v>
      </c>
      <c r="R125" s="47">
        <f t="shared" ca="1" si="7"/>
        <v>1064.7208909183405</v>
      </c>
      <c r="S125" s="73">
        <f t="shared" ca="1" si="17"/>
        <v>1</v>
      </c>
      <c r="T125" s="73"/>
      <c r="U125" s="3"/>
      <c r="V125" s="3"/>
      <c r="W125" s="3"/>
      <c r="X125" s="3"/>
    </row>
    <row r="126" spans="1:24" ht="14" thickBot="1">
      <c r="A126" s="40">
        <v>42765</v>
      </c>
      <c r="B126" s="41">
        <f t="array" aca="1" ref="B126" ca="1">IF(AND(A126 &gt; TODAY(), A126 &lt;= TODAY() + 7),
   INDEX(calculations!B:B, MATCH(143^143, calculations!B:B)),
   IF(ISNUMBER(MATCH(A126, calculations!A:A, 0)),
      INDEX(calculations!B:B, MATCH(A126, calculations!A:A, 0)),
      ""
   )
)</f>
        <v>920.31</v>
      </c>
      <c r="C126" s="42">
        <f t="array" aca="1" ref="C126" ca="1">IF(B126&lt;&gt;"", IF(MATCH(A126, calculations!A:A, 0), INDEX(calculations!D:D, MATCH(A126, calculations!A:A, 0)), "No Match"),"")</f>
        <v>693151900</v>
      </c>
      <c r="D126" s="43">
        <f t="shared" ca="1" si="8"/>
        <v>1.2947166855252208E-3</v>
      </c>
      <c r="E126" s="43">
        <f t="shared" ca="1" si="0"/>
        <v>1.3121717787000964E-4</v>
      </c>
      <c r="F126" s="43">
        <f t="shared" ca="1" si="13"/>
        <v>7.1301008010475925E-2</v>
      </c>
      <c r="G126" s="42">
        <f t="shared" ca="1" si="1"/>
        <v>637914625089</v>
      </c>
      <c r="H126" s="41">
        <f t="shared" ca="1" si="14"/>
        <v>841.2437014609003</v>
      </c>
      <c r="I126" s="3"/>
      <c r="J126" s="43">
        <f t="shared" ca="1" si="16"/>
        <v>1</v>
      </c>
      <c r="K126" s="44" t="str">
        <f t="shared" ca="1" si="10"/>
        <v/>
      </c>
      <c r="L126" s="3"/>
      <c r="M126" s="45">
        <f t="shared" ca="1" si="2"/>
        <v>721.28065366764815</v>
      </c>
      <c r="N126" s="47">
        <f t="shared" ca="1" si="3"/>
        <v>961.20674925415244</v>
      </c>
      <c r="O126" s="45">
        <f t="shared" ca="1" si="4"/>
        <v>661.29912977102208</v>
      </c>
      <c r="P126" s="47">
        <f t="shared" ca="1" si="5"/>
        <v>1021.1882731507784</v>
      </c>
      <c r="Q126" s="45">
        <f t="shared" ca="1" si="6"/>
        <v>601.31760587439601</v>
      </c>
      <c r="R126" s="47">
        <f t="shared" ca="1" si="7"/>
        <v>1081.1697970474045</v>
      </c>
      <c r="S126" s="73">
        <f t="shared" ca="1" si="17"/>
        <v>1</v>
      </c>
      <c r="T126" s="73"/>
      <c r="U126" s="3"/>
      <c r="V126" s="3"/>
      <c r="W126" s="3"/>
      <c r="X126" s="3"/>
    </row>
    <row r="127" spans="1:24" ht="14" thickBot="1">
      <c r="A127" s="40">
        <v>42772</v>
      </c>
      <c r="B127" s="41">
        <f t="array" aca="1" ref="B127" ca="1">IF(AND(A127 &gt; TODAY(), A127 &lt;= TODAY() + 7),
   INDEX(calculations!B:B, MATCH(143^143, calculations!B:B)),
   IF(ISNUMBER(MATCH(A127, calculations!A:A, 0)),
      INDEX(calculations!B:B, MATCH(A127, calculations!A:A, 0)),
      ""
   )
)</f>
        <v>1023.32</v>
      </c>
      <c r="C127" s="42">
        <f t="array" aca="1" ref="C127" ca="1">IF(B127&lt;&gt;"", IF(MATCH(A127, calculations!A:A, 0), INDEX(calculations!D:D, MATCH(A127, calculations!A:A, 0)), "No Match"),"")</f>
        <v>1009290288</v>
      </c>
      <c r="D127" s="43">
        <f t="shared" ca="1" si="8"/>
        <v>0.11192967587008737</v>
      </c>
      <c r="E127" s="43">
        <f t="shared" ca="1" si="0"/>
        <v>9.8366629802690148E-3</v>
      </c>
      <c r="F127" s="43">
        <f t="shared" ca="1" si="13"/>
        <v>7.3824115627917977E-2</v>
      </c>
      <c r="G127" s="42">
        <f t="shared" ca="1" si="1"/>
        <v>1032826937516.16</v>
      </c>
      <c r="H127" s="41">
        <f t="shared" ca="1" si="14"/>
        <v>863.93885512053089</v>
      </c>
      <c r="I127" s="3"/>
      <c r="J127" s="43">
        <f t="shared" ca="1" si="16"/>
        <v>-0.40276008253447765</v>
      </c>
      <c r="K127" s="44">
        <f t="shared" ca="1" si="10"/>
        <v>-2</v>
      </c>
      <c r="L127" s="3"/>
      <c r="M127" s="45">
        <f t="shared" ca="1" si="2"/>
        <v>736.37981124879263</v>
      </c>
      <c r="N127" s="47">
        <f t="shared" ca="1" si="3"/>
        <v>991.49789899226926</v>
      </c>
      <c r="O127" s="45">
        <f t="shared" ca="1" si="4"/>
        <v>672.60028931292345</v>
      </c>
      <c r="P127" s="47">
        <f t="shared" ca="1" si="5"/>
        <v>1055.2774209281386</v>
      </c>
      <c r="Q127" s="45">
        <f t="shared" ca="1" si="6"/>
        <v>608.82076737705438</v>
      </c>
      <c r="R127" s="47">
        <f t="shared" ca="1" si="7"/>
        <v>1119.0569428640074</v>
      </c>
      <c r="S127" s="73">
        <f t="shared" ca="1" si="17"/>
        <v>-0.40276008253447765</v>
      </c>
      <c r="T127" s="73"/>
      <c r="U127" s="3"/>
      <c r="V127" s="3"/>
      <c r="W127" s="3"/>
      <c r="X127" s="3"/>
    </row>
    <row r="128" spans="1:24" ht="14" thickBot="1">
      <c r="A128" s="40">
        <v>42779</v>
      </c>
      <c r="B128" s="41">
        <f t="array" aca="1" ref="B128" ca="1">IF(AND(A128 &gt; TODAY(), A128 &lt;= TODAY() + 7),
   INDEX(calculations!B:B, MATCH(143^143, calculations!B:B)),
   IF(ISNUMBER(MATCH(A128, calculations!A:A, 0)),
      INDEX(calculations!B:B, MATCH(A128, calculations!A:A, 0)),
      ""
   )
)</f>
        <v>999.95</v>
      </c>
      <c r="C128" s="42">
        <f t="array" aca="1" ref="C128" ca="1">IF(B128&lt;&gt;"", IF(MATCH(A128, calculations!A:A, 0), INDEX(calculations!D:D, MATCH(A128, calculations!A:A, 0)), "No Match"),"")</f>
        <v>1227087016</v>
      </c>
      <c r="D128" s="43">
        <f t="shared" ca="1" si="8"/>
        <v>-2.2837431106594225E-2</v>
      </c>
      <c r="E128" s="43">
        <f t="shared" ca="1" si="0"/>
        <v>1.2664455628979732E-3</v>
      </c>
      <c r="F128" s="43">
        <f t="shared" ca="1" si="13"/>
        <v>7.5031284363684739E-2</v>
      </c>
      <c r="G128" s="42">
        <f t="shared" ca="1" si="1"/>
        <v>1227025661649.2</v>
      </c>
      <c r="H128" s="41">
        <f t="shared" ca="1" si="14"/>
        <v>885.71264392788873</v>
      </c>
      <c r="I128" s="3"/>
      <c r="J128" s="43">
        <f t="shared" ca="1" si="16"/>
        <v>1</v>
      </c>
      <c r="K128" s="44" t="str">
        <f t="shared" ca="1" si="10"/>
        <v/>
      </c>
      <c r="L128" s="3"/>
      <c r="M128" s="45">
        <f t="shared" ca="1" si="2"/>
        <v>752.80032942575986</v>
      </c>
      <c r="N128" s="47">
        <f t="shared" ca="1" si="3"/>
        <v>1018.6249584300177</v>
      </c>
      <c r="O128" s="45">
        <f t="shared" ca="1" si="4"/>
        <v>686.34417217469536</v>
      </c>
      <c r="P128" s="47">
        <f t="shared" ca="1" si="5"/>
        <v>1085.0811156810821</v>
      </c>
      <c r="Q128" s="45">
        <f t="shared" ca="1" si="6"/>
        <v>619.88801492363086</v>
      </c>
      <c r="R128" s="47">
        <f t="shared" ca="1" si="7"/>
        <v>1151.5372729321466</v>
      </c>
      <c r="S128" s="73">
        <f t="shared" ca="1" si="17"/>
        <v>1</v>
      </c>
      <c r="T128" s="73"/>
      <c r="U128" s="3"/>
      <c r="V128" s="3"/>
      <c r="W128" s="3"/>
      <c r="X128" s="3"/>
    </row>
    <row r="129" spans="1:24" ht="14" thickBot="1">
      <c r="A129" s="40">
        <v>42786</v>
      </c>
      <c r="B129" s="41">
        <f t="array" aca="1" ref="B129" ca="1">IF(AND(A129 &gt; TODAY(), A129 &lt;= TODAY() + 7),
   INDEX(calculations!B:B, MATCH(143^143, calculations!B:B)),
   IF(ISNUMBER(MATCH(A129, calculations!A:A, 0)),
      INDEX(calculations!B:B, MATCH(A129, calculations!A:A, 0)),
      ""
   )
)</f>
        <v>1088.69</v>
      </c>
      <c r="C129" s="42">
        <f t="array" aca="1" ref="C129" ca="1">IF(B129&lt;&gt;"", IF(MATCH(A129, calculations!A:A, 0), INDEX(calculations!D:D, MATCH(A129, calculations!A:A, 0)), "No Match"),"")</f>
        <v>763560200</v>
      </c>
      <c r="D129" s="43">
        <f t="shared" ca="1" si="8"/>
        <v>8.8744437221861094E-2</v>
      </c>
      <c r="E129" s="43">
        <f t="shared" ca="1" si="0"/>
        <v>5.7751965352264524E-3</v>
      </c>
      <c r="F129" s="43">
        <f t="shared" ca="1" si="13"/>
        <v>7.6220979808055214E-2</v>
      </c>
      <c r="G129" s="42">
        <f t="shared" ca="1" si="1"/>
        <v>831280354138</v>
      </c>
      <c r="H129" s="41">
        <f t="shared" ca="1" si="14"/>
        <v>905.40263824618603</v>
      </c>
      <c r="I129" s="3"/>
      <c r="J129" s="43">
        <f t="shared" ca="1" si="16"/>
        <v>-0.35878646941816228</v>
      </c>
      <c r="K129" s="44">
        <f t="shared" ca="1" si="10"/>
        <v>-2</v>
      </c>
      <c r="L129" s="3"/>
      <c r="M129" s="45">
        <f t="shared" ca="1" si="2"/>
        <v>767.38128583034108</v>
      </c>
      <c r="N129" s="47">
        <f t="shared" ca="1" si="3"/>
        <v>1043.423990662031</v>
      </c>
      <c r="O129" s="45">
        <f t="shared" ca="1" si="4"/>
        <v>698.37060962241856</v>
      </c>
      <c r="P129" s="47">
        <f t="shared" ca="1" si="5"/>
        <v>1112.4346668699534</v>
      </c>
      <c r="Q129" s="45">
        <f t="shared" ca="1" si="6"/>
        <v>629.35993341449625</v>
      </c>
      <c r="R129" s="47">
        <f t="shared" ca="1" si="7"/>
        <v>1181.4453430778758</v>
      </c>
      <c r="S129" s="73">
        <f t="shared" ca="1" si="17"/>
        <v>-0.35878646941816228</v>
      </c>
      <c r="T129" s="73"/>
      <c r="U129" s="3"/>
      <c r="V129" s="3"/>
      <c r="W129" s="3"/>
      <c r="X129" s="3"/>
    </row>
    <row r="130" spans="1:24" ht="14" thickBot="1">
      <c r="A130" s="40">
        <v>42793</v>
      </c>
      <c r="B130" s="41">
        <f t="array" aca="1" ref="B130" ca="1">IF(AND(A130 &gt; TODAY(), A130 &lt;= TODAY() + 7),
   INDEX(calculations!B:B, MATCH(143^143, calculations!B:B)),
   IF(ISNUMBER(MATCH(A130, calculations!A:A, 0)),
      INDEX(calculations!B:B, MATCH(A130, calculations!A:A, 0)),
      ""
   )
)</f>
        <v>1194.1500000000001</v>
      </c>
      <c r="C130" s="42">
        <f t="array" aca="1" ref="C130" ca="1">IF(B130&lt;&gt;"", IF(MATCH(A130, calculations!A:A, 0), INDEX(calculations!D:D, MATCH(A130, calculations!A:A, 0)), "No Match"),"")</f>
        <v>1209106992</v>
      </c>
      <c r="D130" s="43">
        <f t="shared" ca="1" si="8"/>
        <v>9.6868713775271231E-2</v>
      </c>
      <c r="E130" s="43">
        <f t="shared" ca="1" si="0"/>
        <v>7.0760045487947695E-3</v>
      </c>
      <c r="F130" s="43">
        <f t="shared" ca="1" si="13"/>
        <v>7.8037715459266174E-2</v>
      </c>
      <c r="G130" s="42">
        <f t="shared" ca="1" si="1"/>
        <v>1443855114496.8</v>
      </c>
      <c r="H130" s="41">
        <f t="shared" ca="1" si="14"/>
        <v>940.71952465980098</v>
      </c>
      <c r="I130" s="3"/>
      <c r="J130" s="43">
        <f t="shared" ca="1" si="16"/>
        <v>-0.47372047195146472</v>
      </c>
      <c r="K130" s="44">
        <f t="shared" ca="1" si="10"/>
        <v>-3</v>
      </c>
      <c r="L130" s="3"/>
      <c r="M130" s="45">
        <f t="shared" ca="1" si="2"/>
        <v>793.89631947504563</v>
      </c>
      <c r="N130" s="47">
        <f t="shared" ca="1" si="3"/>
        <v>1087.5427298445563</v>
      </c>
      <c r="O130" s="45">
        <f t="shared" ca="1" si="4"/>
        <v>720.48471688266795</v>
      </c>
      <c r="P130" s="47">
        <f t="shared" ca="1" si="5"/>
        <v>1160.954332436934</v>
      </c>
      <c r="Q130" s="45">
        <f t="shared" ca="1" si="6"/>
        <v>647.07311429029016</v>
      </c>
      <c r="R130" s="47">
        <f t="shared" ca="1" si="7"/>
        <v>1234.3659350293117</v>
      </c>
      <c r="S130" s="73">
        <f t="shared" ca="1" si="17"/>
        <v>-0.47372047195146472</v>
      </c>
      <c r="T130" s="73"/>
      <c r="U130" s="3"/>
      <c r="V130" s="3"/>
      <c r="W130" s="3"/>
      <c r="X130" s="3"/>
    </row>
    <row r="131" spans="1:24" ht="14" thickBot="1">
      <c r="A131" s="40">
        <v>42800</v>
      </c>
      <c r="B131" s="41">
        <f t="array" aca="1" ref="B131" ca="1">IF(AND(A131 &gt; TODAY(), A131 &lt;= TODAY() + 7),
   INDEX(calculations!B:B, MATCH(143^143, calculations!B:B)),
   IF(ISNUMBER(MATCH(A131, calculations!A:A, 0)),
      INDEX(calculations!B:B, MATCH(A131, calculations!A:A, 0)),
      ""
   )
)</f>
        <v>1282.25</v>
      </c>
      <c r="C131" s="42">
        <f t="array" aca="1" ref="C131" ca="1">IF(B131&lt;&gt;"", IF(MATCH(A131, calculations!A:A, 0), INDEX(calculations!D:D, MATCH(A131, calculations!A:A, 0)), "No Match"),"")</f>
        <v>1546994008</v>
      </c>
      <c r="D131" s="43">
        <f t="shared" ca="1" si="8"/>
        <v>7.3776326257170288E-2</v>
      </c>
      <c r="E131" s="43">
        <f t="shared" ca="1" si="0"/>
        <v>3.7242462613940111E-3</v>
      </c>
      <c r="F131" s="43">
        <f t="shared" ca="1" si="13"/>
        <v>7.7356673437356346E-2</v>
      </c>
      <c r="G131" s="42">
        <f t="shared" ca="1" si="1"/>
        <v>1983633066758</v>
      </c>
      <c r="H131" s="41">
        <f t="shared" ca="1" si="14"/>
        <v>985.05404615709847</v>
      </c>
      <c r="I131" s="3"/>
      <c r="J131" s="43">
        <f t="shared" ca="1" si="16"/>
        <v>-0.40376226737525217</v>
      </c>
      <c r="K131" s="44">
        <f t="shared" ca="1" si="10"/>
        <v>-3</v>
      </c>
      <c r="L131" s="3"/>
      <c r="M131" s="45">
        <f t="shared" ca="1" si="2"/>
        <v>832.65303782365606</v>
      </c>
      <c r="N131" s="47">
        <f t="shared" ca="1" si="3"/>
        <v>1137.4550544905408</v>
      </c>
      <c r="O131" s="45">
        <f t="shared" ca="1" si="4"/>
        <v>756.45253365693486</v>
      </c>
      <c r="P131" s="47">
        <f t="shared" ca="1" si="5"/>
        <v>1213.6555586572622</v>
      </c>
      <c r="Q131" s="45">
        <f t="shared" ca="1" si="6"/>
        <v>680.25202949021354</v>
      </c>
      <c r="R131" s="47">
        <f t="shared" ca="1" si="7"/>
        <v>1289.8560628239834</v>
      </c>
      <c r="S131" s="73">
        <f t="shared" ca="1" si="17"/>
        <v>-0.40376226737525217</v>
      </c>
      <c r="T131" s="73"/>
      <c r="U131" s="3"/>
      <c r="V131" s="3"/>
      <c r="W131" s="3"/>
      <c r="X131" s="3"/>
    </row>
    <row r="132" spans="1:24" ht="14" thickBot="1">
      <c r="A132" s="40">
        <v>42807</v>
      </c>
      <c r="B132" s="41">
        <f t="array" aca="1" ref="B132" ca="1">IF(AND(A132 &gt; TODAY(), A132 &lt;= TODAY() + 7),
   INDEX(calculations!B:B, MATCH(143^143, calculations!B:B)),
   IF(ISNUMBER(MATCH(A132, calculations!A:A, 0)),
      INDEX(calculations!B:B, MATCH(A132, calculations!A:A, 0)),
      ""
   )
)</f>
        <v>1239.4000000000001</v>
      </c>
      <c r="C132" s="42">
        <f t="array" aca="1" ref="C132" ca="1">IF(B132&lt;&gt;"", IF(MATCH(A132, calculations!A:A, 0), INDEX(calculations!D:D, MATCH(A132, calculations!A:A, 0)), "No Match"),"")</f>
        <v>2064090976</v>
      </c>
      <c r="D132" s="43">
        <f t="shared" ca="1" si="8"/>
        <v>-3.3417820237863063E-2</v>
      </c>
      <c r="E132" s="43">
        <f t="shared" ca="1" si="0"/>
        <v>2.1314420816902968E-3</v>
      </c>
      <c r="F132" s="43">
        <f t="shared" ca="1" si="13"/>
        <v>8.0045668861048469E-2</v>
      </c>
      <c r="G132" s="42">
        <f t="shared" ca="1" si="1"/>
        <v>2558234355654.4004</v>
      </c>
      <c r="H132" s="41">
        <f t="shared" ca="1" si="14"/>
        <v>1026.0467240138794</v>
      </c>
      <c r="I132" s="3"/>
      <c r="J132" s="43">
        <f t="shared" ca="1" si="16"/>
        <v>-0.25195792450315946</v>
      </c>
      <c r="K132" s="44">
        <f t="shared" ca="1" si="10"/>
        <v>-2</v>
      </c>
      <c r="L132" s="3"/>
      <c r="M132" s="45">
        <f t="shared" ca="1" si="2"/>
        <v>861.78553140112228</v>
      </c>
      <c r="N132" s="47">
        <f t="shared" ca="1" si="3"/>
        <v>1190.3079166266366</v>
      </c>
      <c r="O132" s="45">
        <f t="shared" ca="1" si="4"/>
        <v>779.65493509474368</v>
      </c>
      <c r="P132" s="47">
        <f t="shared" ca="1" si="5"/>
        <v>1272.4385129330151</v>
      </c>
      <c r="Q132" s="45">
        <f t="shared" ca="1" si="6"/>
        <v>697.52433878836507</v>
      </c>
      <c r="R132" s="47">
        <f t="shared" ca="1" si="7"/>
        <v>1354.5691092393936</v>
      </c>
      <c r="S132" s="73">
        <f t="shared" ca="1" si="17"/>
        <v>-0.25195792450315946</v>
      </c>
      <c r="T132" s="73"/>
      <c r="U132" s="3"/>
      <c r="V132" s="3"/>
      <c r="W132" s="3"/>
      <c r="X132" s="3"/>
    </row>
    <row r="133" spans="1:24" ht="14" thickBot="1">
      <c r="A133" s="40">
        <v>42814</v>
      </c>
      <c r="B133" s="41">
        <f t="array" aca="1" ref="B133" ca="1">IF(AND(A133 &gt; TODAY(), A133 &lt;= TODAY() + 7),
   INDEX(calculations!B:B, MATCH(143^143, calculations!B:B)),
   IF(ISNUMBER(MATCH(A133, calculations!A:A, 0)),
      INDEX(calculations!B:B, MATCH(A133, calculations!A:A, 0)),
      ""
   )
)</f>
        <v>1037.76</v>
      </c>
      <c r="C133" s="42">
        <f t="array" aca="1" ref="C133" ca="1">IF(B133&lt;&gt;"", IF(MATCH(A133, calculations!A:A, 0), INDEX(calculations!D:D, MATCH(A133, calculations!A:A, 0)), "No Match"),"")</f>
        <v>3296504976</v>
      </c>
      <c r="D133" s="43">
        <f t="shared" ca="1" si="8"/>
        <v>-0.16269162497982903</v>
      </c>
      <c r="E133" s="43">
        <f t="shared" ca="1" si="0"/>
        <v>3.0779666706650114E-2</v>
      </c>
      <c r="F133" s="43">
        <f t="shared" ca="1" si="13"/>
        <v>9.6581079523867672E-2</v>
      </c>
      <c r="G133" s="42">
        <f t="shared" ca="1" si="1"/>
        <v>3420981003893.7598</v>
      </c>
      <c r="H133" s="41">
        <f t="shared" ca="1" si="14"/>
        <v>1035.7979115561998</v>
      </c>
      <c r="I133" s="3"/>
      <c r="J133" s="43">
        <f t="shared" ref="J133:J196" ca="1" si="18">IF(B133="","",
 IF(B133&lt;Q133, 1+(4*ABS(D133))+(1+$X$2)+F133,
 IF(B133&lt;O133, 1+(3*ABS(D133))+(1+$X$2)+F133,
 IF(B133&lt;M133, 1+(2*ABS(D133))+(1+$X$2)+F133,
 IF(B133&gt;R133, 1-(4*ABS(D133))-(1+$X$2)-F133,
 IF(B133&gt;P133, 1-(3*ABS(D133))-(1+$X$2)-F133,
 IF(B133&gt;N133, 1-(2*ABS(D133))-(1+$X$2)-F133,
 1)))))))</f>
        <v>1</v>
      </c>
      <c r="K133" s="44" t="str">
        <f t="shared" ca="1" si="10"/>
        <v/>
      </c>
      <c r="L133" s="3"/>
      <c r="M133" s="45">
        <f t="shared" ca="1" si="2"/>
        <v>835.72095062286894</v>
      </c>
      <c r="N133" s="47">
        <f t="shared" ca="1" si="3"/>
        <v>1235.8748724895304</v>
      </c>
      <c r="O133" s="45">
        <f t="shared" ca="1" si="4"/>
        <v>735.68247015620364</v>
      </c>
      <c r="P133" s="47">
        <f t="shared" ca="1" si="5"/>
        <v>1335.9133529561959</v>
      </c>
      <c r="Q133" s="45">
        <f t="shared" ca="1" si="6"/>
        <v>635.64398968953822</v>
      </c>
      <c r="R133" s="47">
        <f t="shared" ca="1" si="7"/>
        <v>1435.9518334228615</v>
      </c>
      <c r="S133" s="73">
        <f t="shared" ca="1" si="17"/>
        <v>1</v>
      </c>
      <c r="T133" s="73"/>
      <c r="U133" s="3"/>
      <c r="V133" s="3"/>
      <c r="W133" s="3"/>
      <c r="X133" s="3"/>
    </row>
    <row r="134" spans="1:24" ht="14" thickBot="1">
      <c r="A134" s="40">
        <v>42821</v>
      </c>
      <c r="B134" s="41">
        <f t="array" aca="1" ref="B134" ca="1">IF(AND(A134 &gt; TODAY(), A134 &lt;= TODAY() + 7),
   INDEX(calculations!B:B, MATCH(143^143, calculations!B:B)),
   IF(ISNUMBER(MATCH(A134, calculations!A:A, 0)),
      INDEX(calculations!B:B, MATCH(A134, calculations!A:A, 0)),
      ""
   )
)</f>
        <v>1042.92</v>
      </c>
      <c r="C134" s="42">
        <f t="array" aca="1" ref="C134" ca="1">IF(B134&lt;&gt;"", IF(MATCH(A134, calculations!A:A, 0), INDEX(calculations!D:D, MATCH(A134, calculations!A:A, 0)), "No Match"),"")</f>
        <v>2483811008</v>
      </c>
      <c r="D134" s="43">
        <f t="shared" ca="1" si="8"/>
        <v>4.9722479185939734E-3</v>
      </c>
      <c r="E134" s="43">
        <f t="shared" ca="1" si="0"/>
        <v>6.048912421298645E-5</v>
      </c>
      <c r="F134" s="43">
        <f t="shared" ca="1" si="13"/>
        <v>9.6700035199946924E-2</v>
      </c>
      <c r="G134" s="42">
        <f t="shared" ca="1" si="1"/>
        <v>2590416176463.3604</v>
      </c>
      <c r="H134" s="41">
        <f t="shared" ca="1" si="14"/>
        <v>1043.0785989683304</v>
      </c>
      <c r="I134" s="3"/>
      <c r="J134" s="43">
        <f t="shared" ca="1" si="18"/>
        <v>1</v>
      </c>
      <c r="K134" s="44" t="str">
        <f t="shared" ca="1" si="10"/>
        <v/>
      </c>
      <c r="L134" s="3"/>
      <c r="M134" s="45">
        <f t="shared" ca="1" si="2"/>
        <v>841.34712449523272</v>
      </c>
      <c r="N134" s="47">
        <f t="shared" ca="1" si="3"/>
        <v>1244.8100734414284</v>
      </c>
      <c r="O134" s="45">
        <f t="shared" ca="1" si="4"/>
        <v>740.48138725868375</v>
      </c>
      <c r="P134" s="47">
        <f t="shared" ca="1" si="5"/>
        <v>1345.6758106779769</v>
      </c>
      <c r="Q134" s="45">
        <f t="shared" ca="1" si="6"/>
        <v>639.61565002213501</v>
      </c>
      <c r="R134" s="47">
        <f t="shared" ca="1" si="7"/>
        <v>1446.5415479145258</v>
      </c>
      <c r="S134" s="73">
        <f t="shared" ca="1" si="17"/>
        <v>1</v>
      </c>
      <c r="T134" s="73"/>
      <c r="U134" s="3"/>
      <c r="V134" s="3"/>
      <c r="W134" s="3"/>
      <c r="X134" s="3"/>
    </row>
    <row r="135" spans="1:24" ht="14" thickBot="1">
      <c r="A135" s="40">
        <v>42828</v>
      </c>
      <c r="B135" s="41">
        <f t="array" aca="1" ref="B135" ca="1">IF(AND(A135 &gt; TODAY(), A135 &lt;= TODAY() + 7),
   INDEX(calculations!B:B, MATCH(143^143, calculations!B:B)),
   IF(ISNUMBER(MATCH(A135, calculations!A:A, 0)),
      INDEX(calculations!B:B, MATCH(A135, calculations!A:A, 0)),
      ""
   )
)</f>
        <v>1144.6600000000001</v>
      </c>
      <c r="C135" s="42">
        <f t="array" aca="1" ref="C135" ca="1">IF(B135&lt;&gt;"", IF(MATCH(A135, calculations!A:A, 0), INDEX(calculations!D:D, MATCH(A135, calculations!A:A, 0)), "No Match"),"")</f>
        <v>2601401984</v>
      </c>
      <c r="D135" s="43">
        <f t="shared" ca="1" si="8"/>
        <v>9.7553024201281022E-2</v>
      </c>
      <c r="E135" s="43">
        <f t="shared" ca="1" si="0"/>
        <v>7.1915998338896144E-3</v>
      </c>
      <c r="F135" s="43">
        <f t="shared" ca="1" si="13"/>
        <v>9.3120430424475792E-2</v>
      </c>
      <c r="G135" s="42">
        <f t="shared" ca="1" si="1"/>
        <v>2977720795005.4404</v>
      </c>
      <c r="H135" s="41">
        <f t="shared" ca="1" si="14"/>
        <v>1061.9020909246858</v>
      </c>
      <c r="I135" s="3"/>
      <c r="J135" s="43">
        <f t="shared" ca="1" si="18"/>
        <v>1</v>
      </c>
      <c r="K135" s="44" t="str">
        <f t="shared" ca="1" si="10"/>
        <v/>
      </c>
      <c r="L135" s="3"/>
      <c r="M135" s="45">
        <f t="shared" ca="1" si="2"/>
        <v>864.1325313735706</v>
      </c>
      <c r="N135" s="47">
        <f t="shared" ca="1" si="3"/>
        <v>1259.671650475801</v>
      </c>
      <c r="O135" s="45">
        <f t="shared" ca="1" si="4"/>
        <v>765.24775159801311</v>
      </c>
      <c r="P135" s="47">
        <f t="shared" ca="1" si="5"/>
        <v>1358.5564302513585</v>
      </c>
      <c r="Q135" s="45">
        <f t="shared" ca="1" si="6"/>
        <v>666.36297182245551</v>
      </c>
      <c r="R135" s="47">
        <f t="shared" ca="1" si="7"/>
        <v>1457.4412100269162</v>
      </c>
      <c r="S135" s="73">
        <f t="shared" ca="1" si="17"/>
        <v>1</v>
      </c>
      <c r="T135" s="73"/>
      <c r="U135" s="3"/>
      <c r="V135" s="3"/>
      <c r="W135" s="3"/>
      <c r="X135" s="3"/>
    </row>
    <row r="136" spans="1:24" ht="14" thickBot="1">
      <c r="A136" s="40">
        <v>42835</v>
      </c>
      <c r="B136" s="41">
        <f t="array" aca="1" ref="B136" ca="1">IF(AND(A136 &gt; TODAY(), A136 &lt;= TODAY() + 7),
   INDEX(calculations!B:B, MATCH(143^143, calculations!B:B)),
   IF(ISNUMBER(MATCH(A136, calculations!A:A, 0)),
      INDEX(calculations!B:B, MATCH(A136, calculations!A:A, 0)),
      ""
   )
)</f>
        <v>1211.6500000000001</v>
      </c>
      <c r="C136" s="42">
        <f t="array" aca="1" ref="C136" ca="1">IF(B136&lt;&gt;"", IF(MATCH(A136, calculations!A:A, 0), INDEX(calculations!D:D, MATCH(A136, calculations!A:A, 0)), "No Match"),"")</f>
        <v>2711437088</v>
      </c>
      <c r="D136" s="43">
        <f t="shared" ca="1" si="8"/>
        <v>5.8523928502786857E-2</v>
      </c>
      <c r="E136" s="43">
        <f t="shared" ca="1" si="0"/>
        <v>2.095277856622774E-3</v>
      </c>
      <c r="F136" s="43">
        <f t="shared" ca="1" si="13"/>
        <v>8.8921340355893427E-2</v>
      </c>
      <c r="G136" s="42">
        <f t="shared" ca="1" si="1"/>
        <v>3285312747675.2002</v>
      </c>
      <c r="H136" s="41">
        <f t="shared" ca="1" si="14"/>
        <v>1081.2579598062714</v>
      </c>
      <c r="I136" s="3"/>
      <c r="J136" s="43">
        <f t="shared" ca="1" si="18"/>
        <v>1</v>
      </c>
      <c r="K136" s="44" t="str">
        <f t="shared" ca="1" si="10"/>
        <v/>
      </c>
      <c r="L136" s="3"/>
      <c r="M136" s="45">
        <f t="shared" ca="1" si="2"/>
        <v>888.96414569336662</v>
      </c>
      <c r="N136" s="47">
        <f t="shared" ca="1" si="3"/>
        <v>1273.5517739191762</v>
      </c>
      <c r="O136" s="45">
        <f t="shared" ca="1" si="4"/>
        <v>792.81723863691423</v>
      </c>
      <c r="P136" s="47">
        <f t="shared" ca="1" si="5"/>
        <v>1369.6986809756286</v>
      </c>
      <c r="Q136" s="45">
        <f t="shared" ca="1" si="6"/>
        <v>696.67033158046172</v>
      </c>
      <c r="R136" s="47">
        <f t="shared" ca="1" si="7"/>
        <v>1465.845588032081</v>
      </c>
      <c r="S136" s="73">
        <f t="shared" ca="1" si="17"/>
        <v>1</v>
      </c>
      <c r="T136" s="73"/>
      <c r="U136" s="3"/>
      <c r="V136" s="3"/>
      <c r="W136" s="3"/>
      <c r="X136" s="3"/>
    </row>
    <row r="137" spans="1:24" ht="14" thickBot="1">
      <c r="A137" s="40">
        <v>42842</v>
      </c>
      <c r="B137" s="41">
        <f t="array" aca="1" ref="B137" ca="1">IF(AND(A137 &gt; TODAY(), A137 &lt;= TODAY() + 7),
   INDEX(calculations!B:B, MATCH(143^143, calculations!B:B)),
   IF(ISNUMBER(MATCH(A137, calculations!A:A, 0)),
      INDEX(calculations!B:B, MATCH(A137, calculations!A:A, 0)),
      ""
   )
)</f>
        <v>1191.9000000000001</v>
      </c>
      <c r="C137" s="42">
        <f t="array" aca="1" ref="C137" ca="1">IF(B137&lt;&gt;"", IF(MATCH(A137, calculations!A:A, 0), INDEX(calculations!D:D, MATCH(A137, calculations!A:A, 0)), "No Match"),"")</f>
        <v>1714353040</v>
      </c>
      <c r="D137" s="43">
        <f t="shared" ca="1" si="8"/>
        <v>-1.6300086658688564E-2</v>
      </c>
      <c r="E137" s="43">
        <f t="shared" ca="1" si="0"/>
        <v>8.4389146201474736E-4</v>
      </c>
      <c r="F137" s="43">
        <f t="shared" ca="1" si="13"/>
        <v>8.1722117409874132E-2</v>
      </c>
      <c r="G137" s="42">
        <f t="shared" ca="1" si="1"/>
        <v>2043337388376.0002</v>
      </c>
      <c r="H137" s="41">
        <f t="shared" ca="1" si="14"/>
        <v>1105.0286533679518</v>
      </c>
      <c r="I137" s="3"/>
      <c r="J137" s="43">
        <f t="shared" ca="1" si="18"/>
        <v>1</v>
      </c>
      <c r="K137" s="44" t="str">
        <f t="shared" ca="1" si="10"/>
        <v/>
      </c>
      <c r="L137" s="3"/>
      <c r="M137" s="45">
        <f t="shared" ca="1" si="2"/>
        <v>924.41809066433018</v>
      </c>
      <c r="N137" s="47">
        <f t="shared" ca="1" si="3"/>
        <v>1285.6392160715736</v>
      </c>
      <c r="O137" s="45">
        <f t="shared" ca="1" si="4"/>
        <v>834.11280931251929</v>
      </c>
      <c r="P137" s="47">
        <f t="shared" ca="1" si="5"/>
        <v>1375.9444974233843</v>
      </c>
      <c r="Q137" s="45">
        <f t="shared" ca="1" si="6"/>
        <v>743.8075279607084</v>
      </c>
      <c r="R137" s="47">
        <f t="shared" ca="1" si="7"/>
        <v>1466.2497787751952</v>
      </c>
      <c r="S137" s="73">
        <f t="shared" ca="1" si="17"/>
        <v>1</v>
      </c>
      <c r="T137" s="73"/>
      <c r="U137" s="3"/>
      <c r="V137" s="3"/>
      <c r="W137" s="3"/>
      <c r="X137" s="3"/>
    </row>
    <row r="138" spans="1:24" ht="14" thickBot="1">
      <c r="A138" s="40">
        <v>42849</v>
      </c>
      <c r="B138" s="41">
        <f t="array" aca="1" ref="B138" ca="1">IF(AND(A138 &gt; TODAY(), A138 &lt;= TODAY() + 7),
   INDEX(calculations!B:B, MATCH(143^143, calculations!B:B)),
   IF(ISNUMBER(MATCH(A138, calculations!A:A, 0)),
      INDEX(calculations!B:B, MATCH(A138, calculations!A:A, 0)),
      ""
   )
)</f>
        <v>1257.24</v>
      </c>
      <c r="C138" s="42">
        <f t="array" aca="1" ref="C138" ca="1">IF(B138&lt;&gt;"", IF(MATCH(A138, calculations!A:A, 0), INDEX(calculations!D:D, MATCH(A138, calculations!A:A, 0)), "No Match"),"")</f>
        <v>1907337008</v>
      </c>
      <c r="D138" s="43">
        <f t="shared" ca="1" si="8"/>
        <v>5.4820035237855454E-2</v>
      </c>
      <c r="E138" s="43">
        <f t="shared" ca="1" si="0"/>
        <v>1.7699111416552031E-3</v>
      </c>
      <c r="F138" s="43">
        <f t="shared" ca="1" si="13"/>
        <v>7.6352047402197934E-2</v>
      </c>
      <c r="G138" s="42">
        <f t="shared" ca="1" si="1"/>
        <v>2397980379937.9199</v>
      </c>
      <c r="H138" s="41">
        <f t="shared" ca="1" si="14"/>
        <v>1129.8506812548223</v>
      </c>
      <c r="I138" s="3"/>
      <c r="J138" s="43">
        <f t="shared" ca="1" si="18"/>
        <v>1</v>
      </c>
      <c r="K138" s="44" t="str">
        <f t="shared" ca="1" si="10"/>
        <v/>
      </c>
      <c r="L138" s="3"/>
      <c r="M138" s="45">
        <f t="shared" ca="1" si="2"/>
        <v>957.31785570967475</v>
      </c>
      <c r="N138" s="47">
        <f t="shared" ca="1" si="3"/>
        <v>1302.3835067999701</v>
      </c>
      <c r="O138" s="45">
        <f t="shared" ca="1" si="4"/>
        <v>871.05144293710089</v>
      </c>
      <c r="P138" s="47">
        <f t="shared" ca="1" si="5"/>
        <v>1388.6499195725437</v>
      </c>
      <c r="Q138" s="45">
        <f t="shared" ca="1" si="6"/>
        <v>784.78503016452714</v>
      </c>
      <c r="R138" s="47">
        <f t="shared" ca="1" si="7"/>
        <v>1474.9163323451176</v>
      </c>
      <c r="S138" s="73">
        <f t="shared" ca="1" si="17"/>
        <v>1</v>
      </c>
      <c r="T138" s="73"/>
      <c r="U138" s="3"/>
      <c r="V138" s="3"/>
      <c r="W138" s="3"/>
      <c r="X138" s="3"/>
    </row>
    <row r="139" spans="1:24" ht="14" thickBot="1">
      <c r="A139" s="40">
        <v>42856</v>
      </c>
      <c r="B139" s="41">
        <f t="array" aca="1" ref="B139" ca="1">IF(AND(A139 &gt; TODAY(), A139 &lt;= TODAY() + 7),
   INDEX(calculations!B:B, MATCH(143^143, calculations!B:B)),
   IF(ISNUMBER(MATCH(A139, calculations!A:A, 0)),
      INDEX(calculations!B:B, MATCH(A139, calculations!A:A, 0)),
      ""
   )
)</f>
        <v>1436.94</v>
      </c>
      <c r="C139" s="42">
        <f t="array" aca="1" ref="C139" ca="1">IF(B139&lt;&gt;"", IF(MATCH(A139, calculations!A:A, 0), INDEX(calculations!D:D, MATCH(A139, calculations!A:A, 0)), "No Match"),"")</f>
        <v>2620499984</v>
      </c>
      <c r="D139" s="43">
        <f t="shared" ca="1" si="8"/>
        <v>0.14293213706213614</v>
      </c>
      <c r="E139" s="43">
        <f t="shared" ca="1" si="0"/>
        <v>1.6947460837794304E-2</v>
      </c>
      <c r="F139" s="43">
        <f t="shared" ca="1" si="13"/>
        <v>7.9624723262071928E-2</v>
      </c>
      <c r="G139" s="42">
        <f t="shared" ca="1" si="1"/>
        <v>3765501247008.96</v>
      </c>
      <c r="H139" s="41">
        <f t="shared" ca="1" si="14"/>
        <v>1168.1866303822439</v>
      </c>
      <c r="I139" s="3"/>
      <c r="J139" s="43">
        <f t="shared" ca="1" si="18"/>
        <v>-0.47056561255272911</v>
      </c>
      <c r="K139" s="44">
        <f t="shared" ca="1" si="10"/>
        <v>-2</v>
      </c>
      <c r="L139" s="3"/>
      <c r="M139" s="45">
        <f t="shared" ca="1" si="2"/>
        <v>982.15355605696698</v>
      </c>
      <c r="N139" s="47">
        <f t="shared" ca="1" si="3"/>
        <v>1354.2197047075208</v>
      </c>
      <c r="O139" s="45">
        <f t="shared" ca="1" si="4"/>
        <v>889.13701889432855</v>
      </c>
      <c r="P139" s="47">
        <f t="shared" ca="1" si="5"/>
        <v>1447.2362418701593</v>
      </c>
      <c r="Q139" s="45">
        <f t="shared" ca="1" si="6"/>
        <v>796.12048173169001</v>
      </c>
      <c r="R139" s="47">
        <f t="shared" ca="1" si="7"/>
        <v>1540.2527790327979</v>
      </c>
      <c r="S139" s="73">
        <f t="shared" ca="1" si="17"/>
        <v>-0.47056561255272911</v>
      </c>
      <c r="T139" s="73"/>
      <c r="U139" s="3"/>
      <c r="V139" s="3"/>
      <c r="W139" s="3"/>
      <c r="X139" s="3"/>
    </row>
    <row r="140" spans="1:24" ht="14" thickBot="1">
      <c r="A140" s="40">
        <v>42863</v>
      </c>
      <c r="B140" s="41">
        <f t="array" aca="1" ref="B140" ca="1">IF(AND(A140 &gt; TODAY(), A140 &lt;= TODAY() + 7),
   INDEX(calculations!B:B, MATCH(143^143, calculations!B:B)),
   IF(ISNUMBER(MATCH(A140, calculations!A:A, 0)),
      INDEX(calculations!B:B, MATCH(A140, calculations!A:A, 0)),
      ""
   )
)</f>
        <v>1685.09</v>
      </c>
      <c r="C140" s="42">
        <f t="array" aca="1" ref="C140" ca="1">IF(B140&lt;&gt;"", IF(MATCH(A140, calculations!A:A, 0), INDEX(calculations!D:D, MATCH(A140, calculations!A:A, 0)), "No Match"),"")</f>
        <v>5316902848</v>
      </c>
      <c r="D140" s="43">
        <f t="shared" ca="1" si="8"/>
        <v>0.17269336228374174</v>
      </c>
      <c r="E140" s="43">
        <f t="shared" ca="1" si="0"/>
        <v>2.5581967632758228E-2</v>
      </c>
      <c r="F140" s="43">
        <f t="shared" ca="1" si="13"/>
        <v>8.6822207815726568E-2</v>
      </c>
      <c r="G140" s="42">
        <f t="shared" ca="1" si="1"/>
        <v>8959459820136.3203</v>
      </c>
      <c r="H140" s="41">
        <f t="shared" ca="1" si="14"/>
        <v>1264.0157518029844</v>
      </c>
      <c r="I140" s="3"/>
      <c r="J140" s="43">
        <f t="shared" ca="1" si="18"/>
        <v>-0.70997890983333667</v>
      </c>
      <c r="K140" s="44">
        <f t="shared" ca="1" si="10"/>
        <v>-3</v>
      </c>
      <c r="L140" s="3"/>
      <c r="M140" s="45">
        <f t="shared" ca="1" si="2"/>
        <v>1044.5264752322032</v>
      </c>
      <c r="N140" s="47">
        <f t="shared" ca="1" si="3"/>
        <v>1483.5050283737655</v>
      </c>
      <c r="O140" s="45">
        <f t="shared" ca="1" si="4"/>
        <v>934.78183694681263</v>
      </c>
      <c r="P140" s="47">
        <f t="shared" ca="1" si="5"/>
        <v>1593.2496666591562</v>
      </c>
      <c r="Q140" s="45">
        <f t="shared" ca="1" si="6"/>
        <v>825.03719866142205</v>
      </c>
      <c r="R140" s="47">
        <f t="shared" ca="1" si="7"/>
        <v>1702.9943049445467</v>
      </c>
      <c r="S140" s="73">
        <f t="shared" ca="1" si="17"/>
        <v>-0.70997890983333667</v>
      </c>
      <c r="T140" s="73"/>
      <c r="U140" s="3"/>
      <c r="V140" s="3"/>
      <c r="W140" s="3"/>
      <c r="X140" s="3"/>
    </row>
    <row r="141" spans="1:24" ht="14" thickBot="1">
      <c r="A141" s="40">
        <v>42870</v>
      </c>
      <c r="B141" s="41">
        <f t="array" aca="1" ref="B141" ca="1">IF(AND(A141 &gt; TODAY(), A141 &lt;= TODAY() + 7),
   INDEX(calculations!B:B, MATCH(143^143, calculations!B:B)),
   IF(ISNUMBER(MATCH(A141, calculations!A:A, 0)),
      INDEX(calculations!B:B, MATCH(A141, calculations!A:A, 0)),
      ""
   )
)</f>
        <v>1736.88</v>
      </c>
      <c r="C141" s="42">
        <f t="array" aca="1" ref="C141" ca="1">IF(B141&lt;&gt;"", IF(MATCH(A141, calculations!A:A, 0), INDEX(calculations!D:D, MATCH(A141, calculations!A:A, 0)), "No Match"),"")</f>
        <v>5981268000</v>
      </c>
      <c r="D141" s="43">
        <f t="shared" ca="1" si="8"/>
        <v>3.0734263451803877E-2</v>
      </c>
      <c r="E141" s="43">
        <f t="shared" ca="1" si="0"/>
        <v>3.2344368238003738E-4</v>
      </c>
      <c r="F141" s="43">
        <f t="shared" ca="1" si="13"/>
        <v>8.4890889094104957E-2</v>
      </c>
      <c r="G141" s="42">
        <f t="shared" ca="1" si="1"/>
        <v>10388744763840</v>
      </c>
      <c r="H141" s="41">
        <f t="shared" ca="1" si="14"/>
        <v>1350.6659297975127</v>
      </c>
      <c r="I141" s="3"/>
      <c r="J141" s="43">
        <f t="shared" ca="1" si="18"/>
        <v>-0.28217029461590154</v>
      </c>
      <c r="K141" s="44">
        <f t="shared" ca="1" si="10"/>
        <v>-3</v>
      </c>
      <c r="L141" s="3"/>
      <c r="M141" s="45">
        <f t="shared" ca="1" si="2"/>
        <v>1121.3474664982591</v>
      </c>
      <c r="N141" s="47">
        <f t="shared" ca="1" si="3"/>
        <v>1579.9843930967663</v>
      </c>
      <c r="O141" s="45">
        <f t="shared" ca="1" si="4"/>
        <v>1006.6882348486323</v>
      </c>
      <c r="P141" s="47">
        <f t="shared" ca="1" si="5"/>
        <v>1694.6436247463932</v>
      </c>
      <c r="Q141" s="45">
        <f t="shared" ca="1" si="6"/>
        <v>892.02900319900539</v>
      </c>
      <c r="R141" s="47">
        <f t="shared" ca="1" si="7"/>
        <v>1809.3028563960199</v>
      </c>
      <c r="S141" s="73">
        <f t="shared" ca="1" si="17"/>
        <v>-0.28217029461590154</v>
      </c>
      <c r="T141" s="73"/>
      <c r="U141" s="3"/>
      <c r="V141" s="3"/>
      <c r="W141" s="3"/>
      <c r="X141" s="3"/>
    </row>
    <row r="142" spans="1:24" ht="14" thickBot="1">
      <c r="A142" s="40">
        <v>42877</v>
      </c>
      <c r="B142" s="41">
        <f t="array" aca="1" ref="B142" ca="1">IF(AND(A142 &gt; TODAY(), A142 &lt;= TODAY() + 7),
   INDEX(calculations!B:B, MATCH(143^143, calculations!B:B)),
   IF(ISNUMBER(MATCH(A142, calculations!A:A, 0)),
      INDEX(calculations!B:B, MATCH(A142, calculations!A:A, 0)),
      ""
   )
)</f>
        <v>2078.94</v>
      </c>
      <c r="C142" s="42">
        <f t="array" aca="1" ref="C142" ca="1">IF(B142&lt;&gt;"", IF(MATCH(A142, calculations!A:A, 0), INDEX(calculations!D:D, MATCH(A142, calculations!A:A, 0)), "No Match"),"")</f>
        <v>6916110976</v>
      </c>
      <c r="D142" s="43">
        <f t="shared" ca="1" si="8"/>
        <v>0.19693933950531983</v>
      </c>
      <c r="E142" s="43">
        <f t="shared" ca="1" si="0"/>
        <v>3.3925814696439648E-2</v>
      </c>
      <c r="F142" s="43">
        <f t="shared" ca="1" si="13"/>
        <v>9.2023126095659269E-2</v>
      </c>
      <c r="G142" s="42">
        <f t="shared" ca="1" si="1"/>
        <v>14378179752445.439</v>
      </c>
      <c r="H142" s="41">
        <f t="shared" ca="1" si="14"/>
        <v>1483.57947532768</v>
      </c>
      <c r="I142" s="3"/>
      <c r="J142" s="43">
        <f t="shared" ca="1" si="18"/>
        <v>-0.98485709928332343</v>
      </c>
      <c r="K142" s="44">
        <f t="shared" ca="1" si="10"/>
        <v>-4</v>
      </c>
      <c r="L142" s="3"/>
      <c r="M142" s="45">
        <f t="shared" ca="1" si="2"/>
        <v>1210.5322330656577</v>
      </c>
      <c r="N142" s="47">
        <f t="shared" ca="1" si="3"/>
        <v>1756.6267175897021</v>
      </c>
      <c r="O142" s="45">
        <f t="shared" ca="1" si="4"/>
        <v>1074.0086119346465</v>
      </c>
      <c r="P142" s="47">
        <f t="shared" ca="1" si="5"/>
        <v>1893.1503387207135</v>
      </c>
      <c r="Q142" s="45">
        <f t="shared" ca="1" si="6"/>
        <v>937.48499080363558</v>
      </c>
      <c r="R142" s="47">
        <f t="shared" ca="1" si="7"/>
        <v>2029.6739598517245</v>
      </c>
      <c r="S142" s="73">
        <f t="shared" ca="1" si="17"/>
        <v>-0.98485709928332343</v>
      </c>
      <c r="T142" s="73"/>
      <c r="U142" s="3"/>
      <c r="V142" s="3"/>
      <c r="W142" s="3"/>
      <c r="X142" s="3"/>
    </row>
    <row r="143" spans="1:24" ht="14" thickBot="1">
      <c r="A143" s="40">
        <v>42884</v>
      </c>
      <c r="B143" s="41">
        <f t="array" aca="1" ref="B143" ca="1">IF(AND(A143 &gt; TODAY(), A143 &lt;= TODAY() + 7),
   INDEX(calculations!B:B, MATCH(143^143, calculations!B:B)),
   IF(ISNUMBER(MATCH(A143, calculations!A:A, 0)),
      INDEX(calculations!B:B, MATCH(A143, calculations!A:A, 0)),
      ""
   )
)</f>
        <v>2284.7199999999998</v>
      </c>
      <c r="C143" s="42">
        <f t="array" aca="1" ref="C143" ca="1">IF(B143&lt;&gt;"", IF(MATCH(A143, calculations!A:A, 0), INDEX(calculations!D:D, MATCH(A143, calculations!A:A, 0)), "No Match"),"")</f>
        <v>12064150016</v>
      </c>
      <c r="D143" s="43">
        <f t="shared" ca="1" si="8"/>
        <v>9.8983135636429978E-2</v>
      </c>
      <c r="E143" s="43">
        <f t="shared" ca="1" si="0"/>
        <v>7.4362013931548194E-3</v>
      </c>
      <c r="F143" s="43">
        <f t="shared" ca="1" si="13"/>
        <v>9.2330007111790083E-2</v>
      </c>
      <c r="G143" s="42">
        <f t="shared" ca="1" si="1"/>
        <v>27563204824555.52</v>
      </c>
      <c r="H143" s="41">
        <f t="shared" ca="1" si="14"/>
        <v>1673.6585703996268</v>
      </c>
      <c r="I143" s="3"/>
      <c r="J143" s="43">
        <f t="shared" ca="1" si="18"/>
        <v>-0.49435602918746491</v>
      </c>
      <c r="K143" s="44">
        <f t="shared" ca="1" si="10"/>
        <v>-3</v>
      </c>
      <c r="L143" s="3"/>
      <c r="M143" s="45">
        <f t="shared" ca="1" si="2"/>
        <v>1364.600754984215</v>
      </c>
      <c r="N143" s="47">
        <f t="shared" ca="1" si="3"/>
        <v>1982.7163858150386</v>
      </c>
      <c r="O143" s="45">
        <f t="shared" ca="1" si="4"/>
        <v>1210.0718472765091</v>
      </c>
      <c r="P143" s="47">
        <f t="shared" ca="1" si="5"/>
        <v>2137.2452935227448</v>
      </c>
      <c r="Q143" s="45">
        <f t="shared" ca="1" si="6"/>
        <v>1055.5429395688029</v>
      </c>
      <c r="R143" s="47">
        <f t="shared" ca="1" si="7"/>
        <v>2291.7742012304507</v>
      </c>
      <c r="S143" s="73">
        <f t="shared" ca="1" si="17"/>
        <v>-0.49435602918746491</v>
      </c>
      <c r="T143" s="73"/>
      <c r="U143" s="3"/>
      <c r="V143" s="3"/>
      <c r="W143" s="3"/>
      <c r="X143" s="3"/>
    </row>
    <row r="144" spans="1:24" ht="14" thickBot="1">
      <c r="A144" s="40">
        <v>42891</v>
      </c>
      <c r="B144" s="41">
        <f t="array" aca="1" ref="B144" ca="1">IF(AND(A144 &gt; TODAY(), A144 &lt;= TODAY() + 7),
   INDEX(calculations!B:B, MATCH(143^143, calculations!B:B)),
   IF(ISNUMBER(MATCH(A144, calculations!A:A, 0)),
      INDEX(calculations!B:B, MATCH(A144, calculations!A:A, 0)),
      ""
   )
)</f>
        <v>2685.32</v>
      </c>
      <c r="C144" s="42">
        <f t="array" aca="1" ref="C144" ca="1">IF(B144&lt;&gt;"", IF(MATCH(A144, calculations!A:A, 0), INDEX(calculations!D:D, MATCH(A144, calculations!A:A, 0)), "No Match"),"")</f>
        <v>9823705088</v>
      </c>
      <c r="D144" s="43">
        <f t="shared" ca="1" si="8"/>
        <v>0.17533877236597936</v>
      </c>
      <c r="E144" s="43">
        <f t="shared" ca="1" si="0"/>
        <v>2.6435198857268468E-2</v>
      </c>
      <c r="F144" s="43">
        <f t="shared" ca="1" si="13"/>
        <v>9.7108741684846192E-2</v>
      </c>
      <c r="G144" s="42">
        <f t="shared" ca="1" si="1"/>
        <v>26379791746908.16</v>
      </c>
      <c r="H144" s="41">
        <f t="shared" ca="1" si="14"/>
        <v>1845.9482934080741</v>
      </c>
      <c r="I144" s="3"/>
      <c r="J144" s="43">
        <f t="shared" ca="1" si="18"/>
        <v>-0.90354044631514852</v>
      </c>
      <c r="K144" s="44">
        <f t="shared" ca="1" si="10"/>
        <v>-4</v>
      </c>
      <c r="L144" s="3"/>
      <c r="M144" s="45">
        <f t="shared" ca="1" si="2"/>
        <v>1487.4328614317794</v>
      </c>
      <c r="N144" s="47">
        <f t="shared" ca="1" si="3"/>
        <v>2204.4637253843684</v>
      </c>
      <c r="O144" s="45">
        <f t="shared" ca="1" si="4"/>
        <v>1308.1751454436321</v>
      </c>
      <c r="P144" s="47">
        <f t="shared" ca="1" si="5"/>
        <v>2383.721441372516</v>
      </c>
      <c r="Q144" s="45">
        <f t="shared" ca="1" si="6"/>
        <v>1128.9174294554848</v>
      </c>
      <c r="R144" s="47">
        <f t="shared" ca="1" si="7"/>
        <v>2562.9791573606631</v>
      </c>
      <c r="S144" s="73">
        <f t="shared" ca="1" si="17"/>
        <v>-0.90354044631514852</v>
      </c>
      <c r="T144" s="73"/>
      <c r="U144" s="3"/>
      <c r="V144" s="3"/>
      <c r="W144" s="3"/>
      <c r="X144" s="3"/>
    </row>
    <row r="145" spans="1:24" ht="14" thickBot="1">
      <c r="A145" s="40">
        <v>42898</v>
      </c>
      <c r="B145" s="41">
        <f t="array" aca="1" ref="B145" ca="1">IF(AND(A145 &gt; TODAY(), A145 &lt;= TODAY() + 7),
   INDEX(calculations!B:B, MATCH(143^143, calculations!B:B)),
   IF(ISNUMBER(MATCH(A145, calculations!A:A, 0)),
      INDEX(calculations!B:B, MATCH(A145, calculations!A:A, 0)),
      ""
   )
)</f>
        <v>2665.43</v>
      </c>
      <c r="C145" s="42">
        <f t="array" aca="1" ref="C145" ca="1">IF(B145&lt;&gt;"", IF(MATCH(A145, calculations!A:A, 0), INDEX(calculations!D:D, MATCH(A145, calculations!A:A, 0)), "No Match"),"")</f>
        <v>11378039936</v>
      </c>
      <c r="D145" s="43">
        <f t="shared" ca="1" si="8"/>
        <v>-7.406938465434409E-3</v>
      </c>
      <c r="E145" s="43">
        <f t="shared" ca="1" si="0"/>
        <v>4.0629101587057648E-4</v>
      </c>
      <c r="F145" s="43">
        <f t="shared" ca="1" si="13"/>
        <v>9.888250722992635E-2</v>
      </c>
      <c r="G145" s="42">
        <f t="shared" ca="1" si="1"/>
        <v>30327368986612.477</v>
      </c>
      <c r="H145" s="41">
        <f t="shared" ca="1" si="14"/>
        <v>1989.7997204327078</v>
      </c>
      <c r="I145" s="3"/>
      <c r="J145" s="43">
        <f t="shared" ca="1" si="18"/>
        <v>-0.22617993779261453</v>
      </c>
      <c r="K145" s="44">
        <f t="shared" ca="1" si="10"/>
        <v>-3</v>
      </c>
      <c r="L145" s="3"/>
      <c r="M145" s="45">
        <f t="shared" ca="1" si="2"/>
        <v>1596.2869499491223</v>
      </c>
      <c r="N145" s="47">
        <f t="shared" ca="1" si="3"/>
        <v>2383.312490916293</v>
      </c>
      <c r="O145" s="45">
        <f t="shared" ca="1" si="4"/>
        <v>1399.5305647073299</v>
      </c>
      <c r="P145" s="47">
        <f t="shared" ca="1" si="5"/>
        <v>2580.0688761580859</v>
      </c>
      <c r="Q145" s="45">
        <f t="shared" ca="1" si="6"/>
        <v>1202.7741794655371</v>
      </c>
      <c r="R145" s="47">
        <f t="shared" ca="1" si="7"/>
        <v>2776.8252613998784</v>
      </c>
      <c r="S145" s="73">
        <f t="shared" ca="1" si="17"/>
        <v>-0.22617993779261453</v>
      </c>
      <c r="T145" s="73"/>
      <c r="U145" s="3"/>
      <c r="V145" s="3"/>
      <c r="W145" s="3"/>
      <c r="X145" s="3"/>
    </row>
    <row r="146" spans="1:24" ht="14" thickBot="1">
      <c r="A146" s="40">
        <v>42905</v>
      </c>
      <c r="B146" s="41">
        <f t="array" aca="1" ref="B146" ca="1">IF(AND(A146 &gt; TODAY(), A146 &lt;= TODAY() + 7),
   INDEX(calculations!B:B, MATCH(143^143, calculations!B:B)),
   IF(ISNUMBER(MATCH(A146, calculations!A:A, 0)),
      INDEX(calculations!B:B, MATCH(A146, calculations!A:A, 0)),
      ""
   )
)</f>
        <v>2589.64</v>
      </c>
      <c r="C146" s="42">
        <f t="array" aca="1" ref="C146" ca="1">IF(B146&lt;&gt;"", IF(MATCH(A146, calculations!A:A, 0), INDEX(calculations!D:D, MATCH(A146, calculations!A:A, 0)), "No Match"),"")</f>
        <v>11981910016</v>
      </c>
      <c r="D146" s="43">
        <f t="shared" ca="1" si="8"/>
        <v>-2.8434436469912911E-2</v>
      </c>
      <c r="E146" s="43">
        <f t="shared" ca="1" si="0"/>
        <v>1.6961350207439032E-3</v>
      </c>
      <c r="F146" s="43">
        <f t="shared" ca="1" si="13"/>
        <v>9.8536007309126081E-2</v>
      </c>
      <c r="G146" s="42">
        <f t="shared" ca="1" si="1"/>
        <v>31028833453834.238</v>
      </c>
      <c r="H146" s="41">
        <f t="shared" ca="1" si="14"/>
        <v>2097.9235225424786</v>
      </c>
      <c r="I146" s="3"/>
      <c r="J146" s="43">
        <f t="shared" ca="1" si="18"/>
        <v>-0.26048149541533677</v>
      </c>
      <c r="K146" s="44">
        <f t="shared" ca="1" si="10"/>
        <v>-2</v>
      </c>
      <c r="L146" s="3"/>
      <c r="M146" s="45">
        <f t="shared" ca="1" si="2"/>
        <v>1684.4815074400121</v>
      </c>
      <c r="N146" s="47">
        <f t="shared" ca="1" si="3"/>
        <v>2511.3655376449447</v>
      </c>
      <c r="O146" s="45">
        <f t="shared" ca="1" si="4"/>
        <v>1477.7604998887791</v>
      </c>
      <c r="P146" s="47">
        <f t="shared" ca="1" si="5"/>
        <v>2718.0865451961781</v>
      </c>
      <c r="Q146" s="45">
        <f t="shared" ca="1" si="6"/>
        <v>1271.0394923375457</v>
      </c>
      <c r="R146" s="47">
        <f t="shared" ca="1" si="7"/>
        <v>2924.8075527474116</v>
      </c>
      <c r="S146" s="73">
        <f t="shared" ca="1" si="17"/>
        <v>-0.26048149541533677</v>
      </c>
      <c r="T146" s="73"/>
      <c r="U146" s="3"/>
      <c r="V146" s="3"/>
      <c r="W146" s="3"/>
      <c r="X146" s="3"/>
    </row>
    <row r="147" spans="1:24" ht="14" thickBot="1">
      <c r="A147" s="40">
        <v>42912</v>
      </c>
      <c r="B147" s="41">
        <f t="array" aca="1" ref="B147" ca="1">IF(AND(A147 &gt; TODAY(), A147 &lt;= TODAY() + 7),
   INDEX(calculations!B:B, MATCH(143^143, calculations!B:B)),
   IF(ISNUMBER(MATCH(A147, calculations!A:A, 0)),
      INDEX(calculations!B:B, MATCH(A147, calculations!A:A, 0)),
      ""
   )
)</f>
        <v>2426.37</v>
      </c>
      <c r="C147" s="42">
        <f t="array" aca="1" ref="C147" ca="1">IF(B147&lt;&gt;"", IF(MATCH(A147, calculations!A:A, 0), INDEX(calculations!D:D, MATCH(A147, calculations!A:A, 0)), "No Match"),"")</f>
        <v>9130718976</v>
      </c>
      <c r="D147" s="43">
        <f t="shared" ca="1" si="8"/>
        <v>-6.3047373380083718E-2</v>
      </c>
      <c r="E147" s="43">
        <f t="shared" ca="1" si="0"/>
        <v>5.7451998739460296E-3</v>
      </c>
      <c r="F147" s="43">
        <f t="shared" ca="1" si="13"/>
        <v>8.3833708224346937E-2</v>
      </c>
      <c r="G147" s="42">
        <f t="shared" ca="1" si="1"/>
        <v>22154502601797.117</v>
      </c>
      <c r="H147" s="41">
        <f t="shared" ca="1" si="14"/>
        <v>2172.8821215532298</v>
      </c>
      <c r="I147" s="3"/>
      <c r="J147" s="43">
        <f t="shared" ca="1" si="18"/>
        <v>1</v>
      </c>
      <c r="K147" s="44" t="str">
        <f t="shared" ca="1" si="10"/>
        <v/>
      </c>
      <c r="L147" s="3"/>
      <c r="M147" s="45">
        <f t="shared" ca="1" si="2"/>
        <v>1808.5605899848429</v>
      </c>
      <c r="N147" s="47">
        <f t="shared" ca="1" si="3"/>
        <v>2537.2036531216168</v>
      </c>
      <c r="O147" s="45">
        <f t="shared" ca="1" si="4"/>
        <v>1626.3998242006496</v>
      </c>
      <c r="P147" s="47">
        <f t="shared" ca="1" si="5"/>
        <v>2719.36441890581</v>
      </c>
      <c r="Q147" s="45">
        <f t="shared" ca="1" si="6"/>
        <v>1444.2390584164561</v>
      </c>
      <c r="R147" s="47">
        <f t="shared" ca="1" si="7"/>
        <v>2901.5251846900037</v>
      </c>
      <c r="S147" s="73">
        <f t="shared" ca="1" si="17"/>
        <v>1</v>
      </c>
      <c r="T147" s="73"/>
      <c r="U147" s="3"/>
      <c r="V147" s="3"/>
      <c r="W147" s="3"/>
      <c r="X147" s="3"/>
    </row>
    <row r="148" spans="1:24" ht="14" thickBot="1">
      <c r="A148" s="40">
        <v>42919</v>
      </c>
      <c r="B148" s="41">
        <f t="array" aca="1" ref="B148" ca="1">IF(AND(A148 &gt; TODAY(), A148 &lt;= TODAY() + 7),
   INDEX(calculations!B:B, MATCH(143^143, calculations!B:B)),
   IF(ISNUMBER(MATCH(A148, calculations!A:A, 0)),
      INDEX(calculations!B:B, MATCH(A148, calculations!A:A, 0)),
      ""
   )
)</f>
        <v>2551.9299999999998</v>
      </c>
      <c r="C148" s="42">
        <f t="array" aca="1" ref="C148" ca="1">IF(B148&lt;&gt;"", IF(MATCH(A148, calculations!A:A, 0), INDEX(calculations!D:D, MATCH(A148, calculations!A:A, 0)), "No Match"),"")</f>
        <v>7730852928</v>
      </c>
      <c r="D148" s="43">
        <f t="shared" ca="1" si="8"/>
        <v>5.1748084587264084E-2</v>
      </c>
      <c r="E148" s="43">
        <f t="shared" ca="1" si="0"/>
        <v>1.520872178556021E-3</v>
      </c>
      <c r="F148" s="43">
        <f t="shared" ca="1" si="13"/>
        <v>8.2147008971236113E-2</v>
      </c>
      <c r="G148" s="42">
        <f t="shared" ca="1" si="1"/>
        <v>19728595512551.039</v>
      </c>
      <c r="H148" s="41">
        <f t="shared" ca="1" si="14"/>
        <v>2235.3228887099476</v>
      </c>
      <c r="I148" s="3"/>
      <c r="J148" s="43">
        <f t="shared" ca="1" si="18"/>
        <v>1</v>
      </c>
      <c r="K148" s="44" t="str">
        <f t="shared" ca="1" si="10"/>
        <v/>
      </c>
      <c r="L148" s="3"/>
      <c r="M148" s="45">
        <f t="shared" ca="1" si="2"/>
        <v>1868.0727099250166</v>
      </c>
      <c r="N148" s="47">
        <f t="shared" ca="1" si="3"/>
        <v>2602.5730674948791</v>
      </c>
      <c r="O148" s="45">
        <f t="shared" ca="1" si="4"/>
        <v>1684.4476205325514</v>
      </c>
      <c r="P148" s="47">
        <f t="shared" ca="1" si="5"/>
        <v>2786.1981568873439</v>
      </c>
      <c r="Q148" s="45">
        <f t="shared" ca="1" si="6"/>
        <v>1500.8225311400856</v>
      </c>
      <c r="R148" s="47">
        <f t="shared" ca="1" si="7"/>
        <v>2969.8232462798096</v>
      </c>
      <c r="S148" s="73">
        <f t="shared" ca="1" si="17"/>
        <v>1</v>
      </c>
      <c r="T148" s="73"/>
      <c r="U148" s="3"/>
      <c r="V148" s="3"/>
      <c r="W148" s="3"/>
      <c r="X148" s="3"/>
    </row>
    <row r="149" spans="1:24" ht="14" thickBot="1">
      <c r="A149" s="40">
        <v>42926</v>
      </c>
      <c r="B149" s="41">
        <f t="array" aca="1" ref="B149" ca="1">IF(AND(A149 &gt; TODAY(), A149 &lt;= TODAY() + 7),
   INDEX(calculations!B:B, MATCH(143^143, calculations!B:B)),
   IF(ISNUMBER(MATCH(A149, calculations!A:A, 0)),
      INDEX(calculations!B:B, MATCH(A149, calculations!A:A, 0)),
      ""
   )
)</f>
        <v>2319.37</v>
      </c>
      <c r="C149" s="42">
        <f t="array" aca="1" ref="C149" ca="1">IF(B149&lt;&gt;"", IF(MATCH(A149, calculations!A:A, 0), INDEX(calculations!D:D, MATCH(A149, calculations!A:A, 0)), "No Match"),"")</f>
        <v>5831748992</v>
      </c>
      <c r="D149" s="43">
        <f t="shared" ca="1" si="8"/>
        <v>-9.1131026321254874E-2</v>
      </c>
      <c r="E149" s="43">
        <f t="shared" ca="1" si="0"/>
        <v>1.0791210153956367E-2</v>
      </c>
      <c r="F149" s="43">
        <f t="shared" ca="1" si="13"/>
        <v>9.1980150586319268E-2</v>
      </c>
      <c r="G149" s="42">
        <f t="shared" ca="1" si="1"/>
        <v>13525983659575.039</v>
      </c>
      <c r="H149" s="41">
        <f t="shared" ca="1" si="14"/>
        <v>2270.3079378459202</v>
      </c>
      <c r="I149" s="3"/>
      <c r="J149" s="43">
        <f t="shared" ca="1" si="18"/>
        <v>1</v>
      </c>
      <c r="K149" s="44" t="str">
        <f t="shared" ca="1" si="10"/>
        <v/>
      </c>
      <c r="L149" s="3"/>
      <c r="M149" s="45">
        <f t="shared" ca="1" si="2"/>
        <v>1852.6614058451528</v>
      </c>
      <c r="N149" s="47">
        <f t="shared" ca="1" si="3"/>
        <v>2687.9544698466875</v>
      </c>
      <c r="O149" s="45">
        <f t="shared" ca="1" si="4"/>
        <v>1643.8381398447689</v>
      </c>
      <c r="P149" s="47">
        <f t="shared" ca="1" si="5"/>
        <v>2896.7777358470712</v>
      </c>
      <c r="Q149" s="45">
        <f t="shared" ca="1" si="6"/>
        <v>1435.0148738443854</v>
      </c>
      <c r="R149" s="47">
        <f t="shared" ca="1" si="7"/>
        <v>3105.6010018474549</v>
      </c>
      <c r="S149" s="73">
        <f t="shared" ca="1" si="17"/>
        <v>1</v>
      </c>
      <c r="T149" s="73"/>
      <c r="U149" s="3"/>
      <c r="V149" s="3"/>
      <c r="W149" s="3"/>
      <c r="X149" s="3"/>
    </row>
    <row r="150" spans="1:24" ht="14" thickBot="1">
      <c r="A150" s="40">
        <v>42933</v>
      </c>
      <c r="B150" s="41">
        <f t="array" aca="1" ref="B150" ca="1">IF(AND(A150 &gt; TODAY(), A150 &lt;= TODAY() + 7),
   INDEX(calculations!B:B, MATCH(143^143, calculations!B:B)),
   IF(ISNUMBER(MATCH(A150, calculations!A:A, 0)),
      INDEX(calculations!B:B, MATCH(A150, calculations!A:A, 0)),
      ""
   )
)</f>
        <v>2215.75</v>
      </c>
      <c r="C150" s="42">
        <f t="array" aca="1" ref="C150" ca="1">IF(B150&lt;&gt;"", IF(MATCH(A150, calculations!A:A, 0), INDEX(calculations!D:D, MATCH(A150, calculations!A:A, 0)), "No Match"),"")</f>
        <v>7453121024</v>
      </c>
      <c r="D150" s="43">
        <f t="shared" ca="1" si="8"/>
        <v>-4.4675924927889854E-2</v>
      </c>
      <c r="E150" s="43">
        <f t="shared" ca="1" si="0"/>
        <v>3.297705081072611E-3</v>
      </c>
      <c r="F150" s="43">
        <f t="shared" ca="1" si="13"/>
        <v>9.5772535751707175E-2</v>
      </c>
      <c r="G150" s="42">
        <f t="shared" ca="1" si="1"/>
        <v>16514252908928</v>
      </c>
      <c r="H150" s="41">
        <f t="shared" ca="1" si="14"/>
        <v>2294.9833484129786</v>
      </c>
      <c r="I150" s="3"/>
      <c r="J150" s="43">
        <f t="shared" ca="1" si="18"/>
        <v>1</v>
      </c>
      <c r="K150" s="44" t="str">
        <f t="shared" ca="1" si="10"/>
        <v/>
      </c>
      <c r="L150" s="3"/>
      <c r="M150" s="45">
        <f t="shared" ca="1" si="2"/>
        <v>1855.3905988420693</v>
      </c>
      <c r="N150" s="47">
        <f t="shared" ca="1" si="3"/>
        <v>2734.5760979838878</v>
      </c>
      <c r="O150" s="45">
        <f t="shared" ca="1" si="4"/>
        <v>1635.5942240566146</v>
      </c>
      <c r="P150" s="47">
        <f t="shared" ca="1" si="5"/>
        <v>2954.3724727693425</v>
      </c>
      <c r="Q150" s="45">
        <f t="shared" ca="1" si="6"/>
        <v>1415.79784927116</v>
      </c>
      <c r="R150" s="47">
        <f t="shared" ca="1" si="7"/>
        <v>3174.1688475547971</v>
      </c>
      <c r="S150" s="73">
        <f t="shared" ca="1" si="17"/>
        <v>1</v>
      </c>
      <c r="T150" s="73"/>
      <c r="U150" s="3"/>
      <c r="V150" s="3"/>
      <c r="W150" s="3"/>
      <c r="X150" s="3"/>
    </row>
    <row r="151" spans="1:24" ht="14" thickBot="1">
      <c r="A151" s="40">
        <v>42940</v>
      </c>
      <c r="B151" s="41">
        <f t="array" aca="1" ref="B151" ca="1">IF(AND(A151 &gt; TODAY(), A151 &lt;= TODAY() + 7),
   INDEX(calculations!B:B, MATCH(143^143, calculations!B:B)),
   IF(ISNUMBER(MATCH(A151, calculations!A:A, 0)),
      INDEX(calculations!B:B, MATCH(A151, calculations!A:A, 0)),
      ""
   )
)</f>
        <v>2755.16</v>
      </c>
      <c r="C151" s="42">
        <f t="array" aca="1" ref="C151" ca="1">IF(B151&lt;&gt;"", IF(MATCH(A151, calculations!A:A, 0), INDEX(calculations!D:D, MATCH(A151, calculations!A:A, 0)), "No Match"),"")</f>
        <v>9947990080</v>
      </c>
      <c r="D151" s="43">
        <f t="shared" ca="1" si="8"/>
        <v>0.2434435292790251</v>
      </c>
      <c r="E151" s="43">
        <f t="shared" ca="1" si="0"/>
        <v>5.3219632090255736E-2</v>
      </c>
      <c r="F151" s="43">
        <f t="shared" ca="1" si="13"/>
        <v>0.10685765516190469</v>
      </c>
      <c r="G151" s="42">
        <f t="shared" ca="1" si="1"/>
        <v>27408304348812.797</v>
      </c>
      <c r="H151" s="41">
        <f t="shared" ca="1" si="14"/>
        <v>2354.8338883414517</v>
      </c>
      <c r="I151" s="3"/>
      <c r="J151" s="43">
        <f t="shared" ca="1" si="18"/>
        <v>1</v>
      </c>
      <c r="K151" s="44" t="str">
        <f t="shared" ca="1" si="10"/>
        <v/>
      </c>
      <c r="L151" s="3"/>
      <c r="M151" s="45">
        <f t="shared" ca="1" si="2"/>
        <v>1851.5698331335357</v>
      </c>
      <c r="N151" s="47">
        <f t="shared" ca="1" si="3"/>
        <v>2858.0979435493678</v>
      </c>
      <c r="O151" s="45">
        <f t="shared" ca="1" si="4"/>
        <v>1599.9378055295774</v>
      </c>
      <c r="P151" s="47">
        <f t="shared" ca="1" si="5"/>
        <v>3109.729971153326</v>
      </c>
      <c r="Q151" s="45">
        <f t="shared" ca="1" si="6"/>
        <v>1348.3057779256194</v>
      </c>
      <c r="R151" s="47">
        <f t="shared" ca="1" si="7"/>
        <v>3361.3619987572838</v>
      </c>
      <c r="S151" s="73">
        <f t="shared" ca="1" si="17"/>
        <v>1</v>
      </c>
      <c r="T151" s="73"/>
      <c r="U151" s="3"/>
      <c r="V151" s="3"/>
      <c r="W151" s="3"/>
      <c r="X151" s="3"/>
    </row>
    <row r="152" spans="1:24" ht="14" thickBot="1">
      <c r="A152" s="40">
        <v>42947</v>
      </c>
      <c r="B152" s="41">
        <f t="array" aca="1" ref="B152" ca="1">IF(AND(A152 &gt; TODAY(), A152 &lt;= TODAY() + 7),
   INDEX(calculations!B:B, MATCH(143^143, calculations!B:B)),
   IF(ISNUMBER(MATCH(A152, calculations!A:A, 0)),
      INDEX(calculations!B:B, MATCH(A152, calculations!A:A, 0)),
      ""
   )
)</f>
        <v>2862.61</v>
      </c>
      <c r="C152" s="42">
        <f t="array" aca="1" ref="C152" ca="1">IF(B152&lt;&gt;"", IF(MATCH(A152, calculations!A:A, 0), INDEX(calculations!D:D, MATCH(A152, calculations!A:A, 0)), "No Match"),"")</f>
        <v>6942860928</v>
      </c>
      <c r="D152" s="43">
        <f t="shared" ca="1" si="8"/>
        <v>3.8999549935394055E-2</v>
      </c>
      <c r="E152" s="43">
        <f t="shared" ca="1" si="0"/>
        <v>6.8905339533508706E-4</v>
      </c>
      <c r="F152" s="43">
        <f t="shared" ca="1" si="13"/>
        <v>0.10707567892015386</v>
      </c>
      <c r="G152" s="42">
        <f t="shared" ca="1" si="1"/>
        <v>19874703121102.082</v>
      </c>
      <c r="H152" s="41">
        <f t="shared" ca="1" si="14"/>
        <v>2404.5059740891211</v>
      </c>
      <c r="I152" s="3"/>
      <c r="J152" s="43">
        <f t="shared" ca="1" si="18"/>
        <v>1</v>
      </c>
      <c r="K152" s="44" t="str">
        <f t="shared" ca="1" si="10"/>
        <v/>
      </c>
      <c r="L152" s="3"/>
      <c r="M152" s="45">
        <f t="shared" ca="1" si="2"/>
        <v>1889.5777548028041</v>
      </c>
      <c r="N152" s="47">
        <f t="shared" ca="1" si="3"/>
        <v>2919.4341933754386</v>
      </c>
      <c r="O152" s="45">
        <f t="shared" ca="1" si="4"/>
        <v>1632.1136451596456</v>
      </c>
      <c r="P152" s="47">
        <f t="shared" ca="1" si="5"/>
        <v>3176.8983030185968</v>
      </c>
      <c r="Q152" s="45">
        <f t="shared" ca="1" si="6"/>
        <v>1374.649535516487</v>
      </c>
      <c r="R152" s="47">
        <f t="shared" ca="1" si="7"/>
        <v>3434.3624126617551</v>
      </c>
      <c r="S152" s="73">
        <f t="shared" ca="1" si="17"/>
        <v>1</v>
      </c>
      <c r="T152" s="73"/>
      <c r="U152" s="3"/>
      <c r="V152" s="3"/>
      <c r="W152" s="3"/>
      <c r="X152" s="3"/>
    </row>
    <row r="153" spans="1:24" ht="14" thickBot="1">
      <c r="A153" s="40">
        <v>42954</v>
      </c>
      <c r="B153" s="41">
        <f t="array" aca="1" ref="B153" ca="1">IF(AND(A153 &gt; TODAY(), A153 &lt;= TODAY() + 7),
   INDEX(calculations!B:B, MATCH(143^143, calculations!B:B)),
   IF(ISNUMBER(MATCH(A153, calculations!A:A, 0)),
      INDEX(calculations!B:B, MATCH(A153, calculations!A:A, 0)),
      ""
   )
)</f>
        <v>3392.56</v>
      </c>
      <c r="C153" s="42">
        <f t="array" aca="1" ref="C153" ca="1">IF(B153&lt;&gt;"", IF(MATCH(A153, calculations!A:A, 0), INDEX(calculations!D:D, MATCH(A153, calculations!A:A, 0)), "No Match"),"")</f>
        <v>8137841920</v>
      </c>
      <c r="D153" s="43">
        <f t="shared" ca="1" si="8"/>
        <v>0.18512825708007721</v>
      </c>
      <c r="E153" s="43">
        <f t="shared" ca="1" si="0"/>
        <v>2.9714358888119616E-2</v>
      </c>
      <c r="F153" s="43">
        <f t="shared" ca="1" si="13"/>
        <v>0.10997724088847922</v>
      </c>
      <c r="G153" s="42">
        <f t="shared" ca="1" si="1"/>
        <v>27608116984115.199</v>
      </c>
      <c r="H153" s="41">
        <f t="shared" ca="1" si="14"/>
        <v>2493.6528197152747</v>
      </c>
      <c r="I153" s="3"/>
      <c r="J153" s="43">
        <f t="shared" ca="1" si="18"/>
        <v>-0.77043862729509582</v>
      </c>
      <c r="K153" s="44">
        <f t="shared" ca="1" si="10"/>
        <v>-3</v>
      </c>
      <c r="L153" s="3"/>
      <c r="M153" s="45">
        <f t="shared" ca="1" si="2"/>
        <v>1945.1627060231503</v>
      </c>
      <c r="N153" s="47">
        <f t="shared" ca="1" si="3"/>
        <v>3042.1429334073996</v>
      </c>
      <c r="O153" s="45">
        <f t="shared" ca="1" si="4"/>
        <v>1670.9176491770879</v>
      </c>
      <c r="P153" s="47">
        <f t="shared" ca="1" si="5"/>
        <v>3316.3879902534613</v>
      </c>
      <c r="Q153" s="45">
        <f t="shared" ca="1" si="6"/>
        <v>1396.672592331026</v>
      </c>
      <c r="R153" s="47">
        <f t="shared" ca="1" si="7"/>
        <v>3590.6330470995235</v>
      </c>
      <c r="S153" s="73">
        <f t="shared" ca="1" si="17"/>
        <v>-0.77043862729509582</v>
      </c>
      <c r="T153" s="73"/>
      <c r="U153" s="3"/>
      <c r="V153" s="3"/>
      <c r="W153" s="3"/>
      <c r="X153" s="3"/>
    </row>
    <row r="154" spans="1:24" ht="14" thickBot="1">
      <c r="A154" s="40">
        <v>42961</v>
      </c>
      <c r="B154" s="41">
        <f t="array" aca="1" ref="B154" ca="1">IF(AND(A154 &gt; TODAY(), A154 &lt;= TODAY() + 7),
   INDEX(calculations!B:B, MATCH(143^143, calculations!B:B)),
   IF(ISNUMBER(MATCH(A154, calculations!A:A, 0)),
      INDEX(calculations!B:B, MATCH(A154, calculations!A:A, 0)),
      ""
   )
)</f>
        <v>4304.6000000000004</v>
      </c>
      <c r="C154" s="42">
        <f t="array" aca="1" ref="C154" ca="1">IF(B154&lt;&gt;"", IF(MATCH(A154, calculations!A:A, 0), INDEX(calculations!D:D, MATCH(A154, calculations!A:A, 0)), "No Match"),"")</f>
        <v>13618979840</v>
      </c>
      <c r="D154" s="43">
        <f t="shared" ca="1" si="8"/>
        <v>0.26883533378923302</v>
      </c>
      <c r="E154" s="43">
        <f t="shared" ca="1" si="0"/>
        <v>6.5579839869857492E-2</v>
      </c>
      <c r="F154" s="43">
        <f t="shared" ca="1" si="13"/>
        <v>0.1195660028064244</v>
      </c>
      <c r="G154" s="42">
        <f t="shared" ca="1" si="1"/>
        <v>58624260619264.008</v>
      </c>
      <c r="H154" s="41">
        <f t="shared" ca="1" si="14"/>
        <v>2721.8115017828195</v>
      </c>
      <c r="I154" s="3"/>
      <c r="J154" s="43">
        <f t="shared" ca="1" si="18"/>
        <v>-1.2999839531297415</v>
      </c>
      <c r="K154" s="44">
        <f t="shared" ca="1" si="10"/>
        <v>-4</v>
      </c>
      <c r="L154" s="3"/>
      <c r="M154" s="45">
        <f t="shared" ca="1" si="2"/>
        <v>2070.9392584613738</v>
      </c>
      <c r="N154" s="47">
        <f t="shared" ca="1" si="3"/>
        <v>3372.6837451042652</v>
      </c>
      <c r="O154" s="45">
        <f t="shared" ca="1" si="4"/>
        <v>1745.503136800651</v>
      </c>
      <c r="P154" s="47">
        <f t="shared" ca="1" si="5"/>
        <v>3698.1198667649878</v>
      </c>
      <c r="Q154" s="45">
        <f t="shared" ca="1" si="6"/>
        <v>1420.0670151399281</v>
      </c>
      <c r="R154" s="47">
        <f t="shared" ca="1" si="7"/>
        <v>4023.5559884257104</v>
      </c>
      <c r="S154" s="73">
        <f t="shared" ca="1" si="17"/>
        <v>-1.2999839531297415</v>
      </c>
      <c r="T154" s="73"/>
      <c r="U154" s="3"/>
      <c r="V154" s="3"/>
      <c r="W154" s="3"/>
      <c r="X154" s="3"/>
    </row>
    <row r="155" spans="1:24" ht="14" thickBot="1">
      <c r="A155" s="40">
        <v>42968</v>
      </c>
      <c r="B155" s="41">
        <f t="array" aca="1" ref="B155" ca="1">IF(AND(A155 &gt; TODAY(), A155 &lt;= TODAY() + 7),
   INDEX(calculations!B:B, MATCH(143^143, calculations!B:B)),
   IF(ISNUMBER(MATCH(A155, calculations!A:A, 0)),
      INDEX(calculations!B:B, MATCH(A155, calculations!A:A, 0)),
      ""
   )
)</f>
        <v>3992.63</v>
      </c>
      <c r="C155" s="42">
        <f t="array" aca="1" ref="C155" ca="1">IF(B155&lt;&gt;"", IF(MATCH(A155, calculations!A:A, 0), INDEX(calculations!D:D, MATCH(A155, calculations!A:A, 0)), "No Match"),"")</f>
        <v>18573839872</v>
      </c>
      <c r="D155" s="43">
        <f t="shared" ca="1" si="8"/>
        <v>-7.2473632857873033E-2</v>
      </c>
      <c r="E155" s="43">
        <f t="shared" ca="1" si="0"/>
        <v>7.2630204447241284E-3</v>
      </c>
      <c r="F155" s="43">
        <f t="shared" ca="1" si="13"/>
        <v>0.1255624173630264</v>
      </c>
      <c r="G155" s="42">
        <f t="shared" ca="1" si="1"/>
        <v>74158470288143.359</v>
      </c>
      <c r="H155" s="41">
        <f t="shared" ca="1" si="14"/>
        <v>2933.1977495334322</v>
      </c>
      <c r="I155" s="3"/>
      <c r="J155" s="43">
        <f t="shared" ca="1" si="18"/>
        <v>-0.37558629824515732</v>
      </c>
      <c r="K155" s="44">
        <f t="shared" ca="1" si="10"/>
        <v>-2</v>
      </c>
      <c r="L155" s="3"/>
      <c r="M155" s="45">
        <f t="shared" ca="1" si="2"/>
        <v>2196.5989494630189</v>
      </c>
      <c r="N155" s="47">
        <f t="shared" ca="1" si="3"/>
        <v>3669.7965496038455</v>
      </c>
      <c r="O155" s="45">
        <f t="shared" ca="1" si="4"/>
        <v>1828.2995494278125</v>
      </c>
      <c r="P155" s="47">
        <f t="shared" ca="1" si="5"/>
        <v>4038.0959496390519</v>
      </c>
      <c r="Q155" s="45">
        <f t="shared" ca="1" si="6"/>
        <v>1460.0001493926059</v>
      </c>
      <c r="R155" s="47">
        <f t="shared" ca="1" si="7"/>
        <v>4406.3953496742588</v>
      </c>
      <c r="S155" s="73">
        <f t="shared" ca="1" si="17"/>
        <v>-0.37558629824515732</v>
      </c>
      <c r="T155" s="73"/>
      <c r="U155" s="3"/>
      <c r="V155" s="3"/>
      <c r="W155" s="3"/>
      <c r="X155" s="3"/>
    </row>
    <row r="156" spans="1:24" ht="14" thickBot="1">
      <c r="A156" s="40">
        <v>42975</v>
      </c>
      <c r="B156" s="41">
        <f t="array" aca="1" ref="B156" ca="1">IF(AND(A156 &gt; TODAY(), A156 &lt;= TODAY() + 7),
   INDEX(calculations!B:B, MATCH(143^143, calculations!B:B)),
   IF(ISNUMBER(MATCH(A156, calculations!A:A, 0)),
      INDEX(calculations!B:B, MATCH(A156, calculations!A:A, 0)),
      ""
   )
)</f>
        <v>4379.76</v>
      </c>
      <c r="C156" s="42">
        <f t="array" aca="1" ref="C156" ca="1">IF(B156&lt;&gt;"", IF(MATCH(A156, calculations!A:A, 0), INDEX(calculations!D:D, MATCH(A156, calculations!A:A, 0)), "No Match"),"")</f>
        <v>15749739904</v>
      </c>
      <c r="D156" s="43">
        <f t="shared" ca="1" si="8"/>
        <v>9.6961150920571171E-2</v>
      </c>
      <c r="E156" s="43">
        <f t="shared" ca="1" si="0"/>
        <v>7.091564532099943E-3</v>
      </c>
      <c r="F156" s="43">
        <f t="shared" ca="1" si="13"/>
        <v>0.12040314090639345</v>
      </c>
      <c r="G156" s="42">
        <f t="shared" ca="1" si="1"/>
        <v>68980080841943.047</v>
      </c>
      <c r="H156" s="41">
        <f t="shared" ca="1" si="14"/>
        <v>3126.5790995811026</v>
      </c>
      <c r="I156" s="3"/>
      <c r="J156" s="43">
        <f t="shared" ca="1" si="18"/>
        <v>-0.51636320883449183</v>
      </c>
      <c r="K156" s="44">
        <f t="shared" ca="1" si="10"/>
        <v>-3</v>
      </c>
      <c r="L156" s="3"/>
      <c r="M156" s="45">
        <f t="shared" ca="1" si="2"/>
        <v>2373.6792118174058</v>
      </c>
      <c r="N156" s="47">
        <f t="shared" ca="1" si="3"/>
        <v>3879.4789873447994</v>
      </c>
      <c r="O156" s="45">
        <f t="shared" ca="1" si="4"/>
        <v>1997.2292679355578</v>
      </c>
      <c r="P156" s="47">
        <f t="shared" ca="1" si="5"/>
        <v>4255.9289312266474</v>
      </c>
      <c r="Q156" s="45">
        <f t="shared" ca="1" si="6"/>
        <v>1620.7793240537096</v>
      </c>
      <c r="R156" s="47">
        <f t="shared" ca="1" si="7"/>
        <v>4632.3788751084958</v>
      </c>
      <c r="S156" s="73">
        <f t="shared" ca="1" si="17"/>
        <v>-0.51636320883449183</v>
      </c>
      <c r="T156" s="73"/>
      <c r="U156" s="3"/>
      <c r="V156" s="3"/>
      <c r="W156" s="3"/>
      <c r="X156" s="3"/>
    </row>
    <row r="157" spans="1:24" ht="14" thickBot="1">
      <c r="A157" s="40">
        <v>42982</v>
      </c>
      <c r="B157" s="41">
        <f t="array" aca="1" ref="B157" ca="1">IF(AND(A157 &gt; TODAY(), A157 &lt;= TODAY() + 7),
   INDEX(calculations!B:B, MATCH(143^143, calculations!B:B)),
   IF(ISNUMBER(MATCH(A157, calculations!A:A, 0)),
      INDEX(calculations!B:B, MATCH(A157, calculations!A:A, 0)),
      ""
   )
)</f>
        <v>4374.75</v>
      </c>
      <c r="C157" s="42">
        <f t="array" aca="1" ref="C157" ca="1">IF(B157&lt;&gt;"", IF(MATCH(A157, calculations!A:A, 0), INDEX(calculations!D:D, MATCH(A157, calculations!A:A, 0)), "No Match"),"")</f>
        <v>15582599936</v>
      </c>
      <c r="D157" s="43">
        <f t="shared" ca="1" si="8"/>
        <v>-1.1438982957970797E-3</v>
      </c>
      <c r="E157" s="43">
        <f t="shared" ca="1" si="0"/>
        <v>1.9303272266318661E-4</v>
      </c>
      <c r="F157" s="43">
        <f t="shared" ca="1" si="13"/>
        <v>0.12093806071401129</v>
      </c>
      <c r="G157" s="42">
        <f t="shared" ca="1" si="1"/>
        <v>68169979070016</v>
      </c>
      <c r="H157" s="41">
        <f t="shared" ca="1" si="14"/>
        <v>3321.5046488035455</v>
      </c>
      <c r="I157" s="3"/>
      <c r="J157" s="43">
        <f t="shared" ca="1" si="18"/>
        <v>-0.22830247247199037</v>
      </c>
      <c r="K157" s="44">
        <f t="shared" ca="1" si="10"/>
        <v>-2</v>
      </c>
      <c r="L157" s="3"/>
      <c r="M157" s="45">
        <f t="shared" ca="1" si="2"/>
        <v>2518.1119870457974</v>
      </c>
      <c r="N157" s="47">
        <f t="shared" ca="1" si="3"/>
        <v>4124.8973105612931</v>
      </c>
      <c r="O157" s="45">
        <f t="shared" ca="1" si="4"/>
        <v>2116.4156561669238</v>
      </c>
      <c r="P157" s="47">
        <f t="shared" ca="1" si="5"/>
        <v>4526.5936414401676</v>
      </c>
      <c r="Q157" s="45">
        <f t="shared" ca="1" si="6"/>
        <v>1714.7193252880495</v>
      </c>
      <c r="R157" s="47">
        <f t="shared" ca="1" si="7"/>
        <v>4928.2899723190412</v>
      </c>
      <c r="S157" s="73">
        <f t="shared" ref="S157:S220" ca="1" si="19">IF(B157="","",
 IF(B157&lt;Q157, 1+(4*ABS(D157))+(1+$X$2)+F157,
 IF(B157&lt;O157, 1+(3*ABS(D157))+(1+$X$2)+F157,
 IF(B157&lt;M157, 1+(2*ABS(D157))+(1+$X$2)+F157,
 IF(B157&gt;R157, 1-(4*ABS(D157))-(1+$X$2)-F157,
 IF(B157&gt;P157, 1-(3*ABS(D157))-(1+$X$2)-F157,
 IF(B157&gt;N157, 1-(2*ABS(D157))-(1+$X$2)-F157,
 1)))))))</f>
        <v>-0.22830247247199037</v>
      </c>
      <c r="T157" s="73"/>
      <c r="U157" s="3"/>
      <c r="V157" s="3"/>
      <c r="W157" s="3"/>
      <c r="X157" s="3"/>
    </row>
    <row r="158" spans="1:24" ht="14" thickBot="1">
      <c r="A158" s="40">
        <v>42989</v>
      </c>
      <c r="B158" s="41">
        <f t="array" aca="1" ref="B158" ca="1">IF(AND(A158 &gt; TODAY(), A158 &lt;= TODAY() + 7),
   INDEX(calculations!B:B, MATCH(143^143, calculations!B:B)),
   IF(ISNUMBER(MATCH(A158, calculations!A:A, 0)),
      INDEX(calculations!B:B, MATCH(A158, calculations!A:A, 0)),
      ""
   )
)</f>
        <v>4212.55</v>
      </c>
      <c r="C158" s="42">
        <f t="array" aca="1" ref="C158" ca="1">IF(B158&lt;&gt;"", IF(MATCH(A158, calculations!A:A, 0), INDEX(calculations!D:D, MATCH(A158, calculations!A:A, 0)), "No Match"),"")</f>
        <v>15468230272</v>
      </c>
      <c r="D158" s="43">
        <f t="shared" ca="1" si="8"/>
        <v>-3.7076404365963725E-2</v>
      </c>
      <c r="E158" s="43">
        <f t="shared" ca="1" si="0"/>
        <v>2.4826430039802663E-3</v>
      </c>
      <c r="F158" s="43">
        <f t="shared" ca="1" si="13"/>
        <v>0.11779057125712272</v>
      </c>
      <c r="G158" s="42">
        <f t="shared" ca="1" si="1"/>
        <v>65160693432313.602</v>
      </c>
      <c r="H158" s="41">
        <f t="shared" ca="1" si="14"/>
        <v>3448.67267410358</v>
      </c>
      <c r="I158" s="3"/>
      <c r="J158" s="43">
        <f t="shared" ca="1" si="18"/>
        <v>1</v>
      </c>
      <c r="K158" s="44" t="str">
        <f t="shared" ca="1" si="10"/>
        <v/>
      </c>
      <c r="L158" s="3"/>
      <c r="M158" s="45">
        <f t="shared" ca="1" si="2"/>
        <v>2636.2304253806005</v>
      </c>
      <c r="N158" s="47">
        <f t="shared" ca="1" si="3"/>
        <v>4261.1149228265595</v>
      </c>
      <c r="O158" s="45">
        <f t="shared" ca="1" si="4"/>
        <v>2230.0093010191113</v>
      </c>
      <c r="P158" s="47">
        <f t="shared" ca="1" si="5"/>
        <v>4667.3360471880487</v>
      </c>
      <c r="Q158" s="45">
        <f t="shared" ca="1" si="6"/>
        <v>1823.7881766576211</v>
      </c>
      <c r="R158" s="47">
        <f t="shared" ca="1" si="7"/>
        <v>5073.5571715495389</v>
      </c>
      <c r="S158" s="73">
        <f t="shared" ca="1" si="19"/>
        <v>1</v>
      </c>
      <c r="T158" s="73"/>
      <c r="U158" s="3"/>
      <c r="V158" s="3"/>
      <c r="W158" s="3"/>
      <c r="X158" s="3"/>
    </row>
    <row r="159" spans="1:24" ht="14" thickBot="1">
      <c r="A159" s="40">
        <v>42996</v>
      </c>
      <c r="B159" s="41">
        <f t="array" aca="1" ref="B159" ca="1">IF(AND(A159 &gt; TODAY(), A159 &lt;= TODAY() + 7),
   INDEX(calculations!B:B, MATCH(143^143, calculations!B:B)),
   IF(ISNUMBER(MATCH(A159, calculations!A:A, 0)),
      INDEX(calculations!B:B, MATCH(A159, calculations!A:A, 0)),
      ""
   )
)</f>
        <v>4080.43</v>
      </c>
      <c r="C159" s="42">
        <f t="array" aca="1" ref="C159" ca="1">IF(B159&lt;&gt;"", IF(MATCH(A159, calculations!A:A, 0), INDEX(calculations!D:D, MATCH(A159, calculations!A:A, 0)), "No Match"),"")</f>
        <v>15563199872</v>
      </c>
      <c r="D159" s="43">
        <f t="shared" ca="1" si="8"/>
        <v>-3.1363425953401226E-2</v>
      </c>
      <c r="E159" s="43">
        <f t="shared" ca="1" si="0"/>
        <v>1.9459699421837187E-3</v>
      </c>
      <c r="F159" s="43">
        <f t="shared" ca="1" si="13"/>
        <v>0.11868023807948519</v>
      </c>
      <c r="G159" s="42">
        <f t="shared" ca="1" si="1"/>
        <v>63504547653704.961</v>
      </c>
      <c r="H159" s="41">
        <f t="shared" ca="1" si="14"/>
        <v>3564.5808472768304</v>
      </c>
      <c r="I159" s="3"/>
      <c r="J159" s="43">
        <f t="shared" ca="1" si="18"/>
        <v>1</v>
      </c>
      <c r="K159" s="44" t="str">
        <f t="shared" ca="1" si="10"/>
        <v/>
      </c>
      <c r="L159" s="3"/>
      <c r="M159" s="45">
        <f t="shared" ca="1" si="2"/>
        <v>2718.4902400600558</v>
      </c>
      <c r="N159" s="47">
        <f t="shared" ca="1" si="3"/>
        <v>4410.6714544936049</v>
      </c>
      <c r="O159" s="45">
        <f t="shared" ca="1" si="4"/>
        <v>2295.4449364516686</v>
      </c>
      <c r="P159" s="47">
        <f t="shared" ca="1" si="5"/>
        <v>4833.7167581019921</v>
      </c>
      <c r="Q159" s="45">
        <f t="shared" ca="1" si="6"/>
        <v>1872.3996328432813</v>
      </c>
      <c r="R159" s="47">
        <f t="shared" ca="1" si="7"/>
        <v>5256.7620617103794</v>
      </c>
      <c r="S159" s="73">
        <f t="shared" ca="1" si="19"/>
        <v>1</v>
      </c>
      <c r="T159" s="73"/>
      <c r="U159" s="3"/>
      <c r="V159" s="3"/>
      <c r="W159" s="3"/>
      <c r="X159" s="3"/>
    </row>
    <row r="160" spans="1:24" ht="14" thickBot="1">
      <c r="A160" s="40">
        <v>43003</v>
      </c>
      <c r="B160" s="41">
        <f t="array" aca="1" ref="B160" ca="1">IF(AND(A160 &gt; TODAY(), A160 &lt;= TODAY() + 7),
   INDEX(calculations!B:B, MATCH(143^143, calculations!B:B)),
   IF(ISNUMBER(MATCH(A160, calculations!A:A, 0)),
      INDEX(calculations!B:B, MATCH(A160, calculations!A:A, 0)),
      ""
   )
)</f>
        <v>3918.74</v>
      </c>
      <c r="C160" s="42">
        <f t="array" aca="1" ref="C160" ca="1">IF(B160&lt;&gt;"", IF(MATCH(A160, calculations!A:A, 0), INDEX(calculations!D:D, MATCH(A160, calculations!A:A, 0)), "No Match"),"")</f>
        <v>9023459008</v>
      </c>
      <c r="D160" s="43">
        <f t="shared" ca="1" si="8"/>
        <v>-3.9625725720083438E-2</v>
      </c>
      <c r="E160" s="43">
        <f t="shared" ca="1" si="0"/>
        <v>2.7431876661472249E-3</v>
      </c>
      <c r="F160" s="43">
        <f t="shared" ca="1" si="13"/>
        <v>0.1191903166445335</v>
      </c>
      <c r="G160" s="42">
        <f t="shared" ca="1" si="1"/>
        <v>35360589753009.922</v>
      </c>
      <c r="H160" s="41">
        <f t="shared" ca="1" si="14"/>
        <v>3658.2936556842874</v>
      </c>
      <c r="I160" s="3"/>
      <c r="J160" s="43">
        <f t="shared" ca="1" si="18"/>
        <v>1</v>
      </c>
      <c r="K160" s="44" t="str">
        <f t="shared" ca="1" si="10"/>
        <v/>
      </c>
      <c r="L160" s="3"/>
      <c r="M160" s="45">
        <f t="shared" ca="1" si="2"/>
        <v>2786.2272972848909</v>
      </c>
      <c r="N160" s="47">
        <f t="shared" ca="1" si="3"/>
        <v>4530.3600140836843</v>
      </c>
      <c r="O160" s="45">
        <f t="shared" ca="1" si="4"/>
        <v>2350.1941180851927</v>
      </c>
      <c r="P160" s="47">
        <f t="shared" ca="1" si="5"/>
        <v>4966.3931932833821</v>
      </c>
      <c r="Q160" s="45">
        <f t="shared" ca="1" si="6"/>
        <v>1914.1609388854945</v>
      </c>
      <c r="R160" s="47">
        <f t="shared" ca="1" si="7"/>
        <v>5402.4263724830807</v>
      </c>
      <c r="S160" s="73">
        <f t="shared" ca="1" si="19"/>
        <v>1</v>
      </c>
      <c r="T160" s="73"/>
      <c r="U160" s="3"/>
      <c r="V160" s="3"/>
      <c r="W160" s="3"/>
      <c r="X160" s="3"/>
    </row>
    <row r="161" spans="1:24" ht="14" thickBot="1">
      <c r="A161" s="40">
        <v>43010</v>
      </c>
      <c r="B161" s="41">
        <f t="array" aca="1" ref="B161" ca="1">IF(AND(A161 &gt; TODAY(), A161 &lt;= TODAY() + 7),
   INDEX(calculations!B:B, MATCH(143^143, calculations!B:B)),
   IF(ISNUMBER(MATCH(A161, calculations!A:A, 0)),
      INDEX(calculations!B:B, MATCH(A161, calculations!A:A, 0)),
      ""
   )
)</f>
        <v>4386.88</v>
      </c>
      <c r="C161" s="42">
        <f t="array" aca="1" ref="C161" ca="1">IF(B161&lt;&gt;"", IF(MATCH(A161, calculations!A:A, 0), INDEX(calculations!D:D, MATCH(A161, calculations!A:A, 0)), "No Match"),"")</f>
        <v>9599860096</v>
      </c>
      <c r="D161" s="43">
        <f t="shared" ca="1" si="8"/>
        <v>0.11946186784527689</v>
      </c>
      <c r="E161" s="43">
        <f t="shared" ca="1" si="0"/>
        <v>1.1387481781040222E-2</v>
      </c>
      <c r="F161" s="43">
        <f t="shared" ca="1" si="13"/>
        <v>0.11748763275555589</v>
      </c>
      <c r="G161" s="42">
        <f t="shared" ca="1" si="1"/>
        <v>42113434257940.484</v>
      </c>
      <c r="H161" s="41">
        <f t="shared" ca="1" si="14"/>
        <v>3772.8658211546476</v>
      </c>
      <c r="I161" s="3"/>
      <c r="J161" s="43">
        <f t="shared" ca="1" si="18"/>
        <v>1</v>
      </c>
      <c r="K161" s="44" t="str">
        <f t="shared" ca="1" si="10"/>
        <v/>
      </c>
      <c r="L161" s="3"/>
      <c r="M161" s="45">
        <f t="shared" ca="1" si="2"/>
        <v>2886.3356730910355</v>
      </c>
      <c r="N161" s="47">
        <f t="shared" ca="1" si="3"/>
        <v>4659.3959692182598</v>
      </c>
      <c r="O161" s="45">
        <f t="shared" ca="1" si="4"/>
        <v>2443.0705990592296</v>
      </c>
      <c r="P161" s="47">
        <f t="shared" ca="1" si="5"/>
        <v>5102.6610432500665</v>
      </c>
      <c r="Q161" s="45">
        <f t="shared" ca="1" si="6"/>
        <v>1999.8055250274233</v>
      </c>
      <c r="R161" s="47">
        <f t="shared" ca="1" si="7"/>
        <v>5545.9261172818724</v>
      </c>
      <c r="S161" s="73">
        <f t="shared" ca="1" si="19"/>
        <v>1</v>
      </c>
      <c r="T161" s="73"/>
      <c r="U161" s="3"/>
      <c r="V161" s="3"/>
      <c r="W161" s="3"/>
      <c r="X161" s="3"/>
    </row>
    <row r="162" spans="1:24" ht="14" thickBot="1">
      <c r="A162" s="40">
        <v>43017</v>
      </c>
      <c r="B162" s="41">
        <f t="array" aca="1" ref="B162" ca="1">IF(AND(A162 &gt; TODAY(), A162 &lt;= TODAY() + 7),
   INDEX(calculations!B:B, MATCH(143^143, calculations!B:B)),
   IF(ISNUMBER(MATCH(A162, calculations!A:A, 0)),
      INDEX(calculations!B:B, MATCH(A162, calculations!A:A, 0)),
      ""
   )
)</f>
        <v>4777.53</v>
      </c>
      <c r="C162" s="42">
        <f t="array" aca="1" ref="C162" ca="1">IF(B162&lt;&gt;"", IF(MATCH(A162, calculations!A:A, 0), INDEX(calculations!D:D, MATCH(A162, calculations!A:A, 0)), "No Match"),"")</f>
        <v>8289027968</v>
      </c>
      <c r="D162" s="43">
        <f t="shared" ca="1" si="8"/>
        <v>8.9049620687139744E-2</v>
      </c>
      <c r="E162" s="43">
        <f t="shared" ca="1" si="0"/>
        <v>5.8216743324135019E-3</v>
      </c>
      <c r="F162" s="43">
        <f t="shared" ca="1" si="13"/>
        <v>0.11797480430159749</v>
      </c>
      <c r="G162" s="42">
        <f t="shared" ca="1" si="1"/>
        <v>39601079787959.039</v>
      </c>
      <c r="H162" s="41">
        <f t="shared" ca="1" si="14"/>
        <v>3884.0580028816435</v>
      </c>
      <c r="I162" s="3"/>
      <c r="J162" s="43">
        <f t="shared" ca="1" si="18"/>
        <v>1</v>
      </c>
      <c r="K162" s="44" t="str">
        <f t="shared" ca="1" si="10"/>
        <v/>
      </c>
      <c r="L162" s="3"/>
      <c r="M162" s="45">
        <f t="shared" ca="1" si="2"/>
        <v>2967.6160373096127</v>
      </c>
      <c r="N162" s="47">
        <f t="shared" ca="1" si="3"/>
        <v>4800.4999684536742</v>
      </c>
      <c r="O162" s="45">
        <f t="shared" ca="1" si="4"/>
        <v>2509.3950545235971</v>
      </c>
      <c r="P162" s="47">
        <f t="shared" ca="1" si="5"/>
        <v>5258.7209512396903</v>
      </c>
      <c r="Q162" s="45">
        <f t="shared" ca="1" si="6"/>
        <v>2051.1740717375815</v>
      </c>
      <c r="R162" s="47">
        <f t="shared" ca="1" si="7"/>
        <v>5716.9419340257045</v>
      </c>
      <c r="S162" s="73">
        <f t="shared" ca="1" si="19"/>
        <v>1</v>
      </c>
      <c r="T162" s="73"/>
      <c r="U162" s="3"/>
      <c r="V162" s="3"/>
      <c r="W162" s="3"/>
      <c r="X162" s="3"/>
    </row>
    <row r="163" spans="1:24" ht="14" thickBot="1">
      <c r="A163" s="40">
        <v>43024</v>
      </c>
      <c r="B163" s="41">
        <f t="array" aca="1" ref="B163" ca="1">IF(AND(A163 &gt; TODAY(), A163 &lt;= TODAY() + 7),
   INDEX(calculations!B:B, MATCH(143^143, calculations!B:B)),
   IF(ISNUMBER(MATCH(A163, calculations!A:A, 0)),
      INDEX(calculations!B:B, MATCH(A163, calculations!A:A, 0)),
      ""
   )
)</f>
        <v>5756.15</v>
      </c>
      <c r="C163" s="42">
        <f t="array" aca="1" ref="C163" ca="1">IF(B163&lt;&gt;"", IF(MATCH(A163, calculations!A:A, 0), INDEX(calculations!D:D, MATCH(A163, calculations!A:A, 0)), "No Match"),"")</f>
        <v>14840320000</v>
      </c>
      <c r="D163" s="43">
        <f t="shared" ca="1" si="8"/>
        <v>0.20483806485778214</v>
      </c>
      <c r="E163" s="43">
        <f t="shared" ca="1" si="0"/>
        <v>3.6897930940077088E-2</v>
      </c>
      <c r="F163" s="43">
        <f t="shared" ca="1" si="13"/>
        <v>0.11691659708141383</v>
      </c>
      <c r="G163" s="42">
        <f t="shared" ca="1" si="1"/>
        <v>85423107968000</v>
      </c>
      <c r="H163" s="41">
        <f t="shared" ca="1" si="14"/>
        <v>4102.7147827269409</v>
      </c>
      <c r="I163" s="3"/>
      <c r="J163" s="43">
        <f t="shared" ca="1" si="18"/>
        <v>-0.83650740682114511</v>
      </c>
      <c r="K163" s="44">
        <f t="shared" ca="1" si="10"/>
        <v>-3</v>
      </c>
      <c r="L163" s="3"/>
      <c r="M163" s="45">
        <f t="shared" ca="1" si="2"/>
        <v>3143.3638803428489</v>
      </c>
      <c r="N163" s="47">
        <f t="shared" ca="1" si="3"/>
        <v>5062.0656851110334</v>
      </c>
      <c r="O163" s="45">
        <f t="shared" ca="1" si="4"/>
        <v>2663.6884291508031</v>
      </c>
      <c r="P163" s="47">
        <f t="shared" ca="1" si="5"/>
        <v>5541.7411363030787</v>
      </c>
      <c r="Q163" s="45">
        <f t="shared" ca="1" si="6"/>
        <v>2184.0129779587569</v>
      </c>
      <c r="R163" s="47">
        <f t="shared" ca="1" si="7"/>
        <v>6021.416587495125</v>
      </c>
      <c r="S163" s="73">
        <f t="shared" ca="1" si="19"/>
        <v>-0.83650740682114511</v>
      </c>
      <c r="T163" s="73"/>
      <c r="U163" s="3"/>
      <c r="V163" s="3"/>
      <c r="W163" s="3"/>
      <c r="X163" s="3"/>
    </row>
    <row r="164" spans="1:24" ht="14" thickBot="1">
      <c r="A164" s="40">
        <v>43031</v>
      </c>
      <c r="B164" s="41">
        <f t="array" aca="1" ref="B164" ca="1">IF(AND(A164 &gt; TODAY(), A164 &lt;= TODAY() + 7),
   INDEX(calculations!B:B, MATCH(143^143, calculations!B:B)),
   IF(ISNUMBER(MATCH(A164, calculations!A:A, 0)),
      INDEX(calculations!B:B, MATCH(A164, calculations!A:A, 0)),
      ""
   )
)</f>
        <v>5888.25</v>
      </c>
      <c r="C164" s="42">
        <f t="array" aca="1" ref="C164" ca="1">IF(B164&lt;&gt;"", IF(MATCH(A164, calculations!A:A, 0), INDEX(calculations!D:D, MATCH(A164, calculations!A:A, 0)), "No Match"),"")</f>
        <v>14605609856</v>
      </c>
      <c r="D164" s="43">
        <f t="shared" ca="1" si="8"/>
        <v>2.2949367198561603E-2</v>
      </c>
      <c r="E164" s="43">
        <f t="shared" ca="1" si="0"/>
        <v>1.0403273447112932E-4</v>
      </c>
      <c r="F164" s="43">
        <f t="shared" ca="1" si="13"/>
        <v>0.11301804655896723</v>
      </c>
      <c r="G164" s="42">
        <f t="shared" ca="1" si="1"/>
        <v>86001482234592</v>
      </c>
      <c r="H164" s="41">
        <f t="shared" ca="1" si="14"/>
        <v>4330.8709469169926</v>
      </c>
      <c r="I164" s="3"/>
      <c r="J164" s="43">
        <f t="shared" ca="1" si="18"/>
        <v>-0.28694276332103691</v>
      </c>
      <c r="K164" s="44">
        <f t="shared" ca="1" si="10"/>
        <v>-3</v>
      </c>
      <c r="L164" s="3"/>
      <c r="M164" s="45">
        <f t="shared" ca="1" si="2"/>
        <v>3351.937798277906</v>
      </c>
      <c r="N164" s="47">
        <f t="shared" ca="1" si="3"/>
        <v>5309.8040955560782</v>
      </c>
      <c r="O164" s="45">
        <f t="shared" ca="1" si="4"/>
        <v>2862.4712239583632</v>
      </c>
      <c r="P164" s="47">
        <f t="shared" ca="1" si="5"/>
        <v>5799.2706698756219</v>
      </c>
      <c r="Q164" s="45">
        <f t="shared" ca="1" si="6"/>
        <v>2373.0046496388195</v>
      </c>
      <c r="R164" s="47">
        <f t="shared" ca="1" si="7"/>
        <v>6288.7372441951657</v>
      </c>
      <c r="S164" s="73">
        <f t="shared" ca="1" si="19"/>
        <v>-0.28694276332103691</v>
      </c>
      <c r="T164" s="73"/>
      <c r="U164" s="3"/>
      <c r="V164" s="3"/>
      <c r="W164" s="3"/>
      <c r="X164" s="3"/>
    </row>
    <row r="165" spans="1:24" ht="14" thickBot="1">
      <c r="A165" s="40">
        <v>43038</v>
      </c>
      <c r="B165" s="41">
        <f t="array" aca="1" ref="B165" ca="1">IF(AND(A165 &gt; TODAY(), A165 &lt;= TODAY() + 7),
   INDEX(calculations!B:B, MATCH(143^143, calculations!B:B)),
   IF(ISNUMBER(MATCH(A165, calculations!A:A, 0)),
      INDEX(calculations!B:B, MATCH(A165, calculations!A:A, 0)),
      ""
   )
)</f>
        <v>6119.26</v>
      </c>
      <c r="C165" s="42">
        <f t="array" aca="1" ref="C165" ca="1">IF(B165&lt;&gt;"", IF(MATCH(A165, calculations!A:A, 0), INDEX(calculations!D:D, MATCH(A165, calculations!A:A, 0)), "No Match"),"")</f>
        <v>14982660096</v>
      </c>
      <c r="D165" s="43">
        <f t="shared" ca="1" si="8"/>
        <v>3.9232369549526636E-2</v>
      </c>
      <c r="E165" s="43">
        <f t="shared" ca="1" si="0"/>
        <v>7.0133054929733148E-4</v>
      </c>
      <c r="F165" s="43">
        <f t="shared" ca="1" si="13"/>
        <v>0.10268903598931038</v>
      </c>
      <c r="G165" s="42">
        <f t="shared" ca="1" si="1"/>
        <v>91682792619048.969</v>
      </c>
      <c r="H165" s="41">
        <f t="shared" ca="1" si="14"/>
        <v>4565.5399580571984</v>
      </c>
      <c r="I165" s="3"/>
      <c r="J165" s="43">
        <f t="shared" ca="1" si="18"/>
        <v>-0.32546275980427514</v>
      </c>
      <c r="K165" s="44">
        <f t="shared" ca="1" si="10"/>
        <v>-3</v>
      </c>
      <c r="L165" s="3"/>
      <c r="M165" s="45">
        <f t="shared" ca="1" si="2"/>
        <v>3627.8781639300578</v>
      </c>
      <c r="N165" s="47">
        <f t="shared" ca="1" si="3"/>
        <v>5503.2017521843381</v>
      </c>
      <c r="O165" s="45">
        <f t="shared" ca="1" si="4"/>
        <v>3159.0472668664879</v>
      </c>
      <c r="P165" s="47">
        <f t="shared" ca="1" si="5"/>
        <v>5972.0326492479089</v>
      </c>
      <c r="Q165" s="45">
        <f t="shared" ca="1" si="6"/>
        <v>2690.2163698029171</v>
      </c>
      <c r="R165" s="47">
        <f t="shared" ca="1" si="7"/>
        <v>6440.8635463114797</v>
      </c>
      <c r="S165" s="73">
        <f t="shared" ca="1" si="19"/>
        <v>-0.32546275980427514</v>
      </c>
      <c r="T165" s="73"/>
      <c r="U165" s="3"/>
      <c r="V165" s="3"/>
      <c r="W165" s="3"/>
      <c r="X165" s="3"/>
    </row>
    <row r="166" spans="1:24" ht="14" thickBot="1">
      <c r="A166" s="40">
        <v>43045</v>
      </c>
      <c r="B166" s="41">
        <f t="array" aca="1" ref="B166" ca="1">IF(AND(A166 &gt; TODAY(), A166 &lt;= TODAY() + 7),
   INDEX(calculations!B:B, MATCH(143^143, calculations!B:B)),
   IF(ISNUMBER(MATCH(A166, calculations!A:A, 0)),
      INDEX(calculations!B:B, MATCH(A166, calculations!A:A, 0)),
      ""
   )
)</f>
        <v>6985.26</v>
      </c>
      <c r="C166" s="42">
        <f t="array" aca="1" ref="C166" ca="1">IF(B166&lt;&gt;"", IF(MATCH(A166, calculations!A:A, 0), INDEX(calculations!D:D, MATCH(A166, calculations!A:A, 0)), "No Match"),"")</f>
        <v>19841690624</v>
      </c>
      <c r="D166" s="43">
        <f t="shared" ca="1" si="8"/>
        <v>0.14152037991521851</v>
      </c>
      <c r="E166" s="43">
        <f t="shared" ca="1" si="0"/>
        <v>1.6581881990137014E-2</v>
      </c>
      <c r="F166" s="43">
        <f t="shared" ca="1" si="13"/>
        <v>0.10447606011737676</v>
      </c>
      <c r="G166" s="42">
        <f t="shared" ca="1" si="1"/>
        <v>138599367848202.25</v>
      </c>
      <c r="H166" s="41">
        <f t="shared" ca="1" si="14"/>
        <v>4874.1610118579038</v>
      </c>
      <c r="I166" s="3"/>
      <c r="J166" s="43">
        <f t="shared" ca="1" si="18"/>
        <v>-0.7756341949446357</v>
      </c>
      <c r="K166" s="44">
        <f t="shared" ca="1" si="10"/>
        <v>-4</v>
      </c>
      <c r="L166" s="3"/>
      <c r="M166" s="45">
        <f t="shared" ca="1" si="2"/>
        <v>3855.6947340646234</v>
      </c>
      <c r="N166" s="47">
        <f t="shared" ca="1" si="3"/>
        <v>5892.6272896511846</v>
      </c>
      <c r="O166" s="45">
        <f t="shared" ca="1" si="4"/>
        <v>3346.461595167983</v>
      </c>
      <c r="P166" s="47">
        <f t="shared" ca="1" si="5"/>
        <v>6401.8604285478241</v>
      </c>
      <c r="Q166" s="45">
        <f t="shared" ca="1" si="6"/>
        <v>2837.2284562713426</v>
      </c>
      <c r="R166" s="47">
        <f t="shared" ca="1" si="7"/>
        <v>6911.0935674444645</v>
      </c>
      <c r="S166" s="73">
        <f t="shared" ca="1" si="19"/>
        <v>-0.7756341949446357</v>
      </c>
      <c r="T166" s="73"/>
      <c r="U166" s="3"/>
      <c r="V166" s="3"/>
      <c r="W166" s="3"/>
      <c r="X166" s="3"/>
    </row>
    <row r="167" spans="1:24" ht="14" thickBot="1">
      <c r="A167" s="40">
        <v>43052</v>
      </c>
      <c r="B167" s="41">
        <f t="array" aca="1" ref="B167" ca="1">IF(AND(A167 &gt; TODAY(), A167 &lt;= TODAY() + 7),
   INDEX(calculations!B:B, MATCH(143^143, calculations!B:B)),
   IF(ISNUMBER(MATCH(A167, calculations!A:A, 0)),
      INDEX(calculations!B:B, MATCH(A167, calculations!A:A, 0)),
      ""
   )
)</f>
        <v>6519.45</v>
      </c>
      <c r="C167" s="42">
        <f t="array" aca="1" ref="C167" ca="1">IF(B167&lt;&gt;"", IF(MATCH(A167, calculations!A:A, 0), INDEX(calculations!D:D, MATCH(A167, calculations!A:A, 0)), "No Match"),"")</f>
        <v>32340969984</v>
      </c>
      <c r="D167" s="43">
        <f t="shared" ca="1" si="8"/>
        <v>-6.6684704649504864E-2</v>
      </c>
      <c r="E167" s="43">
        <f t="shared" ca="1" si="0"/>
        <v>6.3098283529042145E-3</v>
      </c>
      <c r="F167" s="43">
        <f t="shared" ca="1" si="13"/>
        <v>0.10488951260420845</v>
      </c>
      <c r="G167" s="42">
        <f t="shared" ca="1" si="1"/>
        <v>210845336762188.78</v>
      </c>
      <c r="H167" s="41">
        <f t="shared" ca="1" si="14"/>
        <v>5173.4421038415448</v>
      </c>
      <c r="I167" s="3"/>
      <c r="J167" s="43">
        <f t="shared" ca="1" si="18"/>
        <v>-0.34333553706960307</v>
      </c>
      <c r="K167" s="44">
        <f t="shared" ca="1" si="10"/>
        <v>-2</v>
      </c>
      <c r="L167" s="3"/>
      <c r="M167" s="45">
        <f t="shared" ca="1" si="2"/>
        <v>4088.1624623254843</v>
      </c>
      <c r="N167" s="47">
        <f t="shared" ca="1" si="3"/>
        <v>6258.721745357605</v>
      </c>
      <c r="O167" s="45">
        <f t="shared" ca="1" si="4"/>
        <v>3545.5226415674533</v>
      </c>
      <c r="P167" s="47">
        <f t="shared" ca="1" si="5"/>
        <v>6801.3615661156355</v>
      </c>
      <c r="Q167" s="45">
        <f t="shared" ca="1" si="6"/>
        <v>3002.8828208094233</v>
      </c>
      <c r="R167" s="47">
        <f t="shared" ca="1" si="7"/>
        <v>7344.001386873666</v>
      </c>
      <c r="S167" s="73">
        <f t="shared" ca="1" si="19"/>
        <v>-0.34333553706960307</v>
      </c>
      <c r="T167" s="73"/>
      <c r="U167" s="3"/>
      <c r="V167" s="3"/>
      <c r="W167" s="3"/>
      <c r="X167" s="3"/>
    </row>
    <row r="168" spans="1:24" ht="14" thickBot="1">
      <c r="A168" s="40">
        <v>43059</v>
      </c>
      <c r="B168" s="41">
        <f t="array" aca="1" ref="B168" ca="1">IF(AND(A168 &gt; TODAY(), A168 &lt;= TODAY() + 7),
   INDEX(calculations!B:B, MATCH(143^143, calculations!B:B)),
   IF(ISNUMBER(MATCH(A168, calculations!A:A, 0)),
      INDEX(calculations!B:B, MATCH(A168, calculations!A:A, 0)),
      ""
   )
)</f>
        <v>8269.8700000000008</v>
      </c>
      <c r="C168" s="42">
        <f t="array" aca="1" ref="C168" ca="1">IF(B168&lt;&gt;"", IF(MATCH(A168, calculations!A:A, 0), INDEX(calculations!D:D, MATCH(A168, calculations!A:A, 0)), "No Match"),"")</f>
        <v>30253229824</v>
      </c>
      <c r="D168" s="43">
        <f t="shared" ca="1" si="8"/>
        <v>0.26849197401621316</v>
      </c>
      <c r="E168" s="43">
        <f t="shared" ca="1" si="0"/>
        <v>6.5404098771648683E-2</v>
      </c>
      <c r="F168" s="43">
        <f t="shared" ca="1" si="13"/>
        <v>0.10483505373467866</v>
      </c>
      <c r="G168" s="42">
        <f t="shared" ca="1" si="1"/>
        <v>250190277724602.91</v>
      </c>
      <c r="H168" s="41">
        <f t="shared" ca="1" si="14"/>
        <v>5622.9657423556791</v>
      </c>
      <c r="I168" s="3"/>
      <c r="J168" s="43">
        <f t="shared" ca="1" si="18"/>
        <v>-1.2838795649659163</v>
      </c>
      <c r="K168" s="44">
        <f t="shared" ca="1" si="10"/>
        <v>-4</v>
      </c>
      <c r="L168" s="3"/>
      <c r="M168" s="45">
        <f t="shared" ca="1" si="2"/>
        <v>4443.9979108594489</v>
      </c>
      <c r="N168" s="47">
        <f t="shared" ca="1" si="3"/>
        <v>6801.9335738519094</v>
      </c>
      <c r="O168" s="45">
        <f t="shared" ca="1" si="4"/>
        <v>3854.5139951113347</v>
      </c>
      <c r="P168" s="47">
        <f t="shared" ca="1" si="5"/>
        <v>7391.4174896000231</v>
      </c>
      <c r="Q168" s="45">
        <f t="shared" ca="1" si="6"/>
        <v>3265.0300793632196</v>
      </c>
      <c r="R168" s="47">
        <f t="shared" ca="1" si="7"/>
        <v>7980.9014053481387</v>
      </c>
      <c r="S168" s="73">
        <f t="shared" ca="1" si="19"/>
        <v>-1.2838795649659163</v>
      </c>
      <c r="T168" s="73"/>
      <c r="U168" s="3"/>
      <c r="V168" s="3"/>
      <c r="W168" s="3"/>
      <c r="X168" s="3"/>
    </row>
    <row r="169" spans="1:24" ht="14" thickBot="1">
      <c r="A169" s="40">
        <v>43066</v>
      </c>
      <c r="B169" s="41">
        <f t="array" aca="1" ref="B169" ca="1">IF(AND(A169 &gt; TODAY(), A169 &lt;= TODAY() + 7),
   INDEX(calculations!B:B, MATCH(143^143, calculations!B:B)),
   IF(ISNUMBER(MATCH(A169, calculations!A:A, 0)),
      INDEX(calculations!B:B, MATCH(A169, calculations!A:A, 0)),
      ""
   )
)</f>
        <v>9730.73</v>
      </c>
      <c r="C169" s="42">
        <f t="array" aca="1" ref="C169" ca="1">IF(B169&lt;&gt;"", IF(MATCH(A169, calculations!A:A, 0), INDEX(calculations!D:D, MATCH(A169, calculations!A:A, 0)), "No Match"),"")</f>
        <v>30501020160</v>
      </c>
      <c r="D169" s="43">
        <f t="shared" ca="1" si="8"/>
        <v>0.17664848419624476</v>
      </c>
      <c r="E169" s="43">
        <f t="shared" ca="1" si="0"/>
        <v>2.6862803804261103E-2</v>
      </c>
      <c r="F169" s="43">
        <f t="shared" ca="1" si="13"/>
        <v>0.10313069113226714</v>
      </c>
      <c r="G169" s="42">
        <f t="shared" ca="1" si="1"/>
        <v>296797191901516.81</v>
      </c>
      <c r="H169" s="41">
        <f t="shared" ca="1" si="14"/>
        <v>6253.7295078745819</v>
      </c>
      <c r="I169" s="3"/>
      <c r="J169" s="43">
        <f t="shared" ca="1" si="18"/>
        <v>-0.91480124308363109</v>
      </c>
      <c r="K169" s="44">
        <f t="shared" ca="1" si="10"/>
        <v>-4</v>
      </c>
      <c r="L169" s="3"/>
      <c r="M169" s="45">
        <f t="shared" ca="1" si="2"/>
        <v>4963.8266152718652</v>
      </c>
      <c r="N169" s="47">
        <f t="shared" ca="1" si="3"/>
        <v>7543.6324004772987</v>
      </c>
      <c r="O169" s="45">
        <f t="shared" ca="1" si="4"/>
        <v>4318.8751689705068</v>
      </c>
      <c r="P169" s="47">
        <f t="shared" ca="1" si="5"/>
        <v>8188.5838467786571</v>
      </c>
      <c r="Q169" s="45">
        <f t="shared" ca="1" si="6"/>
        <v>3673.923722669148</v>
      </c>
      <c r="R169" s="47">
        <f t="shared" ca="1" si="7"/>
        <v>8833.5352930800163</v>
      </c>
      <c r="S169" s="73">
        <f t="shared" ca="1" si="19"/>
        <v>-0.91480124308363109</v>
      </c>
      <c r="T169" s="73"/>
      <c r="U169" s="3"/>
      <c r="V169" s="3"/>
      <c r="W169" s="3"/>
      <c r="X169" s="3"/>
    </row>
    <row r="170" spans="1:24" ht="14" thickBot="1">
      <c r="A170" s="40">
        <v>43073</v>
      </c>
      <c r="B170" s="41">
        <f t="array" aca="1" ref="B170" ca="1">IF(AND(A170 &gt; TODAY(), A170 &lt;= TODAY() + 7),
   INDEX(calculations!B:B, MATCH(143^143, calculations!B:B)),
   IF(ISNUMBER(MATCH(A170, calculations!A:A, 0)),
      INDEX(calculations!B:B, MATCH(A170, calculations!A:A, 0)),
      ""
   )
)</f>
        <v>11562.13</v>
      </c>
      <c r="C170" s="42">
        <f t="array" aca="1" ref="C170" ca="1">IF(B170&lt;&gt;"", IF(MATCH(A170, calculations!A:A, 0), INDEX(calculations!D:D, MATCH(A170, calculations!A:A, 0)), "No Match"),"")</f>
        <v>50411559424</v>
      </c>
      <c r="D170" s="43">
        <f t="shared" ca="1" si="8"/>
        <v>0.18820787340723663</v>
      </c>
      <c r="E170" s="43">
        <f t="shared" ca="1" si="0"/>
        <v>3.0785562418645784E-2</v>
      </c>
      <c r="F170" s="43">
        <f t="shared" ca="1" si="13"/>
        <v>0.10773050971211649</v>
      </c>
      <c r="G170" s="42">
        <f t="shared" ca="1" si="1"/>
        <v>582865003563013.12</v>
      </c>
      <c r="H170" s="41">
        <f t="shared" ca="1" si="14"/>
        <v>7309.9529306459017</v>
      </c>
      <c r="I170" s="3"/>
      <c r="J170" s="43">
        <f t="shared" ca="1" si="18"/>
        <v>-0.96563861850744792</v>
      </c>
      <c r="K170" s="44">
        <f t="shared" ca="1" si="10"/>
        <v>-4</v>
      </c>
      <c r="L170" s="3"/>
      <c r="M170" s="45">
        <f t="shared" ca="1" si="2"/>
        <v>5734.9430202657759</v>
      </c>
      <c r="N170" s="47">
        <f t="shared" ca="1" si="3"/>
        <v>8884.9628410260266</v>
      </c>
      <c r="O170" s="45">
        <f t="shared" ca="1" si="4"/>
        <v>4947.4380650757139</v>
      </c>
      <c r="P170" s="47">
        <f t="shared" ca="1" si="5"/>
        <v>9672.4677962160895</v>
      </c>
      <c r="Q170" s="45">
        <f t="shared" ca="1" si="6"/>
        <v>4159.9331098856501</v>
      </c>
      <c r="R170" s="47">
        <f t="shared" ca="1" si="7"/>
        <v>10459.972751406152</v>
      </c>
      <c r="S170" s="73">
        <f t="shared" ca="1" si="19"/>
        <v>-0.96563861850744792</v>
      </c>
      <c r="T170" s="73"/>
      <c r="U170" s="3"/>
      <c r="V170" s="3"/>
      <c r="W170" s="3"/>
      <c r="X170" s="3"/>
    </row>
    <row r="171" spans="1:24" ht="14" thickBot="1">
      <c r="A171" s="40">
        <v>43080</v>
      </c>
      <c r="B171" s="41">
        <f t="array" aca="1" ref="B171" ca="1">IF(AND(A171 &gt; TODAY(), A171 &lt;= TODAY() + 7),
   INDEX(calculations!B:B, MATCH(143^143, calculations!B:B)),
   IF(ISNUMBER(MATCH(A171, calculations!A:A, 0)),
      INDEX(calculations!B:B, MATCH(A171, calculations!A:A, 0)),
      ""
   )
)</f>
        <v>16873.5</v>
      </c>
      <c r="C171" s="42">
        <f t="array" aca="1" ref="C171" ca="1">IF(B171&lt;&gt;"", IF(MATCH(A171, calculations!A:A, 0), INDEX(calculations!D:D, MATCH(A171, calculations!A:A, 0)), "No Match"),"")</f>
        <v>92115268608</v>
      </c>
      <c r="D171" s="43">
        <f t="shared" ca="1" si="8"/>
        <v>0.45937642977548265</v>
      </c>
      <c r="E171" s="43">
        <f t="shared" ca="1" si="0"/>
        <v>0.19947541488518913</v>
      </c>
      <c r="F171" s="43">
        <f t="shared" ca="1" si="13"/>
        <v>0.14572441280743867</v>
      </c>
      <c r="G171" s="42">
        <f t="shared" ca="1" si="1"/>
        <v>1554306984857088</v>
      </c>
      <c r="H171" s="41">
        <f t="shared" ca="1" si="14"/>
        <v>9899.6491215514961</v>
      </c>
      <c r="I171" s="3"/>
      <c r="J171" s="43">
        <f t="shared" ca="1" si="18"/>
        <v>-2.0883067470757544</v>
      </c>
      <c r="K171" s="44">
        <f t="shared" ca="1" si="10"/>
        <v>-4</v>
      </c>
      <c r="L171" s="3"/>
      <c r="M171" s="45">
        <f t="shared" ca="1" si="2"/>
        <v>7014.4080110759614</v>
      </c>
      <c r="N171" s="47">
        <f t="shared" ca="1" si="3"/>
        <v>12784.890232027032</v>
      </c>
      <c r="O171" s="45">
        <f t="shared" ca="1" si="4"/>
        <v>5571.7874558381927</v>
      </c>
      <c r="P171" s="47">
        <f t="shared" ca="1" si="5"/>
        <v>14227.5107872648</v>
      </c>
      <c r="Q171" s="45">
        <f t="shared" ca="1" si="6"/>
        <v>4129.1669006004249</v>
      </c>
      <c r="R171" s="47">
        <f t="shared" ca="1" si="7"/>
        <v>15670.131342502566</v>
      </c>
      <c r="S171" s="73">
        <f t="shared" ca="1" si="19"/>
        <v>-2.0883067470757544</v>
      </c>
      <c r="T171" s="73"/>
      <c r="U171" s="3"/>
      <c r="V171" s="3"/>
      <c r="W171" s="3"/>
      <c r="X171" s="3"/>
    </row>
    <row r="172" spans="1:24" ht="14" thickBot="1">
      <c r="A172" s="40">
        <v>43087</v>
      </c>
      <c r="B172" s="41">
        <f t="array" aca="1" ref="B172" ca="1">IF(AND(A172 &gt; TODAY(), A172 &lt;= TODAY() + 7),
   INDEX(calculations!B:B, MATCH(143^143, calculations!B:B)),
   IF(ISNUMBER(MATCH(A172, calculations!A:A, 0)),
      INDEX(calculations!B:B, MATCH(A172, calculations!A:A, 0)),
      ""
   )
)</f>
        <v>18982.03</v>
      </c>
      <c r="C172" s="42">
        <f t="array" aca="1" ref="C172" ca="1">IF(B172&lt;&gt;"", IF(MATCH(A172, calculations!A:A, 0), INDEX(calculations!D:D, MATCH(A172, calculations!A:A, 0)), "No Match"),"")</f>
        <v>93877198848</v>
      </c>
      <c r="D172" s="43">
        <f t="shared" ca="1" si="8"/>
        <v>0.1249610335733546</v>
      </c>
      <c r="E172" s="43">
        <f t="shared" ca="1" si="0"/>
        <v>1.2591378140211594E-2</v>
      </c>
      <c r="F172" s="43">
        <f t="shared" ca="1" si="13"/>
        <v>0.13947564425395326</v>
      </c>
      <c r="G172" s="42">
        <f t="shared" ca="1" si="1"/>
        <v>1781979804848701.2</v>
      </c>
      <c r="H172" s="41">
        <f t="shared" ca="1" si="14"/>
        <v>12055.771654038308</v>
      </c>
      <c r="I172" s="3"/>
      <c r="J172" s="43">
        <f t="shared" ca="1" si="18"/>
        <v>-0.74439639371375654</v>
      </c>
      <c r="K172" s="44">
        <f t="shared" ca="1" si="10"/>
        <v>-4</v>
      </c>
      <c r="L172" s="3"/>
      <c r="M172" s="45">
        <f t="shared" ca="1" si="2"/>
        <v>8692.7986171872271</v>
      </c>
      <c r="N172" s="47">
        <f t="shared" ca="1" si="3"/>
        <v>15418.744690889391</v>
      </c>
      <c r="O172" s="45">
        <f t="shared" ca="1" si="4"/>
        <v>7011.3120987616867</v>
      </c>
      <c r="P172" s="47">
        <f t="shared" ca="1" si="5"/>
        <v>17100.23120931493</v>
      </c>
      <c r="Q172" s="45">
        <f t="shared" ca="1" si="6"/>
        <v>5329.8255803361453</v>
      </c>
      <c r="R172" s="47">
        <f t="shared" ca="1" si="7"/>
        <v>18781.71772774047</v>
      </c>
      <c r="S172" s="73">
        <f t="shared" ca="1" si="19"/>
        <v>-0.74439639371375654</v>
      </c>
      <c r="T172" s="73"/>
      <c r="U172" s="3"/>
      <c r="V172" s="3"/>
      <c r="W172" s="3"/>
      <c r="X172" s="3"/>
    </row>
    <row r="173" spans="1:24" ht="14" thickBot="1">
      <c r="A173" s="40">
        <v>43094</v>
      </c>
      <c r="B173" s="41">
        <f t="array" aca="1" ref="B173" ca="1">IF(AND(A173 &gt; TODAY(), A173 &lt;= TODAY() + 7),
   INDEX(calculations!B:B, MATCH(143^143, calculations!B:B)),
   IF(ISNUMBER(MATCH(A173, calculations!A:A, 0)),
      INDEX(calculations!B:B, MATCH(A173, calculations!A:A, 0)),
      ""
   )
)</f>
        <v>14080.94</v>
      </c>
      <c r="C173" s="42">
        <f t="array" aca="1" ref="C173" ca="1">IF(B173&lt;&gt;"", IF(MATCH(A173, calculations!A:A, 0), INDEX(calculations!D:D, MATCH(A173, calculations!A:A, 0)), "No Match"),"")</f>
        <v>117256598528</v>
      </c>
      <c r="D173" s="43">
        <f t="shared" ca="1" si="8"/>
        <v>-0.25819630461020232</v>
      </c>
      <c r="E173" s="43">
        <f t="shared" ca="1" si="0"/>
        <v>7.3411750071830262E-2</v>
      </c>
      <c r="F173" s="43">
        <f t="shared" ca="1" si="13"/>
        <v>0.16868135486957667</v>
      </c>
      <c r="G173" s="42">
        <f t="shared" ca="1" si="1"/>
        <v>1651083128476856.5</v>
      </c>
      <c r="H173" s="41">
        <f t="shared" ca="1" si="14"/>
        <v>12727.941811102344</v>
      </c>
      <c r="I173" s="3"/>
      <c r="J173" s="43">
        <f t="shared" ca="1" si="18"/>
        <v>1</v>
      </c>
      <c r="K173" s="44" t="str">
        <f t="shared" ca="1" si="10"/>
        <v/>
      </c>
      <c r="L173" s="3"/>
      <c r="M173" s="45">
        <f t="shared" ca="1" si="2"/>
        <v>8434.0088723065892</v>
      </c>
      <c r="N173" s="47">
        <f t="shared" ca="1" si="3"/>
        <v>17021.874749898099</v>
      </c>
      <c r="O173" s="45">
        <f t="shared" ca="1" si="4"/>
        <v>6287.0424029087144</v>
      </c>
      <c r="P173" s="47">
        <f t="shared" ca="1" si="5"/>
        <v>19168.841219295977</v>
      </c>
      <c r="Q173" s="45">
        <f t="shared" ca="1" si="6"/>
        <v>4140.0759335108369</v>
      </c>
      <c r="R173" s="47">
        <f t="shared" ca="1" si="7"/>
        <v>21315.807688693854</v>
      </c>
      <c r="S173" s="73">
        <f t="shared" ca="1" si="19"/>
        <v>1</v>
      </c>
      <c r="T173" s="73"/>
      <c r="U173" s="3"/>
      <c r="V173" s="3"/>
      <c r="W173" s="3"/>
      <c r="X173" s="3"/>
    </row>
    <row r="174" spans="1:24" ht="14" thickBot="1">
      <c r="A174" s="40">
        <v>43101</v>
      </c>
      <c r="B174" s="41">
        <f t="array" aca="1" ref="B174" ca="1">IF(AND(A174 &gt; TODAY(), A174 &lt;= TODAY() + 7),
   INDEX(calculations!B:B, MATCH(143^143, calculations!B:B)),
   IF(ISNUMBER(MATCH(A174, calculations!A:A, 0)),
      INDEX(calculations!B:B, MATCH(A174, calculations!A:A, 0)),
      ""
   )
)</f>
        <v>13464.65</v>
      </c>
      <c r="C174" s="42">
        <f t="array" aca="1" ref="C174" ca="1">IF(B174&lt;&gt;"", IF(MATCH(A174, calculations!A:A, 0), INDEX(calculations!D:D, MATCH(A174, calculations!A:A, 0)), "No Match"),"")</f>
        <v>88557499392</v>
      </c>
      <c r="D174" s="43">
        <f t="shared" ca="1" si="8"/>
        <v>-4.3767674601269575E-2</v>
      </c>
      <c r="E174" s="43">
        <f t="shared" ca="1" si="0"/>
        <v>3.1942162721040526E-3</v>
      </c>
      <c r="F174" s="43">
        <f t="shared" ca="1" si="13"/>
        <v>0.16895796583060721</v>
      </c>
      <c r="G174" s="42">
        <f t="shared" ca="1" si="1"/>
        <v>1192395734188492.8</v>
      </c>
      <c r="H174" s="41">
        <f t="shared" ca="1" si="14"/>
        <v>12962.333631439835</v>
      </c>
      <c r="I174" s="3"/>
      <c r="J174" s="43">
        <f t="shared" ca="1" si="18"/>
        <v>1</v>
      </c>
      <c r="K174" s="44" t="str">
        <f t="shared" ca="1" si="10"/>
        <v/>
      </c>
      <c r="L174" s="3"/>
      <c r="M174" s="45">
        <f t="shared" ca="1" si="2"/>
        <v>8582.1545858683512</v>
      </c>
      <c r="N174" s="47">
        <f t="shared" ca="1" si="3"/>
        <v>17342.51267701132</v>
      </c>
      <c r="O174" s="45">
        <f t="shared" ca="1" si="4"/>
        <v>6392.0650630826076</v>
      </c>
      <c r="P174" s="47">
        <f t="shared" ca="1" si="5"/>
        <v>19532.60219979706</v>
      </c>
      <c r="Q174" s="45">
        <f t="shared" ca="1" si="6"/>
        <v>4201.9755402968658</v>
      </c>
      <c r="R174" s="47">
        <f t="shared" ca="1" si="7"/>
        <v>21722.691722582804</v>
      </c>
      <c r="S174" s="73">
        <f t="shared" ca="1" si="19"/>
        <v>1</v>
      </c>
      <c r="T174" s="73"/>
      <c r="U174" s="3"/>
      <c r="V174" s="3"/>
      <c r="W174" s="3"/>
      <c r="X174" s="3"/>
    </row>
    <row r="175" spans="1:24" ht="14" thickBot="1">
      <c r="A175" s="40">
        <v>43108</v>
      </c>
      <c r="B175" s="41">
        <f t="array" aca="1" ref="B175" ca="1">IF(AND(A175 &gt; TODAY(), A175 &lt;= TODAY() + 7),
   INDEX(calculations!B:B, MATCH(143^143, calculations!B:B)),
   IF(ISNUMBER(MATCH(A175, calculations!A:A, 0)),
      INDEX(calculations!B:B, MATCH(A175, calculations!A:A, 0)),
      ""
   )
)</f>
        <v>14937.42</v>
      </c>
      <c r="C175" s="42">
        <f t="array" aca="1" ref="C175" ca="1">IF(B175&lt;&gt;"", IF(MATCH(A175, calculations!A:A, 0), INDEX(calculations!D:D, MATCH(A175, calculations!A:A, 0)), "No Match"),"")</f>
        <v>123814400000</v>
      </c>
      <c r="D175" s="43">
        <f t="shared" ca="1" si="8"/>
        <v>0.10938048890984915</v>
      </c>
      <c r="E175" s="43">
        <f t="shared" ca="1" si="0"/>
        <v>9.3375048511063399E-3</v>
      </c>
      <c r="F175" s="43">
        <f t="shared" ca="1" si="13"/>
        <v>0.16891178293351519</v>
      </c>
      <c r="G175" s="42">
        <f t="shared" ca="1" si="1"/>
        <v>1849467694848000</v>
      </c>
      <c r="H175" s="41">
        <f t="shared" ca="1" si="14"/>
        <v>13409.064631139012</v>
      </c>
      <c r="I175" s="3"/>
      <c r="J175" s="43">
        <f t="shared" ca="1" si="18"/>
        <v>1</v>
      </c>
      <c r="K175" s="44" t="str">
        <f t="shared" ca="1" si="10"/>
        <v/>
      </c>
      <c r="L175" s="3"/>
      <c r="M175" s="45">
        <f t="shared" ca="1" si="2"/>
        <v>8879.166602506155</v>
      </c>
      <c r="N175" s="47">
        <f t="shared" ca="1" si="3"/>
        <v>17938.962659771867</v>
      </c>
      <c r="O175" s="45">
        <f t="shared" ca="1" si="4"/>
        <v>6614.2175881897256</v>
      </c>
      <c r="P175" s="47">
        <f t="shared" ca="1" si="5"/>
        <v>20203.9116740883</v>
      </c>
      <c r="Q175" s="45">
        <f t="shared" ca="1" si="6"/>
        <v>4349.2685738732971</v>
      </c>
      <c r="R175" s="47">
        <f t="shared" ca="1" si="7"/>
        <v>22468.860688404726</v>
      </c>
      <c r="S175" s="73">
        <f t="shared" ca="1" si="19"/>
        <v>1</v>
      </c>
      <c r="T175" s="73"/>
      <c r="U175" s="3"/>
      <c r="V175" s="3"/>
      <c r="W175" s="3"/>
      <c r="X175" s="3"/>
    </row>
    <row r="176" spans="1:24" ht="14" thickBot="1">
      <c r="A176" s="40">
        <v>43115</v>
      </c>
      <c r="B176" s="41">
        <f t="array" aca="1" ref="B176" ca="1">IF(AND(A176 &gt; TODAY(), A176 &lt;= TODAY() + 7),
   INDEX(calculations!B:B, MATCH(143^143, calculations!B:B)),
   IF(ISNUMBER(MATCH(A176, calculations!A:A, 0)),
      INDEX(calculations!B:B, MATCH(A176, calculations!A:A, 0)),
      ""
   )
)</f>
        <v>13591.7</v>
      </c>
      <c r="C176" s="42">
        <f t="array" aca="1" ref="C176" ca="1">IF(B176&lt;&gt;"", IF(MATCH(A176, calculations!A:A, 0), INDEX(calculations!D:D, MATCH(A176, calculations!A:A, 0)), "No Match"),"")</f>
        <v>106022199296</v>
      </c>
      <c r="D176" s="43">
        <f t="shared" ca="1" si="8"/>
        <v>-9.0090524334188862E-2</v>
      </c>
      <c r="E176" s="43">
        <f t="shared" ca="1" si="0"/>
        <v>1.0576116545422787E-2</v>
      </c>
      <c r="F176" s="43">
        <f t="shared" ca="1" si="13"/>
        <v>0.17673558142453352</v>
      </c>
      <c r="G176" s="42">
        <f t="shared" ca="1" si="1"/>
        <v>1441021926171443.2</v>
      </c>
      <c r="H176" s="41">
        <f t="shared" ca="1" si="14"/>
        <v>13518.671839571394</v>
      </c>
      <c r="I176" s="3"/>
      <c r="J176" s="43">
        <f t="shared" ca="1" si="18"/>
        <v>1</v>
      </c>
      <c r="K176" s="44" t="str">
        <f t="shared" ca="1" si="10"/>
        <v/>
      </c>
      <c r="L176" s="3"/>
      <c r="M176" s="45">
        <f t="shared" ca="1" si="2"/>
        <v>8740.2111842631584</v>
      </c>
      <c r="N176" s="47">
        <f t="shared" ca="1" si="3"/>
        <v>18297.132494879632</v>
      </c>
      <c r="O176" s="45">
        <f t="shared" ca="1" si="4"/>
        <v>6350.9808566090387</v>
      </c>
      <c r="P176" s="47">
        <f t="shared" ca="1" si="5"/>
        <v>20686.362822533752</v>
      </c>
      <c r="Q176" s="45">
        <f t="shared" ca="1" si="6"/>
        <v>3961.7505289549204</v>
      </c>
      <c r="R176" s="47">
        <f t="shared" ca="1" si="7"/>
        <v>23075.593150187866</v>
      </c>
      <c r="S176" s="73">
        <f t="shared" ca="1" si="19"/>
        <v>1</v>
      </c>
      <c r="T176" s="73"/>
      <c r="U176" s="3"/>
      <c r="V176" s="3"/>
      <c r="W176" s="3"/>
      <c r="X176" s="3"/>
    </row>
    <row r="177" spans="1:24" ht="14" thickBot="1">
      <c r="A177" s="40">
        <v>43122</v>
      </c>
      <c r="B177" s="41">
        <f t="array" aca="1" ref="B177" ca="1">IF(AND(A177 &gt; TODAY(), A177 &lt;= TODAY() + 7),
   INDEX(calculations!B:B, MATCH(143^143, calculations!B:B)),
   IF(ISNUMBER(MATCH(A177, calculations!A:A, 0)),
      INDEX(calculations!B:B, MATCH(A177, calculations!A:A, 0)),
      ""
   )
)</f>
        <v>10737.35</v>
      </c>
      <c r="C177" s="42">
        <f t="array" aca="1" ref="C177" ca="1">IF(B177&lt;&gt;"", IF(MATCH(A177, calculations!A:A, 0), INDEX(calculations!D:D, MATCH(A177, calculations!A:A, 0)), "No Match"),"")</f>
        <v>97932879872</v>
      </c>
      <c r="D177" s="43">
        <f t="shared" ca="1" si="8"/>
        <v>-0.21000684241117742</v>
      </c>
      <c r="E177" s="43">
        <f t="shared" ca="1" si="0"/>
        <v>4.9620487593347251E-2</v>
      </c>
      <c r="F177" s="43">
        <f t="shared" ca="1" si="13"/>
        <v>0.19046186778095764</v>
      </c>
      <c r="G177" s="42">
        <f t="shared" ca="1" si="1"/>
        <v>1051539607693619.2</v>
      </c>
      <c r="H177" s="41">
        <f t="shared" ca="1" si="14"/>
        <v>13346.41721239053</v>
      </c>
      <c r="I177" s="3"/>
      <c r="J177" s="43">
        <f t="shared" ca="1" si="18"/>
        <v>1</v>
      </c>
      <c r="K177" s="44" t="str">
        <f t="shared" ca="1" si="10"/>
        <v/>
      </c>
      <c r="L177" s="3"/>
      <c r="M177" s="45">
        <f t="shared" ca="1" si="2"/>
        <v>8262.4501114788854</v>
      </c>
      <c r="N177" s="47">
        <f t="shared" ca="1" si="3"/>
        <v>18430.384313302176</v>
      </c>
      <c r="O177" s="45">
        <f t="shared" ca="1" si="4"/>
        <v>5720.4665610230632</v>
      </c>
      <c r="P177" s="47">
        <f t="shared" ca="1" si="5"/>
        <v>20972.367863757994</v>
      </c>
      <c r="Q177" s="45">
        <f t="shared" ca="1" si="6"/>
        <v>3178.4830105672404</v>
      </c>
      <c r="R177" s="47">
        <f t="shared" ca="1" si="7"/>
        <v>23514.351414213819</v>
      </c>
      <c r="S177" s="73">
        <f t="shared" ca="1" si="19"/>
        <v>1</v>
      </c>
      <c r="T177" s="73"/>
      <c r="U177" s="3"/>
      <c r="V177" s="3"/>
      <c r="W177" s="3"/>
      <c r="X177" s="3"/>
    </row>
    <row r="178" spans="1:24" ht="14" thickBot="1">
      <c r="A178" s="40">
        <v>43129</v>
      </c>
      <c r="B178" s="41">
        <f t="array" aca="1" ref="B178" ca="1">IF(AND(A178 &gt; TODAY(), A178 &lt;= TODAY() + 7),
   INDEX(calculations!B:B, MATCH(143^143, calculations!B:B)),
   IF(ISNUMBER(MATCH(A178, calculations!A:A, 0)),
      INDEX(calculations!B:B, MATCH(A178, calculations!A:A, 0)),
      ""
   )
)</f>
        <v>11132.55</v>
      </c>
      <c r="C178" s="42">
        <f t="array" aca="1" ref="C178" ca="1">IF(B178&lt;&gt;"", IF(MATCH(A178, calculations!A:A, 0), INDEX(calculations!D:D, MATCH(A178, calculations!A:A, 0)), "No Match"),"")</f>
        <v>64691999232</v>
      </c>
      <c r="D178" s="43">
        <f t="shared" ca="1" si="8"/>
        <v>3.6806102064289505E-2</v>
      </c>
      <c r="E178" s="43">
        <f t="shared" ca="1" si="0"/>
        <v>5.7870935645292605E-4</v>
      </c>
      <c r="F178" s="43">
        <f t="shared" ca="1" si="13"/>
        <v>0.19028163309562932</v>
      </c>
      <c r="G178" s="42">
        <f t="shared" ca="1" si="1"/>
        <v>720186916050201.5</v>
      </c>
      <c r="H178" s="41">
        <f t="shared" ca="1" si="14"/>
        <v>13310.796554915585</v>
      </c>
      <c r="I178" s="3"/>
      <c r="J178" s="43">
        <f t="shared" ca="1" si="18"/>
        <v>1</v>
      </c>
      <c r="K178" s="44" t="str">
        <f t="shared" ca="1" si="10"/>
        <v/>
      </c>
      <c r="L178" s="3"/>
      <c r="M178" s="45">
        <f t="shared" ca="1" si="2"/>
        <v>8245.1963423695579</v>
      </c>
      <c r="N178" s="47">
        <f t="shared" ca="1" si="3"/>
        <v>18376.396767461614</v>
      </c>
      <c r="O178" s="45">
        <f t="shared" ca="1" si="4"/>
        <v>5712.3962360965425</v>
      </c>
      <c r="P178" s="47">
        <f t="shared" ca="1" si="5"/>
        <v>20909.196873734629</v>
      </c>
      <c r="Q178" s="45">
        <f t="shared" ca="1" si="6"/>
        <v>3179.5961298235288</v>
      </c>
      <c r="R178" s="47">
        <f t="shared" ca="1" si="7"/>
        <v>23441.99698000764</v>
      </c>
      <c r="S178" s="73">
        <f t="shared" ca="1" si="19"/>
        <v>1</v>
      </c>
      <c r="T178" s="73"/>
      <c r="U178" s="3"/>
      <c r="V178" s="3"/>
      <c r="W178" s="3"/>
      <c r="X178" s="3"/>
    </row>
    <row r="179" spans="1:24" ht="14" thickBot="1">
      <c r="A179" s="40">
        <v>43136</v>
      </c>
      <c r="B179" s="41">
        <f t="array" aca="1" ref="B179" ca="1">IF(AND(A179 &gt; TODAY(), A179 &lt;= TODAY() + 7),
   INDEX(calculations!B:B, MATCH(143^143, calculations!B:B)),
   IF(ISNUMBER(MATCH(A179, calculations!A:A, 0)),
      INDEX(calculations!B:B, MATCH(A179, calculations!A:A, 0)),
      ""
   )
)</f>
        <v>6849.54</v>
      </c>
      <c r="C179" s="42">
        <f t="array" aca="1" ref="C179" ca="1">IF(B179&lt;&gt;"", IF(MATCH(A179, calculations!A:A, 0), INDEX(calculations!D:D, MATCH(A179, calculations!A:A, 0)), "No Match"),"")</f>
        <v>60810019840</v>
      </c>
      <c r="D179" s="43">
        <f t="shared" ca="1" si="8"/>
        <v>-0.38472856623145635</v>
      </c>
      <c r="E179" s="43">
        <f t="shared" ca="1" si="0"/>
        <v>0.15798899069508351</v>
      </c>
      <c r="F179" s="43">
        <f t="shared" ca="1" si="13"/>
        <v>0.22487240350722346</v>
      </c>
      <c r="G179" s="42">
        <f t="shared" ca="1" si="1"/>
        <v>416520663294873.62</v>
      </c>
      <c r="H179" s="41">
        <f t="shared" ca="1" si="14"/>
        <v>13028.018601326405</v>
      </c>
      <c r="I179" s="3"/>
      <c r="J179" s="43">
        <f t="shared" ca="1" si="18"/>
        <v>3.0994061511365212</v>
      </c>
      <c r="K179" s="44">
        <f t="shared" ca="1" si="10"/>
        <v>2</v>
      </c>
      <c r="L179" s="3"/>
      <c r="M179" s="45">
        <f t="shared" ca="1" si="2"/>
        <v>7168.7348896922358</v>
      </c>
      <c r="N179" s="47">
        <f t="shared" ca="1" si="3"/>
        <v>18887.302312960575</v>
      </c>
      <c r="O179" s="45">
        <f t="shared" ca="1" si="4"/>
        <v>4239.0930338751523</v>
      </c>
      <c r="P179" s="47">
        <f t="shared" ca="1" si="5"/>
        <v>21816.944168777656</v>
      </c>
      <c r="Q179" s="45">
        <f t="shared" ca="1" si="6"/>
        <v>1309.4511780580679</v>
      </c>
      <c r="R179" s="47">
        <f t="shared" ca="1" si="7"/>
        <v>24746.586024594744</v>
      </c>
      <c r="S179" s="73">
        <f t="shared" ca="1" si="19"/>
        <v>3.0994061511365212</v>
      </c>
      <c r="T179" s="73"/>
      <c r="U179" s="3"/>
      <c r="V179" s="3"/>
      <c r="W179" s="3"/>
      <c r="X179" s="3"/>
    </row>
    <row r="180" spans="1:24" ht="14" thickBot="1">
      <c r="A180" s="40">
        <v>43143</v>
      </c>
      <c r="B180" s="41">
        <f t="array" aca="1" ref="B180" ca="1">IF(AND(A180 &gt; TODAY(), A180 &lt;= TODAY() + 7),
   INDEX(calculations!B:B, MATCH(143^143, calculations!B:B)),
   IF(ISNUMBER(MATCH(A180, calculations!A:A, 0)),
      INDEX(calculations!B:B, MATCH(A180, calculations!A:A, 0)),
      ""
   )
)</f>
        <v>8907.67</v>
      </c>
      <c r="C180" s="42">
        <f t="array" aca="1" ref="C180" ca="1">IF(B180&lt;&gt;"", IF(MATCH(A180, calculations!A:A, 0), INDEX(calculations!D:D, MATCH(A180, calculations!A:A, 0)), "No Match"),"")</f>
        <v>62489091072</v>
      </c>
      <c r="D180" s="43">
        <f t="shared" ca="1" si="8"/>
        <v>0.30047711233163105</v>
      </c>
      <c r="E180" s="43">
        <f t="shared" ca="1" si="0"/>
        <v>8.2787050365493567E-2</v>
      </c>
      <c r="F180" s="43">
        <f t="shared" ca="1" si="13"/>
        <v>0.23461428928939801</v>
      </c>
      <c r="G180" s="42">
        <f t="shared" ca="1" si="1"/>
        <v>556632201869322.25</v>
      </c>
      <c r="H180" s="41">
        <f t="shared" ca="1" si="14"/>
        <v>12897.125532958133</v>
      </c>
      <c r="I180" s="3"/>
      <c r="J180" s="43">
        <f t="shared" ca="1" si="18"/>
        <v>1</v>
      </c>
      <c r="K180" s="44" t="str">
        <f t="shared" ca="1" si="10"/>
        <v/>
      </c>
      <c r="L180" s="3"/>
      <c r="M180" s="45">
        <f t="shared" ca="1" si="2"/>
        <v>6845.4256513758919</v>
      </c>
      <c r="N180" s="47">
        <f t="shared" ca="1" si="3"/>
        <v>18948.825414540373</v>
      </c>
      <c r="O180" s="45">
        <f t="shared" ca="1" si="4"/>
        <v>3819.5757105847697</v>
      </c>
      <c r="P180" s="47">
        <f t="shared" ca="1" si="5"/>
        <v>21974.675355331496</v>
      </c>
      <c r="Q180" s="45">
        <f t="shared" ca="1" si="6"/>
        <v>793.72576979364942</v>
      </c>
      <c r="R180" s="47">
        <f t="shared" ca="1" si="7"/>
        <v>25000.525296122614</v>
      </c>
      <c r="S180" s="73">
        <f t="shared" ca="1" si="19"/>
        <v>1</v>
      </c>
      <c r="T180" s="73"/>
      <c r="U180" s="3"/>
      <c r="V180" s="3"/>
      <c r="W180" s="3"/>
      <c r="X180" s="3"/>
    </row>
    <row r="181" spans="1:24" ht="14" thickBot="1">
      <c r="A181" s="40">
        <v>43150</v>
      </c>
      <c r="B181" s="41">
        <f t="array" aca="1" ref="B181" ca="1">IF(AND(A181 &gt; TODAY(), A181 &lt;= TODAY() + 7),
   INDEX(calculations!B:B, MATCH(143^143, calculations!B:B)),
   IF(ISNUMBER(MATCH(A181, calculations!A:A, 0)),
      INDEX(calculations!B:B, MATCH(A181, calculations!A:A, 0)),
      ""
   )
)</f>
        <v>11139.36</v>
      </c>
      <c r="C181" s="42">
        <f t="array" aca="1" ref="C181" ca="1">IF(B181&lt;&gt;"", IF(MATCH(A181, calculations!A:A, 0), INDEX(calculations!D:D, MATCH(A181, calculations!A:A, 0)), "No Match"),"")</f>
        <v>53626569728</v>
      </c>
      <c r="D181" s="43">
        <f t="shared" ca="1" si="8"/>
        <v>0.25053577422603224</v>
      </c>
      <c r="E181" s="43">
        <f t="shared" ca="1" si="0"/>
        <v>5.6542205987340347E-2</v>
      </c>
      <c r="F181" s="43">
        <f t="shared" ca="1" si="13"/>
        <v>0.23842764523284887</v>
      </c>
      <c r="G181" s="42">
        <f t="shared" ca="1" si="1"/>
        <v>597365665765294.12</v>
      </c>
      <c r="H181" s="41">
        <f t="shared" ca="1" si="14"/>
        <v>13001.565577111103</v>
      </c>
      <c r="I181" s="3"/>
      <c r="J181" s="43">
        <f t="shared" ca="1" si="18"/>
        <v>1</v>
      </c>
      <c r="K181" s="44" t="str">
        <f t="shared" ca="1" si="10"/>
        <v/>
      </c>
      <c r="L181" s="3"/>
      <c r="M181" s="45">
        <f t="shared" ca="1" si="2"/>
        <v>6801.7002473289713</v>
      </c>
      <c r="N181" s="47">
        <f t="shared" ca="1" si="3"/>
        <v>19201.430906893234</v>
      </c>
      <c r="O181" s="45">
        <f t="shared" ca="1" si="4"/>
        <v>3701.7675824379048</v>
      </c>
      <c r="P181" s="47">
        <f t="shared" ca="1" si="5"/>
        <v>22301.363571784303</v>
      </c>
      <c r="Q181" s="45">
        <f t="shared" ca="1" si="6"/>
        <v>601.83491754683871</v>
      </c>
      <c r="R181" s="47">
        <f t="shared" ca="1" si="7"/>
        <v>25401.296236675367</v>
      </c>
      <c r="S181" s="73">
        <f t="shared" ca="1" si="19"/>
        <v>1</v>
      </c>
      <c r="T181" s="73"/>
      <c r="U181" s="3"/>
      <c r="V181" s="3"/>
      <c r="W181" s="3"/>
      <c r="X181" s="3"/>
    </row>
    <row r="182" spans="1:24" ht="14" thickBot="1">
      <c r="A182" s="40">
        <v>43157</v>
      </c>
      <c r="B182" s="41">
        <f t="array" aca="1" ref="B182" ca="1">IF(AND(A182 &gt; TODAY(), A182 &lt;= TODAY() + 7),
   INDEX(calculations!B:B, MATCH(143^143, calculations!B:B)),
   IF(ISNUMBER(MATCH(A182, calculations!A:A, 0)),
      INDEX(calculations!B:B, MATCH(A182, calculations!A:A, 0)),
      ""
   )
)</f>
        <v>10312.370000000001</v>
      </c>
      <c r="C182" s="42">
        <f t="array" aca="1" ref="C182" ca="1">IF(B182&lt;&gt;"", IF(MATCH(A182, calculations!A:A, 0), INDEX(calculations!D:D, MATCH(A182, calculations!A:A, 0)), "No Match"),"")</f>
        <v>55388419584</v>
      </c>
      <c r="D182" s="43">
        <f t="shared" ca="1" si="8"/>
        <v>-7.4240351330776611E-2</v>
      </c>
      <c r="E182" s="43">
        <f t="shared" ca="1" si="0"/>
        <v>7.567273094386027E-3</v>
      </c>
      <c r="F182" s="43">
        <f t="shared" ca="1" si="13"/>
        <v>0.23361624181864077</v>
      </c>
      <c r="G182" s="42">
        <f t="shared" ca="1" si="1"/>
        <v>571185876465454.12</v>
      </c>
      <c r="H182" s="41">
        <f t="shared" ca="1" si="14"/>
        <v>12996.279702753569</v>
      </c>
      <c r="I182" s="3"/>
      <c r="J182" s="43">
        <f t="shared" ca="1" si="18"/>
        <v>1</v>
      </c>
      <c r="K182" s="44" t="str">
        <f t="shared" ca="1" si="10"/>
        <v/>
      </c>
      <c r="L182" s="3"/>
      <c r="M182" s="45">
        <f t="shared" ca="1" si="2"/>
        <v>6923.9956591912278</v>
      </c>
      <c r="N182" s="47">
        <f t="shared" ca="1" si="3"/>
        <v>19068.563746315907</v>
      </c>
      <c r="O182" s="45">
        <f t="shared" ca="1" si="4"/>
        <v>3887.8536374100568</v>
      </c>
      <c r="P182" s="47">
        <f t="shared" ca="1" si="5"/>
        <v>22104.705768097083</v>
      </c>
      <c r="Q182" s="45">
        <f t="shared" ca="1" si="6"/>
        <v>851.71161562888688</v>
      </c>
      <c r="R182" s="47">
        <f t="shared" ca="1" si="7"/>
        <v>25140.847789878251</v>
      </c>
      <c r="S182" s="73">
        <f t="shared" ca="1" si="19"/>
        <v>1</v>
      </c>
      <c r="T182" s="73"/>
      <c r="U182" s="3"/>
      <c r="V182" s="3"/>
      <c r="W182" s="3"/>
      <c r="X182" s="3"/>
    </row>
    <row r="183" spans="1:24" ht="14" thickBot="1">
      <c r="A183" s="40">
        <v>43164</v>
      </c>
      <c r="B183" s="41">
        <f t="array" aca="1" ref="B183" ca="1">IF(AND(A183 &gt; TODAY(), A183 &lt;= TODAY() + 7),
   INDEX(calculations!B:B, MATCH(143^143, calculations!B:B)),
   IF(ISNUMBER(MATCH(A183, calculations!A:A, 0)),
      INDEX(calculations!B:B, MATCH(A183, calculations!A:A, 0)),
      ""
   )
)</f>
        <v>11540.66</v>
      </c>
      <c r="C183" s="42">
        <f t="array" aca="1" ref="C183" ca="1">IF(B183&lt;&gt;"", IF(MATCH(A183, calculations!A:A, 0), INDEX(calculations!D:D, MATCH(A183, calculations!A:A, 0)), "No Match"),"")</f>
        <v>48902649856</v>
      </c>
      <c r="D183" s="43">
        <f t="shared" ca="1" si="8"/>
        <v>0.11910841057875143</v>
      </c>
      <c r="E183" s="43">
        <f t="shared" ca="1" si="0"/>
        <v>1.1312170347288507E-2</v>
      </c>
      <c r="F183" s="43">
        <f t="shared" ca="1" si="13"/>
        <v>0.23155867449479647</v>
      </c>
      <c r="G183" s="42">
        <f t="shared" ca="1" si="1"/>
        <v>564368855087145</v>
      </c>
      <c r="H183" s="41">
        <f t="shared" ca="1" si="14"/>
        <v>13021.747065010271</v>
      </c>
      <c r="I183" s="3"/>
      <c r="J183" s="43">
        <f t="shared" ca="1" si="18"/>
        <v>1</v>
      </c>
      <c r="K183" s="44" t="str">
        <f t="shared" ca="1" si="10"/>
        <v/>
      </c>
      <c r="L183" s="3"/>
      <c r="M183" s="45">
        <f t="shared" ca="1" si="2"/>
        <v>6991.1500850497014</v>
      </c>
      <c r="N183" s="47">
        <f t="shared" ca="1" si="3"/>
        <v>19052.344044970843</v>
      </c>
      <c r="O183" s="45">
        <f t="shared" ca="1" si="4"/>
        <v>3975.8515950694173</v>
      </c>
      <c r="P183" s="47">
        <f t="shared" ca="1" si="5"/>
        <v>22067.642534951126</v>
      </c>
      <c r="Q183" s="45">
        <f t="shared" ca="1" si="6"/>
        <v>960.55310508913237</v>
      </c>
      <c r="R183" s="47">
        <f t="shared" ca="1" si="7"/>
        <v>25082.941024931413</v>
      </c>
      <c r="S183" s="73">
        <f t="shared" ca="1" si="19"/>
        <v>1</v>
      </c>
      <c r="T183" s="73"/>
      <c r="U183" s="3"/>
      <c r="V183" s="3"/>
      <c r="W183" s="3"/>
      <c r="X183" s="3"/>
    </row>
    <row r="184" spans="1:24" ht="14" thickBot="1">
      <c r="A184" s="40">
        <v>43171</v>
      </c>
      <c r="B184" s="41">
        <f t="array" aca="1" ref="B184" ca="1">IF(AND(A184 &gt; TODAY(), A184 &lt;= TODAY() + 7),
   INDEX(calculations!B:B, MATCH(143^143, calculations!B:B)),
   IF(ISNUMBER(MATCH(A184, calculations!A:A, 0)),
      INDEX(calculations!B:B, MATCH(A184, calculations!A:A, 0)),
      ""
   )
)</f>
        <v>9147.89</v>
      </c>
      <c r="C184" s="42">
        <f t="array" aca="1" ref="C184" ca="1">IF(B184&lt;&gt;"", IF(MATCH(A184, calculations!A:A, 0), INDEX(calculations!D:D, MATCH(A184, calculations!A:A, 0)), "No Match"),"")</f>
        <v>49671590400</v>
      </c>
      <c r="D184" s="43">
        <f t="shared" ca="1" si="8"/>
        <v>-0.20733389598168567</v>
      </c>
      <c r="E184" s="43">
        <f t="shared" ca="1" si="0"/>
        <v>4.843679950172422E-2</v>
      </c>
      <c r="F184" s="43">
        <f t="shared" ca="1" si="13"/>
        <v>0.23587276705880122</v>
      </c>
      <c r="G184" s="42">
        <f t="shared" ca="1" si="1"/>
        <v>454390245104256</v>
      </c>
      <c r="H184" s="41">
        <f t="shared" ca="1" si="14"/>
        <v>12915.17988692648</v>
      </c>
      <c r="I184" s="3"/>
      <c r="J184" s="43">
        <f t="shared" ca="1" si="18"/>
        <v>1</v>
      </c>
      <c r="K184" s="44" t="str">
        <f t="shared" ca="1" si="10"/>
        <v/>
      </c>
      <c r="L184" s="3"/>
      <c r="M184" s="45">
        <f t="shared" ca="1" si="2"/>
        <v>6822.5014529434311</v>
      </c>
      <c r="N184" s="47">
        <f t="shared" ca="1" si="3"/>
        <v>19007.85832090953</v>
      </c>
      <c r="O184" s="45">
        <f t="shared" ca="1" si="4"/>
        <v>3776.162235951907</v>
      </c>
      <c r="P184" s="47">
        <f t="shared" ca="1" si="5"/>
        <v>22054.197537901055</v>
      </c>
      <c r="Q184" s="45">
        <f t="shared" ca="1" si="6"/>
        <v>729.82301896038257</v>
      </c>
      <c r="R184" s="47">
        <f t="shared" ca="1" si="7"/>
        <v>25100.536754892579</v>
      </c>
      <c r="S184" s="73">
        <f t="shared" ca="1" si="19"/>
        <v>1</v>
      </c>
      <c r="T184" s="73"/>
      <c r="U184" s="3"/>
      <c r="V184" s="3"/>
      <c r="W184" s="3"/>
      <c r="X184" s="3"/>
    </row>
    <row r="185" spans="1:24" ht="14" thickBot="1">
      <c r="A185" s="40">
        <v>43178</v>
      </c>
      <c r="B185" s="41">
        <f t="array" aca="1" ref="B185" ca="1">IF(AND(A185 &gt; TODAY(), A185 &lt;= TODAY() + 7),
   INDEX(calculations!B:B, MATCH(143^143, calculations!B:B)),
   IF(ISNUMBER(MATCH(A185, calculations!A:A, 0)),
      INDEX(calculations!B:B, MATCH(A185, calculations!A:A, 0)),
      ""
   )
)</f>
        <v>8537.02</v>
      </c>
      <c r="C185" s="42">
        <f t="array" aca="1" ref="C185" ca="1">IF(B185&lt;&gt;"", IF(MATCH(A185, calculations!A:A, 0), INDEX(calculations!D:D, MATCH(A185, calculations!A:A, 0)), "No Match"),"")</f>
        <v>42075919360</v>
      </c>
      <c r="D185" s="43">
        <f t="shared" ca="1" si="8"/>
        <v>-6.6777147517077598E-2</v>
      </c>
      <c r="E185" s="43">
        <f t="shared" ca="1" si="0"/>
        <v>6.3245231912060348E-3</v>
      </c>
      <c r="F185" s="43">
        <f t="shared" ca="1" si="13"/>
        <v>0.19745861647742269</v>
      </c>
      <c r="G185" s="42">
        <f t="shared" ca="1" si="1"/>
        <v>359202965094707.19</v>
      </c>
      <c r="H185" s="41">
        <f t="shared" ca="1" si="14"/>
        <v>12399.896772713966</v>
      </c>
      <c r="I185" s="3"/>
      <c r="J185" s="43">
        <f t="shared" ca="1" si="18"/>
        <v>1</v>
      </c>
      <c r="K185" s="44" t="str">
        <f t="shared" ca="1" si="10"/>
        <v/>
      </c>
      <c r="L185" s="3"/>
      <c r="M185" s="45">
        <f t="shared" ca="1" si="2"/>
        <v>7502.9638503080496</v>
      </c>
      <c r="N185" s="47">
        <f t="shared" ca="1" si="3"/>
        <v>17296.829695119883</v>
      </c>
      <c r="O185" s="45">
        <f t="shared" ca="1" si="4"/>
        <v>5054.4973891050913</v>
      </c>
      <c r="P185" s="47">
        <f t="shared" ca="1" si="5"/>
        <v>19745.296156322842</v>
      </c>
      <c r="Q185" s="45">
        <f t="shared" ca="1" si="6"/>
        <v>2606.0309279021326</v>
      </c>
      <c r="R185" s="47">
        <f t="shared" ca="1" si="7"/>
        <v>22193.762617525801</v>
      </c>
      <c r="S185" s="73">
        <f t="shared" ca="1" si="19"/>
        <v>1</v>
      </c>
      <c r="T185" s="73"/>
      <c r="U185" s="3"/>
      <c r="V185" s="3"/>
      <c r="W185" s="3"/>
      <c r="X185" s="3"/>
    </row>
    <row r="186" spans="1:24" ht="14" thickBot="1">
      <c r="A186" s="40">
        <v>43185</v>
      </c>
      <c r="B186" s="41">
        <f t="array" aca="1" ref="B186" ca="1">IF(AND(A186 &gt; TODAY(), A186 &lt;= TODAY() + 7),
   INDEX(calculations!B:B, MATCH(143^143, calculations!B:B)),
   IF(ISNUMBER(MATCH(A186, calculations!A:A, 0)),
      INDEX(calculations!B:B, MATCH(A186, calculations!A:A, 0)),
      ""
   )
)</f>
        <v>8171.18</v>
      </c>
      <c r="C186" s="42">
        <f t="array" aca="1" ref="C186" ca="1">IF(B186&lt;&gt;"", IF(MATCH(A186, calculations!A:A, 0), INDEX(calculations!D:D, MATCH(A186, calculations!A:A, 0)), "No Match"),"")</f>
        <v>40853020160</v>
      </c>
      <c r="D186" s="43">
        <f t="shared" ca="1" si="8"/>
        <v>-4.2853361008876649E-2</v>
      </c>
      <c r="E186" s="43">
        <f t="shared" ca="1" si="0"/>
        <v>3.0917029911273217E-3</v>
      </c>
      <c r="F186" s="43">
        <f t="shared" ca="1" si="13"/>
        <v>0.19248094348921835</v>
      </c>
      <c r="G186" s="42">
        <f t="shared" ca="1" si="1"/>
        <v>333817381270988.81</v>
      </c>
      <c r="H186" s="41">
        <f t="shared" ca="1" si="14"/>
        <v>11618.675883295313</v>
      </c>
      <c r="I186" s="3"/>
      <c r="J186" s="43">
        <f t="shared" ca="1" si="18"/>
        <v>1</v>
      </c>
      <c r="K186" s="44" t="str">
        <f t="shared" ca="1" si="10"/>
        <v/>
      </c>
      <c r="L186" s="3"/>
      <c r="M186" s="45">
        <f t="shared" ca="1" si="2"/>
        <v>7145.9284910710949</v>
      </c>
      <c r="N186" s="47">
        <f t="shared" ca="1" si="3"/>
        <v>16091.42327551953</v>
      </c>
      <c r="O186" s="45">
        <f t="shared" ca="1" si="4"/>
        <v>4909.5547949589845</v>
      </c>
      <c r="P186" s="47">
        <f t="shared" ca="1" si="5"/>
        <v>18327.79697163164</v>
      </c>
      <c r="Q186" s="45">
        <f t="shared" ca="1" si="6"/>
        <v>2673.181098846876</v>
      </c>
      <c r="R186" s="47">
        <f t="shared" ca="1" si="7"/>
        <v>20564.170667743751</v>
      </c>
      <c r="S186" s="73">
        <f t="shared" ca="1" si="19"/>
        <v>1</v>
      </c>
      <c r="T186" s="73"/>
      <c r="U186" s="3"/>
      <c r="V186" s="3"/>
      <c r="W186" s="3"/>
      <c r="X186" s="3"/>
    </row>
    <row r="187" spans="1:24" ht="14" thickBot="1">
      <c r="A187" s="40">
        <v>43192</v>
      </c>
      <c r="B187" s="41">
        <f t="array" aca="1" ref="B187" ca="1">IF(AND(A187 &gt; TODAY(), A187 &lt;= TODAY() + 7),
   INDEX(calculations!B:B, MATCH(143^143, calculations!B:B)),
   IF(ISNUMBER(MATCH(A187, calculations!A:A, 0)),
      INDEX(calculations!B:B, MATCH(A187, calculations!A:A, 0)),
      ""
   )
)</f>
        <v>7033.26</v>
      </c>
      <c r="C187" s="42">
        <f t="array" aca="1" ref="C187" ca="1">IF(B187&lt;&gt;"", IF(MATCH(A187, calculations!A:A, 0), INDEX(calculations!D:D, MATCH(A187, calculations!A:A, 0)), "No Match"),"")</f>
        <v>37970689536</v>
      </c>
      <c r="D187" s="43">
        <f t="shared" ca="1" si="8"/>
        <v>-0.13926018029219769</v>
      </c>
      <c r="E187" s="43">
        <f t="shared" ca="1" si="0"/>
        <v>2.3107010807789735E-2</v>
      </c>
      <c r="F187" s="43">
        <f t="shared" ca="1" si="13"/>
        <v>0.18457791316995661</v>
      </c>
      <c r="G187" s="42">
        <f t="shared" ca="1" si="1"/>
        <v>267057731885967.38</v>
      </c>
      <c r="H187" s="41">
        <f t="shared" ca="1" si="14"/>
        <v>11122.508783311603</v>
      </c>
      <c r="I187" s="3"/>
      <c r="J187" s="43">
        <f t="shared" ca="1" si="18"/>
        <v>1</v>
      </c>
      <c r="K187" s="44" t="str">
        <f t="shared" ca="1" si="10"/>
        <v/>
      </c>
      <c r="L187" s="3"/>
      <c r="M187" s="45">
        <f t="shared" ca="1" si="2"/>
        <v>7016.5698624352644</v>
      </c>
      <c r="N187" s="47">
        <f t="shared" ca="1" si="3"/>
        <v>15228.447704187942</v>
      </c>
      <c r="O187" s="45">
        <f t="shared" ca="1" si="4"/>
        <v>4963.6004019970969</v>
      </c>
      <c r="P187" s="47">
        <f t="shared" ca="1" si="5"/>
        <v>17281.417164626109</v>
      </c>
      <c r="Q187" s="45">
        <f t="shared" ca="1" si="6"/>
        <v>2910.6309415589276</v>
      </c>
      <c r="R187" s="47">
        <f t="shared" ca="1" si="7"/>
        <v>19334.386625064279</v>
      </c>
      <c r="S187" s="73">
        <f t="shared" ca="1" si="19"/>
        <v>1</v>
      </c>
      <c r="T187" s="73"/>
      <c r="U187" s="3"/>
      <c r="V187" s="3"/>
      <c r="W187" s="3"/>
      <c r="X187" s="3"/>
    </row>
    <row r="188" spans="1:24" ht="14" thickBot="1">
      <c r="A188" s="40">
        <v>43199</v>
      </c>
      <c r="B188" s="41">
        <f t="array" aca="1" ref="B188" ca="1">IF(AND(A188 &gt; TODAY(), A188 &lt;= TODAY() + 7),
   INDEX(calculations!B:B, MATCH(143^143, calculations!B:B)),
   IF(ISNUMBER(MATCH(A188, calculations!A:A, 0)),
      INDEX(calculations!B:B, MATCH(A188, calculations!A:A, 0)),
      ""
   )
)</f>
        <v>6736.89</v>
      </c>
      <c r="C188" s="42">
        <f t="array" aca="1" ref="C188" ca="1">IF(B188&lt;&gt;"", IF(MATCH(A188, calculations!A:A, 0), INDEX(calculations!D:D, MATCH(A188, calculations!A:A, 0)), "No Match"),"")</f>
        <v>31804380416</v>
      </c>
      <c r="D188" s="43">
        <f t="shared" ca="1" si="8"/>
        <v>-4.2138354049189121E-2</v>
      </c>
      <c r="E188" s="43">
        <f t="shared" ca="1" si="0"/>
        <v>3.0127010414746813E-3</v>
      </c>
      <c r="F188" s="43">
        <f t="shared" ca="1" si="13"/>
        <v>0.18457018156358401</v>
      </c>
      <c r="G188" s="42">
        <f t="shared" ca="1" si="1"/>
        <v>214262612380746.25</v>
      </c>
      <c r="H188" s="41">
        <f t="shared" ca="1" si="14"/>
        <v>10726.533049526584</v>
      </c>
      <c r="I188" s="3"/>
      <c r="J188" s="43">
        <f t="shared" ca="1" si="18"/>
        <v>2.3739235048283471</v>
      </c>
      <c r="K188" s="44">
        <f t="shared" ca="1" si="10"/>
        <v>2</v>
      </c>
      <c r="L188" s="3"/>
      <c r="M188" s="45">
        <f t="shared" ca="1" si="2"/>
        <v>6766.9367445287717</v>
      </c>
      <c r="N188" s="47">
        <f t="shared" ca="1" si="3"/>
        <v>14686.129354524397</v>
      </c>
      <c r="O188" s="45">
        <f t="shared" ca="1" si="4"/>
        <v>4787.1385920298662</v>
      </c>
      <c r="P188" s="47">
        <f t="shared" ca="1" si="5"/>
        <v>16665.927507023302</v>
      </c>
      <c r="Q188" s="45">
        <f t="shared" ca="1" si="6"/>
        <v>2807.3404395309594</v>
      </c>
      <c r="R188" s="47">
        <f t="shared" ca="1" si="7"/>
        <v>18645.72565952221</v>
      </c>
      <c r="S188" s="73">
        <f t="shared" ca="1" si="19"/>
        <v>2.3739235048283471</v>
      </c>
      <c r="T188" s="73"/>
      <c r="U188" s="3"/>
      <c r="V188" s="3"/>
      <c r="W188" s="3"/>
      <c r="X188" s="3"/>
    </row>
    <row r="189" spans="1:24" ht="14" thickBot="1">
      <c r="A189" s="40">
        <v>43206</v>
      </c>
      <c r="B189" s="41">
        <f t="array" aca="1" ref="B189" ca="1">IF(AND(A189 &gt; TODAY(), A189 &lt;= TODAY() + 7),
   INDEX(calculations!B:B, MATCH(143^143, calculations!B:B)),
   IF(ISNUMBER(MATCH(A189, calculations!A:A, 0)),
      INDEX(calculations!B:B, MATCH(A189, calculations!A:A, 0)),
      ""
   )
)</f>
        <v>8046.98</v>
      </c>
      <c r="C189" s="42">
        <f t="array" aca="1" ref="C189" ca="1">IF(B189&lt;&gt;"", IF(MATCH(A189, calculations!A:A, 0), INDEX(calculations!D:D, MATCH(A189, calculations!A:A, 0)), "No Match"),"")</f>
        <v>40915320320</v>
      </c>
      <c r="D189" s="43">
        <f t="shared" ca="1" si="8"/>
        <v>0.19446510184966642</v>
      </c>
      <c r="E189" s="43">
        <f t="shared" ca="1" si="0"/>
        <v>3.302047878031298E-2</v>
      </c>
      <c r="F189" s="43">
        <f t="shared" ca="1" si="13"/>
        <v>0.1908598490088434</v>
      </c>
      <c r="G189" s="42">
        <f t="shared" ca="1" si="1"/>
        <v>329244764308633.56</v>
      </c>
      <c r="H189" s="41">
        <f t="shared" ca="1" si="14"/>
        <v>9930.971762611247</v>
      </c>
      <c r="I189" s="3"/>
      <c r="J189" s="43">
        <f t="shared" ca="1" si="18"/>
        <v>1</v>
      </c>
      <c r="K189" s="44" t="str">
        <f t="shared" ca="1" si="10"/>
        <v/>
      </c>
      <c r="L189" s="3"/>
      <c r="M189" s="45">
        <f t="shared" ca="1" si="2"/>
        <v>6140.1242203651072</v>
      </c>
      <c r="N189" s="47">
        <f t="shared" ca="1" si="3"/>
        <v>13721.819304857387</v>
      </c>
      <c r="O189" s="45">
        <f t="shared" ca="1" si="4"/>
        <v>4244.7004492420365</v>
      </c>
      <c r="P189" s="47">
        <f t="shared" ca="1" si="5"/>
        <v>15617.243075980457</v>
      </c>
      <c r="Q189" s="45">
        <f t="shared" ca="1" si="6"/>
        <v>2349.2766781189671</v>
      </c>
      <c r="R189" s="47">
        <f t="shared" ca="1" si="7"/>
        <v>17512.666847103526</v>
      </c>
      <c r="S189" s="73">
        <f t="shared" ca="1" si="19"/>
        <v>1</v>
      </c>
      <c r="T189" s="73"/>
      <c r="U189" s="3"/>
      <c r="V189" s="3"/>
      <c r="W189" s="3"/>
      <c r="X189" s="3"/>
    </row>
    <row r="190" spans="1:24" ht="14" thickBot="1">
      <c r="A190" s="40">
        <v>43213</v>
      </c>
      <c r="B190" s="41">
        <f t="array" aca="1" ref="B190" ca="1">IF(AND(A190 &gt; TODAY(), A190 &lt;= TODAY() + 7),
   INDEX(calculations!B:B, MATCH(143^143, calculations!B:B)),
   IF(ISNUMBER(MATCH(A190, calculations!A:A, 0)),
      INDEX(calculations!B:B, MATCH(A190, calculations!A:A, 0)),
      ""
   )
)</f>
        <v>8930.7800000000007</v>
      </c>
      <c r="C190" s="42">
        <f t="array" aca="1" ref="C190" ca="1">IF(B190&lt;&gt;"", IF(MATCH(A190, calculations!A:A, 0), INDEX(calculations!D:D, MATCH(A190, calculations!A:A, 0)), "No Match"),"")</f>
        <v>48741869568</v>
      </c>
      <c r="D190" s="43">
        <f t="shared" ca="1" si="8"/>
        <v>0.10983002318882377</v>
      </c>
      <c r="E190" s="43">
        <f t="shared" ca="1" si="0"/>
        <v>9.4245846152124051E-3</v>
      </c>
      <c r="F190" s="43">
        <f t="shared" ca="1" si="13"/>
        <v>0.19311558124228118</v>
      </c>
      <c r="G190" s="42">
        <f t="shared" ca="1" si="1"/>
        <v>435302913900503.06</v>
      </c>
      <c r="H190" s="41">
        <f t="shared" ca="1" si="14"/>
        <v>9337.297537848779</v>
      </c>
      <c r="I190" s="3"/>
      <c r="J190" s="43">
        <f t="shared" ca="1" si="18"/>
        <v>1</v>
      </c>
      <c r="K190" s="44" t="str">
        <f t="shared" ca="1" si="10"/>
        <v/>
      </c>
      <c r="L190" s="3"/>
      <c r="M190" s="45">
        <f t="shared" ca="1" si="2"/>
        <v>5730.9422553412032</v>
      </c>
      <c r="N190" s="47">
        <f t="shared" ca="1" si="3"/>
        <v>12943.652820356354</v>
      </c>
      <c r="O190" s="45">
        <f t="shared" ca="1" si="4"/>
        <v>3927.7646140874149</v>
      </c>
      <c r="P190" s="47">
        <f t="shared" ca="1" si="5"/>
        <v>14746.830461610143</v>
      </c>
      <c r="Q190" s="45">
        <f t="shared" ca="1" si="6"/>
        <v>2124.5869728336274</v>
      </c>
      <c r="R190" s="47">
        <f t="shared" ca="1" si="7"/>
        <v>16550.008102863929</v>
      </c>
      <c r="S190" s="73">
        <f t="shared" ca="1" si="19"/>
        <v>1</v>
      </c>
      <c r="T190" s="73"/>
      <c r="U190" s="3"/>
      <c r="V190" s="3"/>
      <c r="W190" s="3"/>
      <c r="X190" s="3"/>
    </row>
    <row r="191" spans="1:24" ht="14" thickBot="1">
      <c r="A191" s="40">
        <v>43220</v>
      </c>
      <c r="B191" s="41">
        <f t="array" aca="1" ref="B191" ca="1">IF(AND(A191 &gt; TODAY(), A191 &lt;= TODAY() + 7),
   INDEX(calculations!B:B, MATCH(143^143, calculations!B:B)),
   IF(ISNUMBER(MATCH(A191, calculations!A:A, 0)),
      INDEX(calculations!B:B, MATCH(A191, calculations!A:A, 0)),
      ""
   )
)</f>
        <v>9228.73</v>
      </c>
      <c r="C191" s="42">
        <f t="array" aca="1" ref="C191" ca="1">IF(B191&lt;&gt;"", IF(MATCH(A191, calculations!A:A, 0), INDEX(calculations!D:D, MATCH(A191, calculations!A:A, 0)), "No Match"),"")</f>
        <v>61882420224</v>
      </c>
      <c r="D191" s="43">
        <f t="shared" ca="1" si="8"/>
        <v>3.3362147539184581E-2</v>
      </c>
      <c r="E191" s="43">
        <f t="shared" ca="1" si="0"/>
        <v>4.2487203061866252E-4</v>
      </c>
      <c r="F191" s="43">
        <f t="shared" ca="1" si="13"/>
        <v>0.18460444313460478</v>
      </c>
      <c r="G191" s="42">
        <f t="shared" ca="1" si="1"/>
        <v>571096147993835.5</v>
      </c>
      <c r="H191" s="41">
        <f t="shared" ca="1" si="14"/>
        <v>9131.77500653264</v>
      </c>
      <c r="I191" s="3"/>
      <c r="J191" s="43">
        <f t="shared" ca="1" si="18"/>
        <v>1</v>
      </c>
      <c r="K191" s="44" t="str">
        <f t="shared" ca="1" si="10"/>
        <v/>
      </c>
      <c r="L191" s="3"/>
      <c r="M191" s="45">
        <f t="shared" ca="1" si="2"/>
        <v>5760.2425267097206</v>
      </c>
      <c r="N191" s="47">
        <f t="shared" ca="1" si="3"/>
        <v>12503.307486355559</v>
      </c>
      <c r="O191" s="45">
        <f t="shared" ca="1" si="4"/>
        <v>4074.4762867982604</v>
      </c>
      <c r="P191" s="47">
        <f t="shared" ca="1" si="5"/>
        <v>14189.073726267019</v>
      </c>
      <c r="Q191" s="45">
        <f t="shared" ca="1" si="6"/>
        <v>2388.7100468868002</v>
      </c>
      <c r="R191" s="47">
        <f t="shared" ca="1" si="7"/>
        <v>15874.839966178479</v>
      </c>
      <c r="S191" s="73">
        <f t="shared" ca="1" si="19"/>
        <v>1</v>
      </c>
      <c r="T191" s="73"/>
      <c r="U191" s="3"/>
      <c r="V191" s="3"/>
      <c r="W191" s="3"/>
      <c r="X191" s="3"/>
    </row>
    <row r="192" spans="1:24" ht="14" thickBot="1">
      <c r="A192" s="40">
        <v>43227</v>
      </c>
      <c r="B192" s="41">
        <f t="array" aca="1" ref="B192" ca="1">IF(AND(A192 &gt; TODAY(), A192 &lt;= TODAY() + 7),
   INDEX(calculations!B:B, MATCH(143^143, calculations!B:B)),
   IF(ISNUMBER(MATCH(A192, calculations!A:A, 0)),
      INDEX(calculations!B:B, MATCH(A192, calculations!A:A, 0)),
      ""
   )
)</f>
        <v>9339.51</v>
      </c>
      <c r="C192" s="42">
        <f t="array" aca="1" ref="C192" ca="1">IF(B192&lt;&gt;"", IF(MATCH(A192, calculations!A:A, 0), INDEX(calculations!D:D, MATCH(A192, calculations!A:A, 0)), "No Match"),"")</f>
        <v>57244449280</v>
      </c>
      <c r="D192" s="43">
        <f t="shared" ca="1" si="8"/>
        <v>1.2003818510239291E-2</v>
      </c>
      <c r="E192" s="43">
        <f t="shared" ca="1" si="0"/>
        <v>5.5637404214525604E-7</v>
      </c>
      <c r="F192" s="43">
        <f t="shared" ca="1" si="13"/>
        <v>0.18440737121089035</v>
      </c>
      <c r="G192" s="42">
        <f t="shared" ca="1" si="1"/>
        <v>534635106495052.81</v>
      </c>
      <c r="H192" s="41">
        <f t="shared" ca="1" si="14"/>
        <v>8962.0083052740902</v>
      </c>
      <c r="I192" s="3"/>
      <c r="J192" s="43">
        <f t="shared" ca="1" si="18"/>
        <v>1</v>
      </c>
      <c r="K192" s="44" t="str">
        <f t="shared" ca="1" si="10"/>
        <v/>
      </c>
      <c r="L192" s="3"/>
      <c r="M192" s="45">
        <f t="shared" ca="1" si="2"/>
        <v>5656.6875205825672</v>
      </c>
      <c r="N192" s="47">
        <f t="shared" ca="1" si="3"/>
        <v>12267.329089965613</v>
      </c>
      <c r="O192" s="45">
        <f t="shared" ca="1" si="4"/>
        <v>4004.0271282368058</v>
      </c>
      <c r="P192" s="47">
        <f t="shared" ca="1" si="5"/>
        <v>13919.989482311375</v>
      </c>
      <c r="Q192" s="45">
        <f t="shared" ca="1" si="6"/>
        <v>2351.3667358910443</v>
      </c>
      <c r="R192" s="47">
        <f t="shared" ca="1" si="7"/>
        <v>15572.649874657136</v>
      </c>
      <c r="S192" s="73">
        <f t="shared" ca="1" si="19"/>
        <v>1</v>
      </c>
      <c r="T192" s="73"/>
      <c r="U192" s="3"/>
      <c r="V192" s="3"/>
      <c r="W192" s="3"/>
      <c r="X192" s="3"/>
    </row>
    <row r="193" spans="1:24" ht="14" thickBot="1">
      <c r="A193" s="40">
        <v>43234</v>
      </c>
      <c r="B193" s="41">
        <f t="array" aca="1" ref="B193" ca="1">IF(AND(A193 &gt; TODAY(), A193 &lt;= TODAY() + 7),
   INDEX(calculations!B:B, MATCH(143^143, calculations!B:B)),
   IF(ISNUMBER(MATCH(A193, calculations!A:A, 0)),
      INDEX(calculations!B:B, MATCH(A193, calculations!A:A, 0)),
      ""
   )
)</f>
        <v>8671.07</v>
      </c>
      <c r="C193" s="42">
        <f t="array" aca="1" ref="C193" ca="1">IF(B193&lt;&gt;"", IF(MATCH(A193, calculations!A:A, 0), INDEX(calculations!D:D, MATCH(A193, calculations!A:A, 0)), "No Match"),"")</f>
        <v>50119759872</v>
      </c>
      <c r="D193" s="43">
        <f t="shared" ca="1" si="8"/>
        <v>-7.1571206626471887E-2</v>
      </c>
      <c r="E193" s="43">
        <f t="shared" ca="1" si="0"/>
        <v>7.1100192334724727E-3</v>
      </c>
      <c r="F193" s="43">
        <f t="shared" ca="1" si="13"/>
        <v>0.14919959029409396</v>
      </c>
      <c r="G193" s="42">
        <f t="shared" ca="1" si="1"/>
        <v>434591946233303</v>
      </c>
      <c r="H193" s="41">
        <f t="shared" ca="1" si="14"/>
        <v>9129.0609609007661</v>
      </c>
      <c r="I193" s="3"/>
      <c r="J193" s="43">
        <f t="shared" ca="1" si="18"/>
        <v>1</v>
      </c>
      <c r="K193" s="44" t="str">
        <f t="shared" ca="1" si="10"/>
        <v/>
      </c>
      <c r="L193" s="3"/>
      <c r="M193" s="45">
        <f t="shared" ca="1" si="2"/>
        <v>6404.9566506283618</v>
      </c>
      <c r="N193" s="47">
        <f t="shared" ca="1" si="3"/>
        <v>11853.165271173169</v>
      </c>
      <c r="O193" s="45">
        <f t="shared" ca="1" si="4"/>
        <v>5042.9044954921592</v>
      </c>
      <c r="P193" s="47">
        <f t="shared" ca="1" si="5"/>
        <v>13215.217426309373</v>
      </c>
      <c r="Q193" s="45">
        <f t="shared" ca="1" si="6"/>
        <v>3680.8523403559579</v>
      </c>
      <c r="R193" s="47">
        <f t="shared" ca="1" si="7"/>
        <v>14577.269581445575</v>
      </c>
      <c r="S193" s="73">
        <f t="shared" ca="1" si="19"/>
        <v>1</v>
      </c>
      <c r="T193" s="73"/>
      <c r="U193" s="3"/>
      <c r="V193" s="3"/>
      <c r="W193" s="3"/>
      <c r="X193" s="3"/>
    </row>
    <row r="194" spans="1:24" ht="14" thickBot="1">
      <c r="A194" s="40">
        <v>43241</v>
      </c>
      <c r="B194" s="41">
        <f t="array" aca="1" ref="B194" ca="1">IF(AND(A194 &gt; TODAY(), A194 &lt;= TODAY() + 7),
   INDEX(calculations!B:B, MATCH(143^143, calculations!B:B)),
   IF(ISNUMBER(MATCH(A194, calculations!A:A, 0)),
      INDEX(calculations!B:B, MATCH(A194, calculations!A:A, 0)),
      ""
   )
)</f>
        <v>8398.6200000000008</v>
      </c>
      <c r="C194" s="42">
        <f t="array" aca="1" ref="C194" ca="1">IF(B194&lt;&gt;"", IF(MATCH(A194, calculations!A:A, 0), INDEX(calculations!D:D, MATCH(A194, calculations!A:A, 0)), "No Match"),"")</f>
        <v>42360260096</v>
      </c>
      <c r="D194" s="43">
        <f t="shared" ca="1" si="8"/>
        <v>-3.1420574392779545E-2</v>
      </c>
      <c r="E194" s="43">
        <f t="shared" ca="1" si="0"/>
        <v>1.9510152034062785E-3</v>
      </c>
      <c r="F194" s="43">
        <f t="shared" ca="1" si="13"/>
        <v>0.1271063312750268</v>
      </c>
      <c r="G194" s="42">
        <f t="shared" ca="1" si="1"/>
        <v>355767727647467.56</v>
      </c>
      <c r="H194" s="41">
        <f t="shared" ca="1" si="14"/>
        <v>9103.2020539028708</v>
      </c>
      <c r="I194" s="3"/>
      <c r="J194" s="43">
        <f t="shared" ca="1" si="18"/>
        <v>1</v>
      </c>
      <c r="K194" s="44" t="str">
        <f t="shared" ca="1" si="10"/>
        <v/>
      </c>
      <c r="L194" s="3"/>
      <c r="M194" s="45">
        <f t="shared" ca="1" si="2"/>
        <v>6789.052822049106</v>
      </c>
      <c r="N194" s="47">
        <f t="shared" ca="1" si="3"/>
        <v>11417.351285756637</v>
      </c>
      <c r="O194" s="45">
        <f t="shared" ca="1" si="4"/>
        <v>5631.9782061222231</v>
      </c>
      <c r="P194" s="47">
        <f t="shared" ca="1" si="5"/>
        <v>12574.425901683519</v>
      </c>
      <c r="Q194" s="45">
        <f t="shared" ca="1" si="6"/>
        <v>4474.9035901953403</v>
      </c>
      <c r="R194" s="47">
        <f t="shared" ca="1" si="7"/>
        <v>13731.5005176104</v>
      </c>
      <c r="S194" s="73">
        <f t="shared" ca="1" si="19"/>
        <v>1</v>
      </c>
      <c r="T194" s="73"/>
      <c r="U194" s="3"/>
      <c r="V194" s="3"/>
      <c r="W194" s="3"/>
      <c r="X194" s="3"/>
    </row>
    <row r="195" spans="1:24" ht="14" thickBot="1">
      <c r="A195" s="40">
        <v>43248</v>
      </c>
      <c r="B195" s="41">
        <f t="array" aca="1" ref="B195" ca="1">IF(AND(A195 &gt; TODAY(), A195 &lt;= TODAY() + 7),
   INDEX(calculations!B:B, MATCH(143^143, calculations!B:B)),
   IF(ISNUMBER(MATCH(A195, calculations!A:A, 0)),
      INDEX(calculations!B:B, MATCH(A195, calculations!A:A, 0)),
      ""
   )
)</f>
        <v>7110.82</v>
      </c>
      <c r="C195" s="42">
        <f t="array" aca="1" ref="C195" ca="1">IF(B195&lt;&gt;"", IF(MATCH(A195, calculations!A:A, 0), INDEX(calculations!D:D, MATCH(A195, calculations!A:A, 0)), "No Match"),"")</f>
        <v>35808230144</v>
      </c>
      <c r="D195" s="43">
        <f t="shared" ca="1" si="8"/>
        <v>-0.15333471451262243</v>
      </c>
      <c r="E195" s="43">
        <f t="shared" ca="1" si="0"/>
        <v>2.7584040502852375E-2</v>
      </c>
      <c r="F195" s="43">
        <f t="shared" ca="1" si="13"/>
        <v>0.11150808719583913</v>
      </c>
      <c r="G195" s="42">
        <f t="shared" ca="1" si="1"/>
        <v>254625879072558.06</v>
      </c>
      <c r="H195" s="41">
        <f t="shared" ca="1" si="14"/>
        <v>8822.7532273822526</v>
      </c>
      <c r="I195" s="3"/>
      <c r="J195" s="43">
        <f t="shared" ca="1" si="18"/>
        <v>1</v>
      </c>
      <c r="K195" s="44" t="str">
        <f t="shared" ca="1" si="10"/>
        <v/>
      </c>
      <c r="L195" s="3"/>
      <c r="M195" s="45">
        <f t="shared" ca="1" si="2"/>
        <v>6855.1365550096298</v>
      </c>
      <c r="N195" s="47">
        <f t="shared" ca="1" si="3"/>
        <v>10790.369899754876</v>
      </c>
      <c r="O195" s="45">
        <f t="shared" ca="1" si="4"/>
        <v>5871.3282188233188</v>
      </c>
      <c r="P195" s="47">
        <f t="shared" ca="1" si="5"/>
        <v>11774.178235941186</v>
      </c>
      <c r="Q195" s="45">
        <f t="shared" ca="1" si="6"/>
        <v>4887.519882637007</v>
      </c>
      <c r="R195" s="47">
        <f t="shared" ca="1" si="7"/>
        <v>12757.986572127498</v>
      </c>
      <c r="S195" s="73">
        <f t="shared" ca="1" si="19"/>
        <v>1</v>
      </c>
      <c r="T195" s="73"/>
      <c r="U195" s="3"/>
      <c r="V195" s="3"/>
      <c r="W195" s="3"/>
      <c r="X195" s="3"/>
    </row>
    <row r="196" spans="1:24" ht="14" thickBot="1">
      <c r="A196" s="40">
        <v>43255</v>
      </c>
      <c r="B196" s="41">
        <f t="array" aca="1" ref="B196" ca="1">IF(AND(A196 &gt; TODAY(), A196 &lt;= TODAY() + 7),
   INDEX(calculations!B:B, MATCH(143^143, calculations!B:B)),
   IF(ISNUMBER(MATCH(A196, calculations!A:A, 0)),
      INDEX(calculations!B:B, MATCH(A196, calculations!A:A, 0)),
      ""
   )
)</f>
        <v>7486.65</v>
      </c>
      <c r="C196" s="42">
        <f t="array" aca="1" ref="C196" ca="1">IF(B196&lt;&gt;"", IF(MATCH(A196, calculations!A:A, 0), INDEX(calculations!D:D, MATCH(A196, calculations!A:A, 0)), "No Match"),"")</f>
        <v>35465450496</v>
      </c>
      <c r="D196" s="43">
        <f t="shared" ca="1" si="8"/>
        <v>5.2853257430226043E-2</v>
      </c>
      <c r="E196" s="43">
        <f t="shared" ca="1" si="0"/>
        <v>1.6082934450697038E-3</v>
      </c>
      <c r="F196" s="43">
        <f t="shared" ca="1" si="13"/>
        <v>0.11242430451423766</v>
      </c>
      <c r="G196" s="42">
        <f t="shared" ca="1" si="1"/>
        <v>265517414955878.38</v>
      </c>
      <c r="H196" s="41">
        <f t="shared" ca="1" si="14"/>
        <v>8614.52993772025</v>
      </c>
      <c r="I196" s="3"/>
      <c r="J196" s="43">
        <f t="shared" ca="1" si="18"/>
        <v>1</v>
      </c>
      <c r="K196" s="44" t="str">
        <f t="shared" ca="1" si="10"/>
        <v/>
      </c>
      <c r="L196" s="3"/>
      <c r="M196" s="45">
        <f t="shared" ca="1" si="2"/>
        <v>6677.5648637896929</v>
      </c>
      <c r="N196" s="47">
        <f t="shared" ca="1" si="3"/>
        <v>10551.495011650806</v>
      </c>
      <c r="O196" s="45">
        <f t="shared" ca="1" si="4"/>
        <v>5709.0823268244158</v>
      </c>
      <c r="P196" s="47">
        <f t="shared" ca="1" si="5"/>
        <v>11519.977548616085</v>
      </c>
      <c r="Q196" s="45">
        <f t="shared" ca="1" si="6"/>
        <v>4740.5997898591377</v>
      </c>
      <c r="R196" s="47">
        <f t="shared" ca="1" si="7"/>
        <v>12488.460085581364</v>
      </c>
      <c r="S196" s="73">
        <f t="shared" ca="1" si="19"/>
        <v>1</v>
      </c>
      <c r="T196" s="73"/>
      <c r="U196" s="3"/>
      <c r="V196" s="3"/>
      <c r="W196" s="3"/>
      <c r="X196" s="3"/>
    </row>
    <row r="197" spans="1:24" ht="14" thickBot="1">
      <c r="A197" s="40">
        <v>43262</v>
      </c>
      <c r="B197" s="41">
        <f t="array" aca="1" ref="B197" ca="1">IF(AND(A197 &gt; TODAY(), A197 &lt;= TODAY() + 7),
   INDEX(calculations!B:B, MATCH(143^143, calculations!B:B)),
   IF(ISNUMBER(MATCH(A197, calculations!A:A, 0)),
      INDEX(calculations!B:B, MATCH(A197, calculations!A:A, 0)),
      ""
   )
)</f>
        <v>6849.45</v>
      </c>
      <c r="C197" s="42">
        <f t="array" aca="1" ref="C197" ca="1">IF(B197&lt;&gt;"", IF(MATCH(A197, calculations!A:A, 0), INDEX(calculations!D:D, MATCH(A197, calculations!A:A, 0)), "No Match"),"")</f>
        <v>33010609408</v>
      </c>
      <c r="D197" s="43">
        <f t="shared" ca="1" si="8"/>
        <v>-8.5111498467271729E-2</v>
      </c>
      <c r="E197" s="43">
        <f t="shared" ca="1" si="0"/>
        <v>9.5768187371655204E-3</v>
      </c>
      <c r="F197" s="43">
        <f t="shared" ca="1" si="13"/>
        <v>0.10655028949342674</v>
      </c>
      <c r="G197" s="42">
        <f t="shared" ca="1" si="1"/>
        <v>226104518609625.59</v>
      </c>
      <c r="H197" s="41">
        <f t="shared" ca="1" si="14"/>
        <v>8283.3012176136126</v>
      </c>
      <c r="I197" s="3"/>
      <c r="J197" s="43">
        <f t="shared" ref="J197:J260" ca="1" si="20">IF(B197="","",
 IF(B197&lt;Q197, 1+(4*ABS(D197))+(1+$X$2)+F197,
 IF(B197&lt;O197, 1+(3*ABS(D197))+(1+$X$2)+F197,
 IF(B197&lt;M197, 1+(2*ABS(D197))+(1+$X$2)+F197,
 IF(B197&gt;R197, 1-(4*ABS(D197))-(1+$X$2)-F197,
 IF(B197&gt;P197, 1-(3*ABS(D197))-(1+$X$2)-F197,
 IF(B197&gt;N197, 1-(2*ABS(D197))-(1+$X$2)-F197,
 1)))))))</f>
        <v>1</v>
      </c>
      <c r="K197" s="44" t="str">
        <f t="shared" ca="1" si="10"/>
        <v/>
      </c>
      <c r="L197" s="3"/>
      <c r="M197" s="45">
        <f t="shared" ca="1" si="2"/>
        <v>6518.1249322176436</v>
      </c>
      <c r="N197" s="47">
        <f t="shared" ca="1" si="3"/>
        <v>10048.477503009581</v>
      </c>
      <c r="O197" s="45">
        <f t="shared" ca="1" si="4"/>
        <v>5635.5367895196587</v>
      </c>
      <c r="P197" s="47">
        <f t="shared" ca="1" si="5"/>
        <v>10931.065645707567</v>
      </c>
      <c r="Q197" s="45">
        <f t="shared" ca="1" si="6"/>
        <v>4752.9486468216746</v>
      </c>
      <c r="R197" s="47">
        <f t="shared" ca="1" si="7"/>
        <v>11813.653788405551</v>
      </c>
      <c r="S197" s="73">
        <f t="shared" ca="1" si="19"/>
        <v>1</v>
      </c>
      <c r="T197" s="73"/>
      <c r="U197" s="3"/>
      <c r="V197" s="3"/>
      <c r="W197" s="3"/>
      <c r="X197" s="3"/>
    </row>
    <row r="198" spans="1:24" ht="14" thickBot="1">
      <c r="A198" s="40">
        <v>43269</v>
      </c>
      <c r="B198" s="41">
        <f t="array" aca="1" ref="B198" ca="1">IF(AND(A198 &gt; TODAY(), A198 &lt;= TODAY() + 7),
   INDEX(calculations!B:B, MATCH(143^143, calculations!B:B)),
   IF(ISNUMBER(MATCH(A198, calculations!A:A, 0)),
      INDEX(calculations!B:B, MATCH(A198, calculations!A:A, 0)),
      ""
   )
)</f>
        <v>6703.81</v>
      </c>
      <c r="C198" s="42">
        <f t="array" aca="1" ref="C198" ca="1">IF(B198&lt;&gt;"", IF(MATCH(A198, calculations!A:A, 0), INDEX(calculations!D:D, MATCH(A198, calculations!A:A, 0)), "No Match"),"")</f>
        <v>29844289792</v>
      </c>
      <c r="D198" s="43">
        <f t="shared" ca="1" si="8"/>
        <v>-2.1263021118483882E-2</v>
      </c>
      <c r="E198" s="43">
        <f t="shared" ca="1" si="0"/>
        <v>1.156866786833179E-3</v>
      </c>
      <c r="F198" s="43">
        <f t="shared" ca="1" si="13"/>
        <v>9.3727935424187656E-2</v>
      </c>
      <c r="G198" s="42">
        <f t="shared" ca="1" si="1"/>
        <v>200070448350507.53</v>
      </c>
      <c r="H198" s="41">
        <f t="shared" ca="1" si="14"/>
        <v>8130.1218199323876</v>
      </c>
      <c r="I198" s="3"/>
      <c r="J198" s="43">
        <f t="shared" ca="1" si="20"/>
        <v>1</v>
      </c>
      <c r="K198" s="44" t="str">
        <f t="shared" ca="1" si="10"/>
        <v/>
      </c>
      <c r="L198" s="3"/>
      <c r="M198" s="45">
        <f t="shared" ca="1" si="2"/>
        <v>6606.0827540735836</v>
      </c>
      <c r="N198" s="47">
        <f t="shared" ca="1" si="3"/>
        <v>9654.1608857911906</v>
      </c>
      <c r="O198" s="45">
        <f t="shared" ca="1" si="4"/>
        <v>5844.0632211441825</v>
      </c>
      <c r="P198" s="47">
        <f t="shared" ca="1" si="5"/>
        <v>10416.180418720593</v>
      </c>
      <c r="Q198" s="45">
        <f t="shared" ca="1" si="6"/>
        <v>5082.0436882147796</v>
      </c>
      <c r="R198" s="47">
        <f t="shared" ca="1" si="7"/>
        <v>11178.199951649995</v>
      </c>
      <c r="S198" s="73">
        <f t="shared" ca="1" si="19"/>
        <v>1</v>
      </c>
      <c r="T198" s="73"/>
      <c r="U198" s="3"/>
      <c r="V198" s="3"/>
      <c r="W198" s="3"/>
      <c r="X198" s="3"/>
    </row>
    <row r="199" spans="1:24" ht="14" thickBot="1">
      <c r="A199" s="40">
        <v>43276</v>
      </c>
      <c r="B199" s="41">
        <f t="array" aca="1" ref="B199" ca="1">IF(AND(A199 &gt; TODAY(), A199 &lt;= TODAY() + 7),
   INDEX(calculations!B:B, MATCH(143^143, calculations!B:B)),
   IF(ISNUMBER(MATCH(A199, calculations!A:A, 0)),
      INDEX(calculations!B:B, MATCH(A199, calculations!A:A, 0)),
      ""
   )
)</f>
        <v>6243.54</v>
      </c>
      <c r="C199" s="42">
        <f t="array" aca="1" ref="C199" ca="1">IF(B199&lt;&gt;"", IF(MATCH(A199, calculations!A:A, 0), INDEX(calculations!D:D, MATCH(A199, calculations!A:A, 0)), "No Match"),"")</f>
        <v>28592079872</v>
      </c>
      <c r="D199" s="43">
        <f t="shared" ca="1" si="8"/>
        <v>-6.8657972108398121E-2</v>
      </c>
      <c r="E199" s="43">
        <f t="shared" ca="1" si="0"/>
        <v>6.6272128811751731E-3</v>
      </c>
      <c r="F199" s="43">
        <f t="shared" ca="1" si="13"/>
        <v>9.3804631054879059E-2</v>
      </c>
      <c r="G199" s="42">
        <f t="shared" ca="1" si="1"/>
        <v>178515794364026.88</v>
      </c>
      <c r="H199" s="41">
        <f t="shared" ca="1" si="14"/>
        <v>8006.4526126267656</v>
      </c>
      <c r="I199" s="3"/>
      <c r="J199" s="43">
        <f t="shared" ca="1" si="20"/>
        <v>2.3361971904380603</v>
      </c>
      <c r="K199" s="44">
        <f t="shared" ca="1" si="10"/>
        <v>2</v>
      </c>
      <c r="L199" s="3"/>
      <c r="M199" s="45">
        <f t="shared" ca="1" si="2"/>
        <v>6504.3679458551132</v>
      </c>
      <c r="N199" s="47">
        <f t="shared" ca="1" si="3"/>
        <v>9508.537279398417</v>
      </c>
      <c r="O199" s="45">
        <f t="shared" ca="1" si="4"/>
        <v>5753.3256124692871</v>
      </c>
      <c r="P199" s="47">
        <f t="shared" ca="1" si="5"/>
        <v>10259.579612784244</v>
      </c>
      <c r="Q199" s="45">
        <f t="shared" ca="1" si="6"/>
        <v>5002.28327908346</v>
      </c>
      <c r="R199" s="47">
        <f t="shared" ca="1" si="7"/>
        <v>11010.621946170071</v>
      </c>
      <c r="S199" s="73">
        <f t="shared" ca="1" si="19"/>
        <v>2.3361971904380603</v>
      </c>
      <c r="T199" s="73"/>
      <c r="U199" s="3"/>
      <c r="V199" s="3"/>
      <c r="W199" s="3"/>
      <c r="X199" s="3"/>
    </row>
    <row r="200" spans="1:24" ht="14" thickBot="1">
      <c r="A200" s="40">
        <v>43283</v>
      </c>
      <c r="B200" s="41">
        <f t="array" aca="1" ref="B200" ca="1">IF(AND(A200 &gt; TODAY(), A200 &lt;= TODAY() + 7),
   INDEX(calculations!B:B, MATCH(143^143, calculations!B:B)),
   IF(ISNUMBER(MATCH(A200, calculations!A:A, 0)),
      INDEX(calculations!B:B, MATCH(A200, calculations!A:A, 0)),
      ""
   )
)</f>
        <v>6608.37</v>
      </c>
      <c r="C200" s="42">
        <f t="array" aca="1" ref="C200" ca="1">IF(B200&lt;&gt;"", IF(MATCH(A200, calculations!A:A, 0), INDEX(calculations!D:D, MATCH(A200, calculations!A:A, 0)), "No Match"),"")</f>
        <v>28842940160</v>
      </c>
      <c r="D200" s="43">
        <f t="shared" ca="1" si="8"/>
        <v>5.8433196551956092E-2</v>
      </c>
      <c r="E200" s="43">
        <f t="shared" ca="1" si="0"/>
        <v>2.0869797230486753E-3</v>
      </c>
      <c r="F200" s="43">
        <f t="shared" ca="1" si="13"/>
        <v>9.5634899265173171E-2</v>
      </c>
      <c r="G200" s="42">
        <f t="shared" ca="1" si="1"/>
        <v>190604820465139.19</v>
      </c>
      <c r="H200" s="41">
        <f t="shared" ca="1" si="14"/>
        <v>7922.8155801376051</v>
      </c>
      <c r="I200" s="3"/>
      <c r="J200" s="43">
        <f t="shared" ca="1" si="20"/>
        <v>1</v>
      </c>
      <c r="K200" s="44" t="str">
        <f t="shared" ca="1" si="10"/>
        <v/>
      </c>
      <c r="L200" s="3"/>
      <c r="M200" s="45">
        <f t="shared" ca="1" si="2"/>
        <v>6407.4202403315967</v>
      </c>
      <c r="N200" s="47">
        <f t="shared" ca="1" si="3"/>
        <v>9438.2109199436145</v>
      </c>
      <c r="O200" s="45">
        <f t="shared" ca="1" si="4"/>
        <v>5649.722570428592</v>
      </c>
      <c r="P200" s="47">
        <f t="shared" ca="1" si="5"/>
        <v>10195.908589846618</v>
      </c>
      <c r="Q200" s="45">
        <f t="shared" ca="1" si="6"/>
        <v>4892.0249005255882</v>
      </c>
      <c r="R200" s="47">
        <f t="shared" ca="1" si="7"/>
        <v>10953.606259749622</v>
      </c>
      <c r="S200" s="73">
        <f t="shared" ca="1" si="19"/>
        <v>1</v>
      </c>
      <c r="T200" s="73"/>
      <c r="U200" s="3"/>
      <c r="V200" s="3"/>
      <c r="W200" s="3"/>
      <c r="X200" s="3"/>
    </row>
    <row r="201" spans="1:24" ht="14" thickBot="1">
      <c r="A201" s="40">
        <v>43290</v>
      </c>
      <c r="B201" s="41">
        <f t="array" aca="1" ref="B201" ca="1">IF(AND(A201 &gt; TODAY(), A201 &lt;= TODAY() + 7),
   INDEX(calculations!B:B, MATCH(143^143, calculations!B:B)),
   IF(ISNUMBER(MATCH(A201, calculations!A:A, 0)),
      INDEX(calculations!B:B, MATCH(A201, calculations!A:A, 0)),
      ""
   )
)</f>
        <v>6664.02</v>
      </c>
      <c r="C201" s="42">
        <f t="array" aca="1" ref="C201" ca="1">IF(B201&lt;&gt;"", IF(MATCH(A201, calculations!A:A, 0), INDEX(calculations!D:D, MATCH(A201, calculations!A:A, 0)), "No Match"),"")</f>
        <v>29906419968</v>
      </c>
      <c r="D201" s="43">
        <f t="shared" ca="1" si="8"/>
        <v>8.4211386468978806E-3</v>
      </c>
      <c r="E201" s="43">
        <f t="shared" ca="1" si="0"/>
        <v>1.873664560253526E-5</v>
      </c>
      <c r="F201" s="43">
        <f t="shared" ca="1" si="13"/>
        <v>8.8239579345033445E-2</v>
      </c>
      <c r="G201" s="42">
        <f t="shared" ca="1" si="1"/>
        <v>199296980795151.38</v>
      </c>
      <c r="H201" s="41">
        <f t="shared" ca="1" si="14"/>
        <v>7915.8385521093332</v>
      </c>
      <c r="I201" s="3"/>
      <c r="J201" s="43">
        <f t="shared" ca="1" si="20"/>
        <v>1</v>
      </c>
      <c r="K201" s="44" t="str">
        <f t="shared" ca="1" si="10"/>
        <v/>
      </c>
      <c r="L201" s="3"/>
      <c r="M201" s="45">
        <f t="shared" ca="1" si="2"/>
        <v>6518.8580241066811</v>
      </c>
      <c r="N201" s="47">
        <f t="shared" ca="1" si="3"/>
        <v>9312.8190801119854</v>
      </c>
      <c r="O201" s="45">
        <f t="shared" ca="1" si="4"/>
        <v>5820.3677601053541</v>
      </c>
      <c r="P201" s="47">
        <f t="shared" ca="1" si="5"/>
        <v>10011.309344113311</v>
      </c>
      <c r="Q201" s="45">
        <f t="shared" ca="1" si="6"/>
        <v>5121.8774961040281</v>
      </c>
      <c r="R201" s="47">
        <f t="shared" ca="1" si="7"/>
        <v>10709.799608114638</v>
      </c>
      <c r="S201" s="73">
        <f t="shared" ca="1" si="19"/>
        <v>1</v>
      </c>
      <c r="T201" s="73"/>
      <c r="U201" s="3"/>
      <c r="V201" s="3"/>
      <c r="W201" s="3"/>
      <c r="X201" s="3"/>
    </row>
    <row r="202" spans="1:24" ht="14" thickBot="1">
      <c r="A202" s="40">
        <v>43297</v>
      </c>
      <c r="B202" s="41">
        <f t="array" aca="1" ref="B202" ca="1">IF(AND(A202 &gt; TODAY(), A202 &lt;= TODAY() + 7),
   INDEX(calculations!B:B, MATCH(143^143, calculations!B:B)),
   IF(ISNUMBER(MATCH(A202, calculations!A:A, 0)),
      INDEX(calculations!B:B, MATCH(A202, calculations!A:A, 0)),
      ""
   )
)</f>
        <v>6710.81</v>
      </c>
      <c r="C202" s="42">
        <f t="array" aca="1" ref="C202" ca="1">IF(B202&lt;&gt;"", IF(MATCH(A202, calculations!A:A, 0), INDEX(calculations!D:D, MATCH(A202, calculations!A:A, 0)), "No Match"),"")</f>
        <v>25200120064</v>
      </c>
      <c r="D202" s="43">
        <f t="shared" ca="1" si="8"/>
        <v>7.0212874511180884E-3</v>
      </c>
      <c r="E202" s="43">
        <f t="shared" ca="1" si="0"/>
        <v>3.281497794103825E-5</v>
      </c>
      <c r="F202" s="43">
        <f t="shared" ca="1" si="13"/>
        <v>8.7420705505589433E-2</v>
      </c>
      <c r="G202" s="42">
        <f t="shared" ca="1" si="1"/>
        <v>169113217726691.84</v>
      </c>
      <c r="H202" s="41">
        <f t="shared" ca="1" si="14"/>
        <v>7928.848989855037</v>
      </c>
      <c r="I202" s="3"/>
      <c r="J202" s="43">
        <f t="shared" ca="1" si="20"/>
        <v>1</v>
      </c>
      <c r="K202" s="44" t="str">
        <f t="shared" ca="1" si="10"/>
        <v/>
      </c>
      <c r="L202" s="3"/>
      <c r="M202" s="45">
        <f t="shared" ca="1" si="2"/>
        <v>6542.5578447742218</v>
      </c>
      <c r="N202" s="47">
        <f t="shared" ca="1" si="3"/>
        <v>9315.1401349358512</v>
      </c>
      <c r="O202" s="45">
        <f t="shared" ca="1" si="4"/>
        <v>5849.4122722338152</v>
      </c>
      <c r="P202" s="47">
        <f t="shared" ca="1" si="5"/>
        <v>10008.28570747626</v>
      </c>
      <c r="Q202" s="45">
        <f t="shared" ca="1" si="6"/>
        <v>5156.2666996934067</v>
      </c>
      <c r="R202" s="47">
        <f t="shared" ca="1" si="7"/>
        <v>10701.431280016666</v>
      </c>
      <c r="S202" s="73">
        <f t="shared" ca="1" si="19"/>
        <v>1</v>
      </c>
      <c r="T202" s="73"/>
      <c r="U202" s="3"/>
      <c r="V202" s="3"/>
      <c r="W202" s="3"/>
      <c r="X202" s="3"/>
    </row>
    <row r="203" spans="1:24" ht="14" thickBot="1">
      <c r="A203" s="40">
        <v>43304</v>
      </c>
      <c r="B203" s="41">
        <f t="array" aca="1" ref="B203" ca="1">IF(AND(A203 &gt; TODAY(), A203 &lt;= TODAY() + 7),
   INDEX(calculations!B:B, MATCH(143^143, calculations!B:B)),
   IF(ISNUMBER(MATCH(A203, calculations!A:A, 0)),
      INDEX(calculations!B:B, MATCH(A203, calculations!A:A, 0)),
      ""
   )
)</f>
        <v>7716.16</v>
      </c>
      <c r="C203" s="42">
        <f t="array" aca="1" ref="C203" ca="1">IF(B203&lt;&gt;"", IF(MATCH(A203, calculations!A:A, 0), INDEX(calculations!D:D, MATCH(A203, calculations!A:A, 0)), "No Match"),"")</f>
        <v>34261730048</v>
      </c>
      <c r="D203" s="43">
        <f t="shared" ca="1" si="8"/>
        <v>0.14981052957839655</v>
      </c>
      <c r="E203" s="43">
        <f t="shared" ca="1" si="0"/>
        <v>1.8785664601742399E-2</v>
      </c>
      <c r="F203" s="43">
        <f t="shared" ca="1" si="13"/>
        <v>8.0442185491857082E-2</v>
      </c>
      <c r="G203" s="42">
        <f t="shared" ca="1" si="1"/>
        <v>264368990927175.69</v>
      </c>
      <c r="H203" s="41">
        <f t="shared" ca="1" si="14"/>
        <v>7906.4567958151856</v>
      </c>
      <c r="I203" s="3"/>
      <c r="J203" s="43">
        <f t="shared" ca="1" si="20"/>
        <v>1</v>
      </c>
      <c r="K203" s="44" t="str">
        <f t="shared" ca="1" si="10"/>
        <v/>
      </c>
      <c r="L203" s="3"/>
      <c r="M203" s="45">
        <f t="shared" ca="1" si="2"/>
        <v>6634.431467510547</v>
      </c>
      <c r="N203" s="47">
        <f t="shared" ca="1" si="3"/>
        <v>9178.4821241198242</v>
      </c>
      <c r="O203" s="45">
        <f t="shared" ca="1" si="4"/>
        <v>5998.4188033582286</v>
      </c>
      <c r="P203" s="47">
        <f t="shared" ca="1" si="5"/>
        <v>9814.4947882721444</v>
      </c>
      <c r="Q203" s="45">
        <f t="shared" ca="1" si="6"/>
        <v>5362.4061392059093</v>
      </c>
      <c r="R203" s="47">
        <f t="shared" ca="1" si="7"/>
        <v>10450.507452424463</v>
      </c>
      <c r="S203" s="73">
        <f t="shared" ca="1" si="19"/>
        <v>1</v>
      </c>
      <c r="T203" s="73"/>
      <c r="U203" s="3"/>
      <c r="V203" s="3"/>
      <c r="W203" s="3"/>
      <c r="X203" s="3"/>
    </row>
    <row r="204" spans="1:24" ht="14" thickBot="1">
      <c r="A204" s="40">
        <v>43311</v>
      </c>
      <c r="B204" s="41">
        <f t="array" aca="1" ref="B204" ca="1">IF(AND(A204 &gt; TODAY(), A204 &lt;= TODAY() + 7),
   INDEX(calculations!B:B, MATCH(143^143, calculations!B:B)),
   IF(ISNUMBER(MATCH(A204, calculations!A:A, 0)),
      INDEX(calculations!B:B, MATCH(A204, calculations!A:A, 0)),
      ""
   )
)</f>
        <v>8171.84</v>
      </c>
      <c r="C204" s="42">
        <f t="array" aca="1" ref="C204" ca="1">IF(B204&lt;&gt;"", IF(MATCH(A204, calculations!A:A, 0), INDEX(calculations!D:D, MATCH(A204, calculations!A:A, 0)), "No Match"),"")</f>
        <v>36446479872</v>
      </c>
      <c r="D204" s="43">
        <f t="shared" ca="1" si="8"/>
        <v>5.9055281383486126E-2</v>
      </c>
      <c r="E204" s="43">
        <f t="shared" ca="1" si="0"/>
        <v>2.1442047040372393E-3</v>
      </c>
      <c r="F204" s="43">
        <f t="shared" ca="1" si="13"/>
        <v>7.6140438106703789E-2</v>
      </c>
      <c r="G204" s="42">
        <f t="shared" ca="1" si="1"/>
        <v>297834802077204.5</v>
      </c>
      <c r="H204" s="41">
        <f t="shared" ca="1" si="14"/>
        <v>7830.3579911344777</v>
      </c>
      <c r="I204" s="3"/>
      <c r="J204" s="43">
        <f t="shared" ca="1" si="20"/>
        <v>1</v>
      </c>
      <c r="K204" s="44" t="str">
        <f t="shared" ca="1" si="10"/>
        <v/>
      </c>
      <c r="L204" s="3"/>
      <c r="M204" s="45">
        <f t="shared" ca="1" si="2"/>
        <v>6637.9442151798612</v>
      </c>
      <c r="N204" s="47">
        <f t="shared" ca="1" si="3"/>
        <v>9022.7717670890943</v>
      </c>
      <c r="O204" s="45">
        <f t="shared" ca="1" si="4"/>
        <v>6041.7373272025534</v>
      </c>
      <c r="P204" s="47">
        <f t="shared" ca="1" si="5"/>
        <v>9618.9786550664012</v>
      </c>
      <c r="Q204" s="45">
        <f t="shared" ca="1" si="6"/>
        <v>5445.5304392252456</v>
      </c>
      <c r="R204" s="47">
        <f t="shared" ca="1" si="7"/>
        <v>10215.18554304371</v>
      </c>
      <c r="S204" s="73">
        <f t="shared" ca="1" si="19"/>
        <v>1</v>
      </c>
      <c r="T204" s="73"/>
      <c r="U204" s="3"/>
      <c r="V204" s="3"/>
      <c r="W204" s="3"/>
      <c r="X204" s="3"/>
    </row>
    <row r="205" spans="1:24" ht="14" thickBot="1">
      <c r="A205" s="40">
        <v>43318</v>
      </c>
      <c r="B205" s="41">
        <f t="array" aca="1" ref="B205" ca="1">IF(AND(A205 &gt; TODAY(), A205 &lt;= TODAY() + 7),
   INDEX(calculations!B:B, MATCH(143^143, calculations!B:B)),
   IF(ISNUMBER(MATCH(A205, calculations!A:A, 0)),
      INDEX(calculations!B:B, MATCH(A205, calculations!A:A, 0)),
      ""
   )
)</f>
        <v>6929.99</v>
      </c>
      <c r="C205" s="42">
        <f t="array" aca="1" ref="C205" ca="1">IF(B205&lt;&gt;"", IF(MATCH(A205, calculations!A:A, 0), INDEX(calculations!D:D, MATCH(A205, calculations!A:A, 0)), "No Match"),"")</f>
        <v>32425310000</v>
      </c>
      <c r="D205" s="43">
        <f t="shared" ca="1" si="8"/>
        <v>-0.15196699886439288</v>
      </c>
      <c r="E205" s="43">
        <f t="shared" ca="1" si="0"/>
        <v>2.7131598579740245E-2</v>
      </c>
      <c r="F205" s="43">
        <f t="shared" ca="1" si="13"/>
        <v>8.4834237846648952E-2</v>
      </c>
      <c r="G205" s="42">
        <f t="shared" ca="1" si="1"/>
        <v>224707074046900</v>
      </c>
      <c r="H205" s="41">
        <f t="shared" ca="1" si="14"/>
        <v>7598.6806365004059</v>
      </c>
      <c r="I205" s="3"/>
      <c r="J205" s="43">
        <f t="shared" ca="1" si="20"/>
        <v>1</v>
      </c>
      <c r="K205" s="44" t="str">
        <f t="shared" ca="1" si="10"/>
        <v/>
      </c>
      <c r="L205" s="3"/>
      <c r="M205" s="45">
        <f t="shared" ca="1" si="2"/>
        <v>6309.4240756252029</v>
      </c>
      <c r="N205" s="47">
        <f t="shared" ca="1" si="3"/>
        <v>8887.9371973756079</v>
      </c>
      <c r="O205" s="45">
        <f t="shared" ca="1" si="4"/>
        <v>5664.7957951876015</v>
      </c>
      <c r="P205" s="47">
        <f t="shared" ca="1" si="5"/>
        <v>9532.5654778132102</v>
      </c>
      <c r="Q205" s="45">
        <f t="shared" ca="1" si="6"/>
        <v>5020.1675147500009</v>
      </c>
      <c r="R205" s="47">
        <f t="shared" ca="1" si="7"/>
        <v>10177.193758250811</v>
      </c>
      <c r="S205" s="73">
        <f t="shared" ca="1" si="19"/>
        <v>1</v>
      </c>
      <c r="T205" s="73"/>
      <c r="U205" s="3"/>
      <c r="V205" s="3"/>
      <c r="W205" s="3"/>
      <c r="X205" s="3"/>
    </row>
    <row r="206" spans="1:24" ht="14" thickBot="1">
      <c r="A206" s="40">
        <v>43325</v>
      </c>
      <c r="B206" s="41">
        <f t="array" aca="1" ref="B206" ca="1">IF(AND(A206 &gt; TODAY(), A206 &lt;= TODAY() + 7),
   INDEX(calculations!B:B, MATCH(143^143, calculations!B:B)),
   IF(ISNUMBER(MATCH(A206, calculations!A:A, 0)),
      INDEX(calculations!B:B, MATCH(A206, calculations!A:A, 0)),
      ""
   )
)</f>
        <v>6265.85</v>
      </c>
      <c r="C206" s="42">
        <f t="array" aca="1" ref="C206" ca="1">IF(B206&lt;&gt;"", IF(MATCH(A206, calculations!A:A, 0), INDEX(calculations!D:D, MATCH(A206, calculations!A:A, 0)), "No Match"),"")</f>
        <v>32181950000</v>
      </c>
      <c r="D206" s="43">
        <f t="shared" ca="1" si="8"/>
        <v>-9.583563612645897E-2</v>
      </c>
      <c r="E206" s="43">
        <f t="shared" ca="1" si="0"/>
        <v>1.1790780294403004E-2</v>
      </c>
      <c r="F206" s="43">
        <f t="shared" ca="1" si="13"/>
        <v>8.6885070345427168E-2</v>
      </c>
      <c r="G206" s="42">
        <f t="shared" ca="1" si="1"/>
        <v>201647271407500</v>
      </c>
      <c r="H206" s="41">
        <f t="shared" ca="1" si="14"/>
        <v>7298.2460040301858</v>
      </c>
      <c r="I206" s="3"/>
      <c r="J206" s="43">
        <f t="shared" ca="1" si="20"/>
        <v>1</v>
      </c>
      <c r="K206" s="44" t="str">
        <f t="shared" ca="1" si="10"/>
        <v/>
      </c>
      <c r="L206" s="3"/>
      <c r="M206" s="45">
        <f t="shared" ca="1" si="2"/>
        <v>6030.0287691133954</v>
      </c>
      <c r="N206" s="47">
        <f t="shared" ca="1" si="3"/>
        <v>8566.4632389469771</v>
      </c>
      <c r="O206" s="45">
        <f t="shared" ca="1" si="4"/>
        <v>5395.9201516549992</v>
      </c>
      <c r="P206" s="47">
        <f t="shared" ca="1" si="5"/>
        <v>9200.5718564053732</v>
      </c>
      <c r="Q206" s="45">
        <f t="shared" ca="1" si="6"/>
        <v>4761.811534196604</v>
      </c>
      <c r="R206" s="47">
        <f t="shared" ca="1" si="7"/>
        <v>9834.6804738637675</v>
      </c>
      <c r="S206" s="73">
        <f t="shared" ca="1" si="19"/>
        <v>1</v>
      </c>
      <c r="T206" s="73"/>
      <c r="U206" s="3"/>
      <c r="V206" s="3"/>
      <c r="W206" s="3"/>
      <c r="X206" s="3"/>
    </row>
    <row r="207" spans="1:24" ht="14" thickBot="1">
      <c r="A207" s="40">
        <v>43332</v>
      </c>
      <c r="B207" s="41">
        <f t="array" aca="1" ref="B207" ca="1">IF(AND(A207 &gt; TODAY(), A207 &lt;= TODAY() + 7),
   INDEX(calculations!B:B, MATCH(143^143, calculations!B:B)),
   IF(ISNUMBER(MATCH(A207, calculations!A:A, 0)),
      INDEX(calculations!B:B, MATCH(A207, calculations!A:A, 0)),
      ""
   )
)</f>
        <v>6272.95</v>
      </c>
      <c r="C207" s="42">
        <f t="array" aca="1" ref="C207" ca="1">IF(B207&lt;&gt;"", IF(MATCH(A207, calculations!A:A, 0), INDEX(calculations!D:D, MATCH(A207, calculations!A:A, 0)), "No Match"),"")</f>
        <v>30898230000</v>
      </c>
      <c r="D207" s="43">
        <f t="shared" ca="1" si="8"/>
        <v>1.1331263914711419E-3</v>
      </c>
      <c r="E207" s="43">
        <f t="shared" ca="1" si="0"/>
        <v>1.3494532508638574E-4</v>
      </c>
      <c r="F207" s="43">
        <f t="shared" ca="1" si="13"/>
        <v>8.6026329659290801E-2</v>
      </c>
      <c r="G207" s="42">
        <f t="shared" ca="1" si="1"/>
        <v>193823051878500</v>
      </c>
      <c r="H207" s="41">
        <f t="shared" ca="1" si="14"/>
        <v>7077.5172987206815</v>
      </c>
      <c r="I207" s="3"/>
      <c r="J207" s="43">
        <f t="shared" ca="1" si="20"/>
        <v>1</v>
      </c>
      <c r="K207" s="44" t="str">
        <f t="shared" ca="1" si="10"/>
        <v/>
      </c>
      <c r="L207" s="3"/>
      <c r="M207" s="45">
        <f t="shared" ca="1" si="2"/>
        <v>5859.8116261025243</v>
      </c>
      <c r="N207" s="47">
        <f t="shared" ca="1" si="3"/>
        <v>8295.2229713388388</v>
      </c>
      <c r="O207" s="45">
        <f t="shared" ca="1" si="4"/>
        <v>5250.9587897934452</v>
      </c>
      <c r="P207" s="47">
        <f t="shared" ca="1" si="5"/>
        <v>8904.075807647916</v>
      </c>
      <c r="Q207" s="45">
        <f t="shared" ca="1" si="6"/>
        <v>4642.1059534843671</v>
      </c>
      <c r="R207" s="47">
        <f t="shared" ca="1" si="7"/>
        <v>9512.9286439569969</v>
      </c>
      <c r="S207" s="73">
        <f t="shared" ca="1" si="19"/>
        <v>1</v>
      </c>
      <c r="T207" s="73"/>
      <c r="U207" s="3"/>
      <c r="V207" s="3"/>
      <c r="W207" s="3"/>
      <c r="X207" s="3"/>
    </row>
    <row r="208" spans="1:24" ht="14" thickBot="1">
      <c r="A208" s="40">
        <v>43339</v>
      </c>
      <c r="B208" s="41">
        <f t="array" aca="1" ref="B208" ca="1">IF(AND(A208 &gt; TODAY(), A208 &lt;= TODAY() + 7),
   INDEX(calculations!B:B, MATCH(143^143, calculations!B:B)),
   IF(ISNUMBER(MATCH(A208, calculations!A:A, 0)),
      INDEX(calculations!B:B, MATCH(A208, calculations!A:A, 0)),
      ""
   )
)</f>
        <v>6839.16</v>
      </c>
      <c r="C208" s="42">
        <f t="array" aca="1" ref="C208" ca="1">IF(B208&lt;&gt;"", IF(MATCH(A208, calculations!A:A, 0), INDEX(calculations!D:D, MATCH(A208, calculations!A:A, 0)), "No Match"),"")</f>
        <v>25842490000</v>
      </c>
      <c r="D208" s="43">
        <f t="shared" ca="1" si="8"/>
        <v>9.0262157358180772E-2</v>
      </c>
      <c r="E208" s="43">
        <f t="shared" ca="1" si="0"/>
        <v>6.0081774246082383E-3</v>
      </c>
      <c r="F208" s="43">
        <f t="shared" ca="1" si="13"/>
        <v>9.0731106414141782E-2</v>
      </c>
      <c r="G208" s="42">
        <f t="shared" ca="1" si="1"/>
        <v>176740923908400</v>
      </c>
      <c r="H208" s="41">
        <f t="shared" ca="1" si="14"/>
        <v>6935.9210554013962</v>
      </c>
      <c r="I208" s="3"/>
      <c r="J208" s="43">
        <f t="shared" ca="1" si="20"/>
        <v>1</v>
      </c>
      <c r="K208" s="44" t="str">
        <f t="shared" ca="1" si="10"/>
        <v/>
      </c>
      <c r="L208" s="3"/>
      <c r="M208" s="45">
        <f t="shared" ca="1" si="2"/>
        <v>5677.3134726859753</v>
      </c>
      <c r="N208" s="47">
        <f t="shared" ca="1" si="3"/>
        <v>8194.5286381168189</v>
      </c>
      <c r="O208" s="45">
        <f t="shared" ca="1" si="4"/>
        <v>5048.0096813282644</v>
      </c>
      <c r="P208" s="47">
        <f t="shared" ca="1" si="5"/>
        <v>8823.8324294745271</v>
      </c>
      <c r="Q208" s="45">
        <f t="shared" ca="1" si="6"/>
        <v>4418.7058899705535</v>
      </c>
      <c r="R208" s="47">
        <f t="shared" ca="1" si="7"/>
        <v>9453.1362208322389</v>
      </c>
      <c r="S208" s="73">
        <f t="shared" ca="1" si="19"/>
        <v>1</v>
      </c>
      <c r="T208" s="73"/>
      <c r="U208" s="3"/>
      <c r="V208" s="3"/>
      <c r="W208" s="3"/>
      <c r="X208" s="3"/>
    </row>
    <row r="209" spans="1:24" ht="14" thickBot="1">
      <c r="A209" s="40">
        <v>43346</v>
      </c>
      <c r="B209" s="41">
        <f t="array" aca="1" ref="B209" ca="1">IF(AND(A209 &gt; TODAY(), A209 &lt;= TODAY() + 7),
   INDEX(calculations!B:B, MATCH(143^143, calculations!B:B)),
   IF(ISNUMBER(MATCH(A209, calculations!A:A, 0)),
      INDEX(calculations!B:B, MATCH(A209, calculations!A:A, 0)),
      ""
   )
)</f>
        <v>7257.47</v>
      </c>
      <c r="C209" s="42">
        <f t="array" aca="1" ref="C209" ca="1">IF(B209&lt;&gt;"", IF(MATCH(A209, calculations!A:A, 0), INDEX(calculations!D:D, MATCH(A209, calculations!A:A, 0)), "No Match"),"")</f>
        <v>30229310000</v>
      </c>
      <c r="D209" s="43">
        <f t="shared" ca="1" si="8"/>
        <v>6.1163944110095451E-2</v>
      </c>
      <c r="E209" s="43">
        <f t="shared" ca="1" si="0"/>
        <v>2.3439367710175497E-3</v>
      </c>
      <c r="F209" s="43">
        <f t="shared" ca="1" si="13"/>
        <v>8.2523700340401018E-2</v>
      </c>
      <c r="G209" s="42">
        <f t="shared" ca="1" si="1"/>
        <v>219388310445700</v>
      </c>
      <c r="H209" s="41">
        <f t="shared" ca="1" si="14"/>
        <v>6943.9030518050422</v>
      </c>
      <c r="I209" s="3"/>
      <c r="J209" s="43">
        <f t="shared" ca="1" si="20"/>
        <v>1</v>
      </c>
      <c r="K209" s="44" t="str">
        <f t="shared" ca="1" si="10"/>
        <v/>
      </c>
      <c r="L209" s="3"/>
      <c r="M209" s="45">
        <f t="shared" ca="1" si="2"/>
        <v>5797.8299025251317</v>
      </c>
      <c r="N209" s="47">
        <f t="shared" ca="1" si="3"/>
        <v>8089.9762010849527</v>
      </c>
      <c r="O209" s="45">
        <f t="shared" ca="1" si="4"/>
        <v>5224.793327885176</v>
      </c>
      <c r="P209" s="47">
        <f t="shared" ca="1" si="5"/>
        <v>8663.0127757249084</v>
      </c>
      <c r="Q209" s="45">
        <f t="shared" ca="1" si="6"/>
        <v>4651.7567532452204</v>
      </c>
      <c r="R209" s="47">
        <f t="shared" ca="1" si="7"/>
        <v>9236.0493503648631</v>
      </c>
      <c r="S209" s="73">
        <f t="shared" ca="1" si="19"/>
        <v>1</v>
      </c>
      <c r="T209" s="73"/>
      <c r="U209" s="3"/>
      <c r="V209" s="3"/>
      <c r="W209" s="3"/>
      <c r="X209" s="3"/>
    </row>
    <row r="210" spans="1:24" ht="14" thickBot="1">
      <c r="A210" s="40">
        <v>43353</v>
      </c>
      <c r="B210" s="41">
        <f t="array" aca="1" ref="B210" ca="1">IF(AND(A210 &gt; TODAY(), A210 &lt;= TODAY() + 7),
   INDEX(calculations!B:B, MATCH(143^143, calculations!B:B)),
   IF(ISNUMBER(MATCH(A210, calculations!A:A, 0)),
      INDEX(calculations!B:B, MATCH(A210, calculations!A:A, 0)),
      ""
   )
)</f>
        <v>6295.39</v>
      </c>
      <c r="C210" s="42">
        <f t="array" aca="1" ref="C210" ca="1">IF(B210&lt;&gt;"", IF(MATCH(A210, calculations!A:A, 0), INDEX(calculations!D:D, MATCH(A210, calculations!A:A, 0)), "No Match"),"")</f>
        <v>31456960000</v>
      </c>
      <c r="D210" s="43">
        <f t="shared" ca="1" si="8"/>
        <v>-0.13256410291740783</v>
      </c>
      <c r="E210" s="43">
        <f t="shared" ca="1" si="0"/>
        <v>2.1116108106844673E-2</v>
      </c>
      <c r="F210" s="43">
        <f t="shared" ca="1" si="13"/>
        <v>8.8832755747754288E-2</v>
      </c>
      <c r="G210" s="42">
        <f t="shared" ca="1" si="1"/>
        <v>198033831414400</v>
      </c>
      <c r="H210" s="41">
        <f t="shared" ca="1" si="14"/>
        <v>6851.511025864902</v>
      </c>
      <c r="I210" s="3"/>
      <c r="J210" s="43">
        <f t="shared" ca="1" si="20"/>
        <v>1</v>
      </c>
      <c r="K210" s="44" t="str">
        <f t="shared" ca="1" si="10"/>
        <v/>
      </c>
      <c r="L210" s="3"/>
      <c r="M210" s="45">
        <f t="shared" ca="1" si="2"/>
        <v>5634.2338149374973</v>
      </c>
      <c r="N210" s="47">
        <f t="shared" ca="1" si="3"/>
        <v>8068.7882367923066</v>
      </c>
      <c r="O210" s="45">
        <f t="shared" ca="1" si="4"/>
        <v>5025.595209473795</v>
      </c>
      <c r="P210" s="47">
        <f t="shared" ca="1" si="5"/>
        <v>8677.426842256009</v>
      </c>
      <c r="Q210" s="45">
        <f t="shared" ca="1" si="6"/>
        <v>4416.9566040100926</v>
      </c>
      <c r="R210" s="47">
        <f t="shared" ca="1" si="7"/>
        <v>9286.0654477197113</v>
      </c>
      <c r="S210" s="73">
        <f t="shared" ca="1" si="19"/>
        <v>1</v>
      </c>
      <c r="T210" s="73"/>
      <c r="U210" s="3"/>
      <c r="V210" s="3"/>
      <c r="W210" s="3"/>
      <c r="X210" s="3"/>
    </row>
    <row r="211" spans="1:24" ht="14" thickBot="1">
      <c r="A211" s="40">
        <v>43360</v>
      </c>
      <c r="B211" s="41">
        <f t="array" aca="1" ref="B211" ca="1">IF(AND(A211 &gt; TODAY(), A211 &lt;= TODAY() + 7),
   INDEX(calculations!B:B, MATCH(143^143, calculations!B:B)),
   IF(ISNUMBER(MATCH(A211, calculations!A:A, 0)),
      INDEX(calculations!B:B, MATCH(A211, calculations!A:A, 0)),
      ""
   )
)</f>
        <v>6258.59</v>
      </c>
      <c r="C211" s="42">
        <f t="array" aca="1" ref="C211" ca="1">IF(B211&lt;&gt;"", IF(MATCH(A211, calculations!A:A, 0), INDEX(calculations!D:D, MATCH(A211, calculations!A:A, 0)), "No Match"),"")</f>
        <v>26405400000</v>
      </c>
      <c r="D211" s="43">
        <f t="shared" ca="1" si="8"/>
        <v>-5.8455472973080588E-3</v>
      </c>
      <c r="E211" s="43">
        <f t="shared" ca="1" si="0"/>
        <v>3.4578409074995293E-4</v>
      </c>
      <c r="F211" s="43">
        <f t="shared" ca="1" si="13"/>
        <v>8.6062469480022386E-2</v>
      </c>
      <c r="G211" s="42">
        <f t="shared" ca="1" si="1"/>
        <v>165260572386000</v>
      </c>
      <c r="H211" s="41">
        <f t="shared" ca="1" si="14"/>
        <v>6814.6186294101162</v>
      </c>
      <c r="I211" s="3"/>
      <c r="J211" s="43">
        <f t="shared" ca="1" si="20"/>
        <v>1</v>
      </c>
      <c r="K211" s="44" t="str">
        <f t="shared" ca="1" si="10"/>
        <v/>
      </c>
      <c r="L211" s="3"/>
      <c r="M211" s="45">
        <f t="shared" ca="1" si="2"/>
        <v>5641.6528137869163</v>
      </c>
      <c r="N211" s="47">
        <f t="shared" ca="1" si="3"/>
        <v>7987.5844450333161</v>
      </c>
      <c r="O211" s="45">
        <f t="shared" ca="1" si="4"/>
        <v>5055.1699059753155</v>
      </c>
      <c r="P211" s="47">
        <f t="shared" ca="1" si="5"/>
        <v>8574.0673528449151</v>
      </c>
      <c r="Q211" s="45">
        <f t="shared" ca="1" si="6"/>
        <v>4468.6869981637155</v>
      </c>
      <c r="R211" s="47">
        <f t="shared" ca="1" si="7"/>
        <v>9160.5502606565169</v>
      </c>
      <c r="S211" s="73">
        <f t="shared" ca="1" si="19"/>
        <v>1</v>
      </c>
      <c r="T211" s="73"/>
      <c r="U211" s="3"/>
      <c r="V211" s="3"/>
      <c r="W211" s="3"/>
      <c r="X211" s="3"/>
    </row>
    <row r="212" spans="1:24" ht="14" thickBot="1">
      <c r="A212" s="40">
        <v>43367</v>
      </c>
      <c r="B212" s="41">
        <f t="array" aca="1" ref="B212" ca="1">IF(AND(A212 &gt; TODAY(), A212 &lt;= TODAY() + 7),
   INDEX(calculations!B:B, MATCH(143^143, calculations!B:B)),
   IF(ISNUMBER(MATCH(A212, calculations!A:A, 0)),
      INDEX(calculations!B:B, MATCH(A212, calculations!A:A, 0)),
      ""
   )
)</f>
        <v>6576.55</v>
      </c>
      <c r="C212" s="42">
        <f t="array" aca="1" ref="C212" ca="1">IF(B212&lt;&gt;"", IF(MATCH(A212, calculations!A:A, 0), INDEX(calculations!D:D, MATCH(A212, calculations!A:A, 0)), "No Match"),"")</f>
        <v>32109420000</v>
      </c>
      <c r="D212" s="43">
        <f t="shared" ca="1" si="8"/>
        <v>5.0803775291239722E-2</v>
      </c>
      <c r="E212" s="43">
        <f t="shared" ca="1" si="0"/>
        <v>1.4481108685258529E-3</v>
      </c>
      <c r="F212" s="43">
        <f t="shared" ca="1" si="13"/>
        <v>8.7030520373589493E-2</v>
      </c>
      <c r="G212" s="42">
        <f t="shared" ca="1" si="1"/>
        <v>211169206101000</v>
      </c>
      <c r="H212" s="41">
        <f t="shared" ca="1" si="14"/>
        <v>6804.4085244033622</v>
      </c>
      <c r="I212" s="3"/>
      <c r="J212" s="43">
        <f t="shared" ca="1" si="20"/>
        <v>1</v>
      </c>
      <c r="K212" s="44" t="str">
        <f t="shared" ca="1" si="10"/>
        <v/>
      </c>
      <c r="L212" s="3"/>
      <c r="M212" s="45">
        <f t="shared" ca="1" si="2"/>
        <v>5620.0260949767362</v>
      </c>
      <c r="N212" s="47">
        <f t="shared" ca="1" si="3"/>
        <v>7988.7909538299882</v>
      </c>
      <c r="O212" s="45">
        <f t="shared" ca="1" si="4"/>
        <v>5027.8348802634237</v>
      </c>
      <c r="P212" s="47">
        <f t="shared" ca="1" si="5"/>
        <v>8580.9821685432998</v>
      </c>
      <c r="Q212" s="45">
        <f t="shared" ca="1" si="6"/>
        <v>4435.6436655501111</v>
      </c>
      <c r="R212" s="47">
        <f t="shared" ca="1" si="7"/>
        <v>9173.1733832566133</v>
      </c>
      <c r="S212" s="73">
        <f t="shared" ca="1" si="19"/>
        <v>1</v>
      </c>
      <c r="T212" s="73"/>
      <c r="U212" s="3"/>
      <c r="V212" s="3"/>
      <c r="W212" s="3"/>
      <c r="X212" s="3"/>
    </row>
    <row r="213" spans="1:24" ht="14" thickBot="1">
      <c r="A213" s="40">
        <v>43374</v>
      </c>
      <c r="B213" s="41">
        <f t="array" aca="1" ref="B213" ca="1">IF(AND(A213 &gt; TODAY(), A213 &lt;= TODAY() + 7),
   INDEX(calculations!B:B, MATCH(143^143, calculations!B:B)),
   IF(ISNUMBER(MATCH(A213, calculations!A:A, 0)),
      INDEX(calculations!B:B, MATCH(A213, calculations!A:A, 0)),
      ""
   )
)</f>
        <v>6561.81</v>
      </c>
      <c r="C213" s="42">
        <f t="array" aca="1" ref="C213" ca="1">IF(B213&lt;&gt;"", IF(MATCH(A213, calculations!A:A, 0), INDEX(calculations!D:D, MATCH(A213, calculations!A:A, 0)), "No Match"),"")</f>
        <v>31328000000</v>
      </c>
      <c r="D213" s="43">
        <f t="shared" ca="1" si="8"/>
        <v>-2.2412967285278425E-3</v>
      </c>
      <c r="E213" s="43">
        <f t="shared" ca="1" si="0"/>
        <v>2.2473068323935057E-4</v>
      </c>
      <c r="F213" s="43">
        <f t="shared" ca="1" si="13"/>
        <v>8.4646649554871875E-2</v>
      </c>
      <c r="G213" s="42">
        <f t="shared" ca="1" si="1"/>
        <v>205568383680000</v>
      </c>
      <c r="H213" s="41">
        <f t="shared" ca="1" si="14"/>
        <v>6824.1408873876335</v>
      </c>
      <c r="I213" s="3"/>
      <c r="J213" s="43">
        <f t="shared" ca="1" si="20"/>
        <v>1</v>
      </c>
      <c r="K213" s="44" t="str">
        <f t="shared" ca="1" si="10"/>
        <v/>
      </c>
      <c r="L213" s="3"/>
      <c r="M213" s="45">
        <f t="shared" ca="1" si="2"/>
        <v>5668.8595629720867</v>
      </c>
      <c r="N213" s="47">
        <f t="shared" ca="1" si="3"/>
        <v>7979.4222118031803</v>
      </c>
      <c r="O213" s="45">
        <f t="shared" ca="1" si="4"/>
        <v>5091.2189007643128</v>
      </c>
      <c r="P213" s="47">
        <f t="shared" ca="1" si="5"/>
        <v>8557.0628740109532</v>
      </c>
      <c r="Q213" s="45">
        <f t="shared" ca="1" si="6"/>
        <v>4513.5782385565399</v>
      </c>
      <c r="R213" s="47">
        <f t="shared" ca="1" si="7"/>
        <v>9134.7035362187271</v>
      </c>
      <c r="S213" s="73">
        <f t="shared" ca="1" si="19"/>
        <v>1</v>
      </c>
      <c r="T213" s="73"/>
      <c r="U213" s="3"/>
      <c r="V213" s="3"/>
      <c r="W213" s="3"/>
      <c r="X213" s="3"/>
    </row>
    <row r="214" spans="1:24" ht="14" thickBot="1">
      <c r="A214" s="40">
        <v>43381</v>
      </c>
      <c r="B214" s="41">
        <f t="array" aca="1" ref="B214" ca="1">IF(AND(A214 &gt; TODAY(), A214 &lt;= TODAY() + 7),
   INDEX(calculations!B:B, MATCH(143^143, calculations!B:B)),
   IF(ISNUMBER(MATCH(A214, calculations!A:A, 0)),
      INDEX(calculations!B:B, MATCH(A214, calculations!A:A, 0)),
      ""
   )
)</f>
        <v>6604.69</v>
      </c>
      <c r="C214" s="42">
        <f t="array" aca="1" ref="C214" ca="1">IF(B214&lt;&gt;"", IF(MATCH(A214, calculations!A:A, 0), INDEX(calculations!D:D, MATCH(A214, calculations!A:A, 0)), "No Match"),"")</f>
        <v>25943820000</v>
      </c>
      <c r="D214" s="43">
        <f t="shared" ca="1" si="8"/>
        <v>6.5347823237794445E-3</v>
      </c>
      <c r="E214" s="43">
        <f t="shared" ca="1" si="0"/>
        <v>3.8625492060774258E-5</v>
      </c>
      <c r="F214" s="43">
        <f t="shared" ca="1" si="13"/>
        <v>8.3346165908365591E-2</v>
      </c>
      <c r="G214" s="42">
        <f t="shared" ca="1" si="1"/>
        <v>171350888515800</v>
      </c>
      <c r="H214" s="41">
        <f t="shared" ca="1" si="14"/>
        <v>6825.3891869227982</v>
      </c>
      <c r="I214" s="3"/>
      <c r="J214" s="43">
        <f t="shared" ca="1" si="20"/>
        <v>1</v>
      </c>
      <c r="K214" s="44" t="str">
        <f t="shared" ca="1" si="10"/>
        <v/>
      </c>
      <c r="L214" s="3"/>
      <c r="M214" s="45">
        <f t="shared" ca="1" si="2"/>
        <v>5687.6491477979343</v>
      </c>
      <c r="N214" s="47">
        <f t="shared" ca="1" si="3"/>
        <v>7963.129226047663</v>
      </c>
      <c r="O214" s="45">
        <f t="shared" ca="1" si="4"/>
        <v>5118.779128235502</v>
      </c>
      <c r="P214" s="47">
        <f t="shared" ca="1" si="5"/>
        <v>8531.9992456100936</v>
      </c>
      <c r="Q214" s="45">
        <f t="shared" ca="1" si="6"/>
        <v>4549.9091086730705</v>
      </c>
      <c r="R214" s="47">
        <f t="shared" ca="1" si="7"/>
        <v>9100.8692651725269</v>
      </c>
      <c r="S214" s="73">
        <f t="shared" ca="1" si="19"/>
        <v>1</v>
      </c>
      <c r="T214" s="73"/>
      <c r="U214" s="3"/>
      <c r="V214" s="3"/>
      <c r="W214" s="3"/>
      <c r="X214" s="3"/>
    </row>
    <row r="215" spans="1:24" ht="14" thickBot="1">
      <c r="A215" s="40">
        <v>43388</v>
      </c>
      <c r="B215" s="41">
        <f t="array" aca="1" ref="B215" ca="1">IF(AND(A215 &gt; TODAY(), A215 &lt;= TODAY() + 7),
   INDEX(calculations!B:B, MATCH(143^143, calculations!B:B)),
   IF(ISNUMBER(MATCH(A215, calculations!A:A, 0)),
      INDEX(calculations!B:B, MATCH(A215, calculations!A:A, 0)),
      ""
   )
)</f>
        <v>6442.72</v>
      </c>
      <c r="C215" s="42">
        <f t="array" aca="1" ref="C215" ca="1">IF(B215&lt;&gt;"", IF(MATCH(A215, calculations!A:A, 0), INDEX(calculations!D:D, MATCH(A215, calculations!A:A, 0)), "No Match"),"")</f>
        <v>26462410000</v>
      </c>
      <c r="D215" s="43">
        <f t="shared" ca="1" si="8"/>
        <v>-2.4523482555577833E-2</v>
      </c>
      <c r="E215" s="43">
        <f t="shared" ca="1" si="0"/>
        <v>1.3892918790875833E-3</v>
      </c>
      <c r="F215" s="43">
        <f t="shared" ca="1" si="13"/>
        <v>8.3653990988341115E-2</v>
      </c>
      <c r="G215" s="42">
        <f t="shared" ca="1" si="1"/>
        <v>170489898155200</v>
      </c>
      <c r="H215" s="41">
        <f t="shared" ca="1" si="14"/>
        <v>6812.8049524143607</v>
      </c>
      <c r="I215" s="3"/>
      <c r="J215" s="43">
        <f t="shared" ca="1" si="20"/>
        <v>1</v>
      </c>
      <c r="K215" s="44" t="str">
        <f t="shared" ca="1" si="10"/>
        <v/>
      </c>
      <c r="L215" s="3"/>
      <c r="M215" s="45">
        <f t="shared" ca="1" si="2"/>
        <v>5672.9683042251672</v>
      </c>
      <c r="N215" s="47">
        <f t="shared" ca="1" si="3"/>
        <v>7952.6416006035543</v>
      </c>
      <c r="O215" s="45">
        <f t="shared" ca="1" si="4"/>
        <v>5103.0499801305714</v>
      </c>
      <c r="P215" s="47">
        <f t="shared" ca="1" si="5"/>
        <v>8522.559924698151</v>
      </c>
      <c r="Q215" s="45">
        <f t="shared" ca="1" si="6"/>
        <v>4533.1316560359737</v>
      </c>
      <c r="R215" s="47">
        <f t="shared" ca="1" si="7"/>
        <v>9092.4782487927478</v>
      </c>
      <c r="S215" s="73">
        <f t="shared" ca="1" si="19"/>
        <v>1</v>
      </c>
      <c r="T215" s="73"/>
      <c r="U215" s="3"/>
      <c r="V215" s="3"/>
      <c r="W215" s="3"/>
      <c r="X215" s="3"/>
    </row>
    <row r="216" spans="1:24" ht="14" thickBot="1">
      <c r="A216" s="40">
        <v>43395</v>
      </c>
      <c r="B216" s="41">
        <f t="array" aca="1" ref="B216" ca="1">IF(AND(A216 &gt; TODAY(), A216 &lt;= TODAY() + 7),
   INDEX(calculations!B:B, MATCH(143^143, calculations!B:B)),
   IF(ISNUMBER(MATCH(A216, calculations!A:A, 0)),
      INDEX(calculations!B:B, MATCH(A216, calculations!A:A, 0)),
      ""
   )
)</f>
        <v>6408.03</v>
      </c>
      <c r="C216" s="42">
        <f t="array" aca="1" ref="C216" ca="1">IF(B216&lt;&gt;"", IF(MATCH(A216, calculations!A:A, 0), INDEX(calculations!D:D, MATCH(A216, calculations!A:A, 0)), "No Match"),"")</f>
        <v>29669680000</v>
      </c>
      <c r="D216" s="43">
        <f t="shared" ca="1" si="8"/>
        <v>-5.3843718181141673E-3</v>
      </c>
      <c r="E216" s="43">
        <f t="shared" ca="1" si="0"/>
        <v>3.288454078620154E-4</v>
      </c>
      <c r="F216" s="43">
        <f t="shared" ca="1" si="13"/>
        <v>8.3650036230397642E-2</v>
      </c>
      <c r="G216" s="42">
        <f t="shared" ca="1" si="1"/>
        <v>190124199530400</v>
      </c>
      <c r="H216" s="41">
        <f t="shared" ca="1" si="14"/>
        <v>6790.6294323366201</v>
      </c>
      <c r="I216" s="3"/>
      <c r="J216" s="43">
        <f t="shared" ca="1" si="20"/>
        <v>1</v>
      </c>
      <c r="K216" s="44" t="str">
        <f t="shared" ca="1" si="10"/>
        <v/>
      </c>
      <c r="L216" s="3"/>
      <c r="M216" s="45">
        <f t="shared" ca="1" si="2"/>
        <v>5654.556636252295</v>
      </c>
      <c r="N216" s="47">
        <f t="shared" ca="1" si="3"/>
        <v>7926.7022284209461</v>
      </c>
      <c r="O216" s="45">
        <f t="shared" ca="1" si="4"/>
        <v>5086.5202382101315</v>
      </c>
      <c r="P216" s="47">
        <f t="shared" ca="1" si="5"/>
        <v>8494.7386264631095</v>
      </c>
      <c r="Q216" s="45">
        <f t="shared" ca="1" si="6"/>
        <v>4518.483840167969</v>
      </c>
      <c r="R216" s="47">
        <f t="shared" ca="1" si="7"/>
        <v>9062.7750245052703</v>
      </c>
      <c r="S216" s="73">
        <f t="shared" ca="1" si="19"/>
        <v>1</v>
      </c>
      <c r="T216" s="73"/>
      <c r="U216" s="3"/>
      <c r="V216" s="3"/>
      <c r="W216" s="3"/>
      <c r="X216" s="3"/>
    </row>
    <row r="217" spans="1:24" ht="14" thickBot="1">
      <c r="A217" s="40">
        <v>43402</v>
      </c>
      <c r="B217" s="41">
        <f t="array" aca="1" ref="B217" ca="1">IF(AND(A217 &gt; TODAY(), A217 &lt;= TODAY() + 7),
   INDEX(calculations!B:B, MATCH(143^143, calculations!B:B)),
   IF(ISNUMBER(MATCH(A217, calculations!A:A, 0)),
      INDEX(calculations!B:B, MATCH(A217, calculations!A:A, 0)),
      ""
   )
)</f>
        <v>6263.04</v>
      </c>
      <c r="C217" s="42">
        <f t="array" aca="1" ref="C217" ca="1">IF(B217&lt;&gt;"", IF(MATCH(A217, calculations!A:A, 0), INDEX(calculations!D:D, MATCH(A217, calculations!A:A, 0)), "No Match"),"")</f>
        <v>24188720000</v>
      </c>
      <c r="D217" s="43">
        <f t="shared" ca="1" si="8"/>
        <v>-2.2626298566017916E-2</v>
      </c>
      <c r="E217" s="43">
        <f t="shared" ca="1" si="0"/>
        <v>1.251462927179615E-3</v>
      </c>
      <c r="F217" s="43">
        <f t="shared" ca="1" si="13"/>
        <v>7.1747443094847985E-2</v>
      </c>
      <c r="G217" s="42">
        <f t="shared" ca="1" si="1"/>
        <v>151494920908800</v>
      </c>
      <c r="H217" s="41">
        <f t="shared" ca="1" si="14"/>
        <v>6683.6196720303924</v>
      </c>
      <c r="I217" s="3"/>
      <c r="J217" s="43">
        <f t="shared" ca="1" si="20"/>
        <v>1</v>
      </c>
      <c r="K217" s="44" t="str">
        <f t="shared" ca="1" si="10"/>
        <v/>
      </c>
      <c r="L217" s="3"/>
      <c r="M217" s="45">
        <f t="shared" ca="1" si="2"/>
        <v>5724.5544278571779</v>
      </c>
      <c r="N217" s="47">
        <f t="shared" ca="1" si="3"/>
        <v>7642.684916203606</v>
      </c>
      <c r="O217" s="45">
        <f t="shared" ca="1" si="4"/>
        <v>5245.0218057705706</v>
      </c>
      <c r="P217" s="47">
        <f t="shared" ca="1" si="5"/>
        <v>8122.2175382902142</v>
      </c>
      <c r="Q217" s="45">
        <f t="shared" ca="1" si="6"/>
        <v>4765.4891836839643</v>
      </c>
      <c r="R217" s="47">
        <f t="shared" ca="1" si="7"/>
        <v>8601.7501603768214</v>
      </c>
      <c r="S217" s="73">
        <f t="shared" ca="1" si="19"/>
        <v>1</v>
      </c>
      <c r="T217" s="73"/>
      <c r="U217" s="3"/>
      <c r="V217" s="3"/>
      <c r="W217" s="3"/>
      <c r="X217" s="3"/>
    </row>
    <row r="218" spans="1:24" ht="14" thickBot="1">
      <c r="A218" s="40">
        <v>43409</v>
      </c>
      <c r="B218" s="41">
        <f t="array" aca="1" ref="B218" ca="1">IF(AND(A218 &gt; TODAY(), A218 &lt;= TODAY() + 7),
   INDEX(calculations!B:B, MATCH(143^143, calculations!B:B)),
   IF(ISNUMBER(MATCH(A218, calculations!A:A, 0)),
      INDEX(calculations!B:B, MATCH(A218, calculations!A:A, 0)),
      ""
   )
)</f>
        <v>6402.95</v>
      </c>
      <c r="C218" s="42">
        <f t="array" aca="1" ref="C218" ca="1">IF(B218&lt;&gt;"", IF(MATCH(A218, calculations!A:A, 0), INDEX(calculations!D:D, MATCH(A218, calculations!A:A, 0)), "No Match"),"")</f>
        <v>28245180000</v>
      </c>
      <c r="D218" s="43">
        <f t="shared" ca="1" si="8"/>
        <v>2.2338991927242976E-2</v>
      </c>
      <c r="E218" s="43">
        <f t="shared" ca="1" si="0"/>
        <v>9.1954071690084418E-5</v>
      </c>
      <c r="F218" s="43">
        <f t="shared" ca="1" si="13"/>
        <v>6.9577240755395856E-2</v>
      </c>
      <c r="G218" s="42">
        <f t="shared" ca="1" si="1"/>
        <v>180852475281000</v>
      </c>
      <c r="H218" s="41">
        <f t="shared" ca="1" si="14"/>
        <v>6531.0179052884569</v>
      </c>
      <c r="I218" s="3"/>
      <c r="J218" s="43">
        <f t="shared" ca="1" si="20"/>
        <v>1</v>
      </c>
      <c r="K218" s="44" t="str">
        <f t="shared" ca="1" si="10"/>
        <v/>
      </c>
      <c r="L218" s="3"/>
      <c r="M218" s="45">
        <f t="shared" ca="1" si="2"/>
        <v>5622.1974949403448</v>
      </c>
      <c r="N218" s="47">
        <f t="shared" ca="1" si="3"/>
        <v>7439.838315636569</v>
      </c>
      <c r="O218" s="45">
        <f t="shared" ca="1" si="4"/>
        <v>5167.7872897662892</v>
      </c>
      <c r="P218" s="47">
        <f t="shared" ca="1" si="5"/>
        <v>7894.2485208106245</v>
      </c>
      <c r="Q218" s="45">
        <f t="shared" ca="1" si="6"/>
        <v>4713.3770845922327</v>
      </c>
      <c r="R218" s="47">
        <f t="shared" ca="1" si="7"/>
        <v>8348.6587259846801</v>
      </c>
      <c r="S218" s="73">
        <f t="shared" ca="1" si="19"/>
        <v>1</v>
      </c>
      <c r="T218" s="73"/>
      <c r="U218" s="3"/>
      <c r="V218" s="3"/>
      <c r="W218" s="3"/>
      <c r="X218" s="3"/>
    </row>
    <row r="219" spans="1:24" ht="14" thickBot="1">
      <c r="A219" s="40">
        <v>43416</v>
      </c>
      <c r="B219" s="41">
        <f t="array" aca="1" ref="B219" ca="1">IF(AND(A219 &gt; TODAY(), A219 &lt;= TODAY() + 7),
   INDEX(calculations!B:B, MATCH(143^143, calculations!B:B)),
   IF(ISNUMBER(MATCH(A219, calculations!A:A, 0)),
      INDEX(calculations!B:B, MATCH(A219, calculations!A:A, 0)),
      ""
   )
)</f>
        <v>6320.66</v>
      </c>
      <c r="C219" s="42">
        <f t="array" aca="1" ref="C219" ca="1">IF(B219&lt;&gt;"", IF(MATCH(A219, calculations!A:A, 0), INDEX(calculations!D:D, MATCH(A219, calculations!A:A, 0)), "No Match"),"")</f>
        <v>30472560000</v>
      </c>
      <c r="D219" s="43">
        <f t="shared" ca="1" si="8"/>
        <v>-1.285188858260645E-2</v>
      </c>
      <c r="E219" s="43">
        <f t="shared" ca="1" si="0"/>
        <v>6.5544253396537702E-4</v>
      </c>
      <c r="F219" s="43">
        <f t="shared" ca="1" si="13"/>
        <v>5.7358773802453064E-2</v>
      </c>
      <c r="G219" s="42">
        <f t="shared" ca="1" si="1"/>
        <v>192606691089600</v>
      </c>
      <c r="H219" s="41">
        <f t="shared" ca="1" si="14"/>
        <v>6483.2988399430014</v>
      </c>
      <c r="I219" s="3"/>
      <c r="J219" s="43">
        <f t="shared" ca="1" si="20"/>
        <v>1</v>
      </c>
      <c r="K219" s="44" t="str">
        <f t="shared" ca="1" si="10"/>
        <v/>
      </c>
      <c r="L219" s="3"/>
      <c r="M219" s="45">
        <f t="shared" ca="1" si="2"/>
        <v>5739.5506966350076</v>
      </c>
      <c r="N219" s="47">
        <f t="shared" ca="1" si="3"/>
        <v>7227.0469832509953</v>
      </c>
      <c r="O219" s="45">
        <f t="shared" ca="1" si="4"/>
        <v>5367.6766249810107</v>
      </c>
      <c r="P219" s="47">
        <f t="shared" ca="1" si="5"/>
        <v>7598.9210549049913</v>
      </c>
      <c r="Q219" s="45">
        <f t="shared" ca="1" si="6"/>
        <v>4995.8025533270129</v>
      </c>
      <c r="R219" s="47">
        <f t="shared" ca="1" si="7"/>
        <v>7970.79512655899</v>
      </c>
      <c r="S219" s="73">
        <f t="shared" ca="1" si="19"/>
        <v>1</v>
      </c>
      <c r="T219" s="73"/>
      <c r="U219" s="3"/>
      <c r="V219" s="3"/>
      <c r="W219" s="3"/>
      <c r="X219" s="3"/>
    </row>
    <row r="220" spans="1:24" ht="14" thickBot="1">
      <c r="A220" s="40">
        <v>43423</v>
      </c>
      <c r="B220" s="41">
        <f t="array" aca="1" ref="B220" ca="1">IF(AND(A220 &gt; TODAY(), A220 &lt;= TODAY() + 7),
   INDEX(calculations!B:B, MATCH(143^143, calculations!B:B)),
   IF(ISNUMBER(MATCH(A220, calculations!A:A, 0)),
      INDEX(calculations!B:B, MATCH(A220, calculations!A:A, 0)),
      ""
   )
)</f>
        <v>4792.2</v>
      </c>
      <c r="C220" s="42">
        <f t="array" aca="1" ref="C220" ca="1">IF(B220&lt;&gt;"", IF(MATCH(A220, calculations!A:A, 0), INDEX(calculations!D:D, MATCH(A220, calculations!A:A, 0)), "No Match"),"")</f>
        <v>36972800000</v>
      </c>
      <c r="D220" s="43">
        <f t="shared" ca="1" si="8"/>
        <v>-0.24181968338749435</v>
      </c>
      <c r="E220" s="43">
        <f t="shared" ca="1" si="0"/>
        <v>6.4805582850832238E-2</v>
      </c>
      <c r="F220" s="43">
        <f t="shared" ca="1" si="13"/>
        <v>8.278246813924324E-2</v>
      </c>
      <c r="G220" s="42">
        <f t="shared" ca="1" si="1"/>
        <v>177181052160000</v>
      </c>
      <c r="H220" s="41">
        <f t="shared" ca="1" si="14"/>
        <v>6347.9420620723777</v>
      </c>
      <c r="I220" s="3"/>
      <c r="J220" s="43">
        <f t="shared" ca="1" si="20"/>
        <v>2.6714984500806169</v>
      </c>
      <c r="K220" s="44">
        <f t="shared" ca="1" si="10"/>
        <v>2</v>
      </c>
      <c r="L220" s="3"/>
      <c r="M220" s="45">
        <f t="shared" ca="1" si="2"/>
        <v>5296.9454390658402</v>
      </c>
      <c r="N220" s="47">
        <f t="shared" ca="1" si="3"/>
        <v>7398.9386850789151</v>
      </c>
      <c r="O220" s="45">
        <f t="shared" ca="1" si="4"/>
        <v>4771.4471275625719</v>
      </c>
      <c r="P220" s="47">
        <f t="shared" ca="1" si="5"/>
        <v>7924.4369965821843</v>
      </c>
      <c r="Q220" s="45">
        <f t="shared" ca="1" si="6"/>
        <v>4245.9488160593037</v>
      </c>
      <c r="R220" s="47">
        <f t="shared" ca="1" si="7"/>
        <v>8449.9353080854526</v>
      </c>
      <c r="S220" s="73">
        <f t="shared" ca="1" si="19"/>
        <v>2.6714984500806169</v>
      </c>
      <c r="T220" s="73"/>
      <c r="U220" s="3"/>
      <c r="V220" s="3"/>
      <c r="W220" s="3"/>
      <c r="X220" s="3"/>
    </row>
    <row r="221" spans="1:24" ht="14" thickBot="1">
      <c r="A221" s="40">
        <v>43430</v>
      </c>
      <c r="B221" s="41">
        <f t="array" aca="1" ref="B221" ca="1">IF(AND(A221 &gt; TODAY(), A221 &lt;= TODAY() + 7),
   INDEX(calculations!B:B, MATCH(143^143, calculations!B:B)),
   IF(ISNUMBER(MATCH(A221, calculations!A:A, 0)),
      INDEX(calculations!B:B, MATCH(A221, calculations!A:A, 0)),
      ""
   )
)</f>
        <v>3700.29</v>
      </c>
      <c r="C221" s="42">
        <f t="array" aca="1" ref="C221" ca="1">IF(B221&lt;&gt;"", IF(MATCH(A221, calculations!A:A, 0), INDEX(calculations!D:D, MATCH(A221, calculations!A:A, 0)), "No Match"),"")</f>
        <v>42533970000</v>
      </c>
      <c r="D221" s="43">
        <f t="shared" ca="1" si="8"/>
        <v>-0.22785150870164014</v>
      </c>
      <c r="E221" s="43">
        <f t="shared" ca="1" si="0"/>
        <v>5.7888952868691751E-2</v>
      </c>
      <c r="F221" s="43">
        <f t="shared" ca="1" si="13"/>
        <v>0.10007864093146841</v>
      </c>
      <c r="G221" s="42">
        <f t="shared" ca="1" si="1"/>
        <v>157388023851300</v>
      </c>
      <c r="H221" s="41">
        <f t="shared" ca="1" si="14"/>
        <v>6086.4860265435473</v>
      </c>
      <c r="I221" s="3"/>
      <c r="J221" s="43">
        <f t="shared" ca="1" si="20"/>
        <v>2.8887097822027736</v>
      </c>
      <c r="K221" s="44">
        <f t="shared" ca="1" si="10"/>
        <v>3</v>
      </c>
      <c r="L221" s="3"/>
      <c r="M221" s="45">
        <f t="shared" ca="1" si="2"/>
        <v>4868.2315273738441</v>
      </c>
      <c r="N221" s="47">
        <f t="shared" ca="1" si="3"/>
        <v>7304.7405257132514</v>
      </c>
      <c r="O221" s="45">
        <f t="shared" ca="1" si="4"/>
        <v>4259.1042777889925</v>
      </c>
      <c r="P221" s="47">
        <f t="shared" ca="1" si="5"/>
        <v>7913.8677752981012</v>
      </c>
      <c r="Q221" s="45">
        <f t="shared" ca="1" si="6"/>
        <v>3649.9770282041413</v>
      </c>
      <c r="R221" s="47">
        <f t="shared" ca="1" si="7"/>
        <v>8522.9950248829537</v>
      </c>
      <c r="S221" s="73">
        <f t="shared" ref="S221:S284" ca="1" si="21">IF(B221="","",
 IF(B221&lt;Q221, 1+(4*ABS(D221))+(1+$X$2)+F221,
 IF(B221&lt;O221, 1+(3*ABS(D221))+(1+$X$2)+F221,
 IF(B221&lt;M221, 1+(2*ABS(D221))+(1+$X$2)+F221,
 IF(B221&gt;R221, 1-(4*ABS(D221))-(1+$X$2)-F221,
 IF(B221&gt;P221, 1-(3*ABS(D221))-(1+$X$2)-F221,
 IF(B221&gt;N221, 1-(2*ABS(D221))-(1+$X$2)-F221,
 1)))))))</f>
        <v>2.8887097822027736</v>
      </c>
      <c r="T221" s="73"/>
      <c r="U221" s="3"/>
      <c r="V221" s="3"/>
      <c r="W221" s="3"/>
      <c r="X221" s="3"/>
    </row>
    <row r="222" spans="1:24" ht="14" thickBot="1">
      <c r="A222" s="40">
        <v>43437</v>
      </c>
      <c r="B222" s="41">
        <f t="array" aca="1" ref="B222" ca="1">IF(AND(A222 &gt; TODAY(), A222 &lt;= TODAY() + 7),
   INDEX(calculations!B:B, MATCH(143^143, calculations!B:B)),
   IF(ISNUMBER(MATCH(A222, calculations!A:A, 0)),
      INDEX(calculations!B:B, MATCH(A222, calculations!A:A, 0)),
      ""
   )
)</f>
        <v>3843.98</v>
      </c>
      <c r="C222" s="42">
        <f t="array" aca="1" ref="C222" ca="1">IF(B222&lt;&gt;"", IF(MATCH(A222, calculations!A:A, 0), INDEX(calculations!D:D, MATCH(A222, calculations!A:A, 0)), "No Match"),"")</f>
        <v>42945276472</v>
      </c>
      <c r="D222" s="43">
        <f t="shared" ca="1" si="8"/>
        <v>3.8832091538771298E-2</v>
      </c>
      <c r="E222" s="43">
        <f t="shared" ca="1" si="0"/>
        <v>6.8028992990918702E-4</v>
      </c>
      <c r="F222" s="43">
        <f t="shared" ca="1" si="13"/>
        <v>9.6120802065031416E-2</v>
      </c>
      <c r="G222" s="42">
        <f t="shared" ca="1" si="1"/>
        <v>165080783852838.56</v>
      </c>
      <c r="H222" s="41">
        <f t="shared" ca="1" si="14"/>
        <v>5822.7829869385196</v>
      </c>
      <c r="I222" s="3"/>
      <c r="J222" s="43">
        <f t="shared" ca="1" si="20"/>
        <v>2.31769369184773</v>
      </c>
      <c r="K222" s="44">
        <f t="shared" ca="1" si="10"/>
        <v>3</v>
      </c>
      <c r="L222" s="3"/>
      <c r="M222" s="45">
        <f t="shared" ca="1" si="2"/>
        <v>4703.4018450282201</v>
      </c>
      <c r="N222" s="47">
        <f t="shared" ca="1" si="3"/>
        <v>6942.164128848819</v>
      </c>
      <c r="O222" s="45">
        <f t="shared" ca="1" si="4"/>
        <v>4143.7112740730699</v>
      </c>
      <c r="P222" s="47">
        <f t="shared" ca="1" si="5"/>
        <v>7501.8546998039692</v>
      </c>
      <c r="Q222" s="45">
        <f t="shared" ca="1" si="6"/>
        <v>3584.0207031179198</v>
      </c>
      <c r="R222" s="47">
        <f t="shared" ca="1" si="7"/>
        <v>8061.5452707591194</v>
      </c>
      <c r="S222" s="73">
        <f t="shared" ca="1" si="21"/>
        <v>2.31769369184773</v>
      </c>
      <c r="T222" s="73"/>
      <c r="U222" s="3"/>
      <c r="V222" s="3"/>
      <c r="W222" s="3"/>
      <c r="X222" s="3"/>
    </row>
    <row r="223" spans="1:24" ht="14" thickBot="1">
      <c r="A223" s="40">
        <v>43444</v>
      </c>
      <c r="B223" s="41">
        <f t="array" aca="1" ref="B223" ca="1">IF(AND(A223 &gt; TODAY(), A223 &lt;= TODAY() + 7),
   INDEX(calculations!B:B, MATCH(143^143, calculations!B:B)),
   IF(ISNUMBER(MATCH(A223, calculations!A:A, 0)),
      INDEX(calculations!B:B, MATCH(A223, calculations!A:A, 0)),
      ""
   )
)</f>
        <v>3413.59</v>
      </c>
      <c r="C223" s="42">
        <f t="array" aca="1" ref="C223" ca="1">IF(B223&lt;&gt;"", IF(MATCH(A223, calculations!A:A, 0), INDEX(calculations!D:D, MATCH(A223, calculations!A:A, 0)), "No Match"),"")</f>
        <v>38386467708</v>
      </c>
      <c r="D223" s="43">
        <f t="shared" ca="1" si="8"/>
        <v>-0.11196468243851422</v>
      </c>
      <c r="E223" s="43">
        <f t="shared" ca="1" si="0"/>
        <v>1.5553683013216463E-2</v>
      </c>
      <c r="F223" s="43">
        <f t="shared" ca="1" si="13"/>
        <v>9.3847483655801395E-2</v>
      </c>
      <c r="G223" s="42">
        <f t="shared" ca="1" si="1"/>
        <v>131035662303351.72</v>
      </c>
      <c r="H223" s="41">
        <f t="shared" ca="1" si="14"/>
        <v>5518.9499992249948</v>
      </c>
      <c r="I223" s="3"/>
      <c r="J223" s="43">
        <f t="shared" ca="1" si="20"/>
        <v>2.6467828285762431</v>
      </c>
      <c r="K223" s="44">
        <f t="shared" ca="1" si="10"/>
        <v>4</v>
      </c>
      <c r="L223" s="3"/>
      <c r="M223" s="45">
        <f t="shared" ca="1" si="2"/>
        <v>4483.0708595260885</v>
      </c>
      <c r="N223" s="47">
        <f t="shared" ca="1" si="3"/>
        <v>6554.8291389239012</v>
      </c>
      <c r="O223" s="45">
        <f t="shared" ca="1" si="4"/>
        <v>3965.1312896766367</v>
      </c>
      <c r="P223" s="47">
        <f t="shared" ca="1" si="5"/>
        <v>7072.7687087733539</v>
      </c>
      <c r="Q223" s="45">
        <f t="shared" ca="1" si="6"/>
        <v>3447.1917198271835</v>
      </c>
      <c r="R223" s="47">
        <f t="shared" ca="1" si="7"/>
        <v>7590.7082786228066</v>
      </c>
      <c r="S223" s="73">
        <f t="shared" ca="1" si="21"/>
        <v>2.6467828285762431</v>
      </c>
      <c r="T223" s="73"/>
      <c r="U223" s="3"/>
      <c r="V223" s="3"/>
      <c r="W223" s="3"/>
      <c r="X223" s="3"/>
    </row>
    <row r="224" spans="1:24" ht="14" thickBot="1">
      <c r="A224" s="40">
        <v>43451</v>
      </c>
      <c r="B224" s="41">
        <f t="array" aca="1" ref="B224" ca="1">IF(AND(A224 &gt; TODAY(), A224 &lt;= TODAY() + 7),
   INDEX(calculations!B:B, MATCH(143^143, calculations!B:B)),
   IF(ISNUMBER(MATCH(A224, calculations!A:A, 0)),
      INDEX(calculations!B:B, MATCH(A224, calculations!A:A, 0)),
      ""
   )
)</f>
        <v>3499.16</v>
      </c>
      <c r="C224" s="42">
        <f t="array" aca="1" ref="C224" ca="1">IF(B224&lt;&gt;"", IF(MATCH(A224, calculations!A:A, 0), INDEX(calculations!D:D, MATCH(A224, calculations!A:A, 0)), "No Match"),"")</f>
        <v>29869247431</v>
      </c>
      <c r="D224" s="43">
        <f t="shared" ca="1" si="8"/>
        <v>2.5067450982689692E-2</v>
      </c>
      <c r="E224" s="43">
        <f t="shared" ca="1" si="0"/>
        <v>1.517264138322069E-4</v>
      </c>
      <c r="F224" s="43">
        <f t="shared" ca="1" si="13"/>
        <v>9.2339090948304822E-2</v>
      </c>
      <c r="G224" s="42">
        <f t="shared" ca="1" si="1"/>
        <v>104517275840657.95</v>
      </c>
      <c r="H224" s="41">
        <f t="shared" ca="1" si="14"/>
        <v>5328.7192901700791</v>
      </c>
      <c r="I224" s="3"/>
      <c r="J224" s="43">
        <f t="shared" ca="1" si="20"/>
        <v>2.2726180590627587</v>
      </c>
      <c r="K224" s="44">
        <f t="shared" ca="1" si="10"/>
        <v>3</v>
      </c>
      <c r="L224" s="3"/>
      <c r="M224" s="45">
        <f t="shared" ca="1" si="2"/>
        <v>4344.6210998240767</v>
      </c>
      <c r="N224" s="47">
        <f t="shared" ca="1" si="3"/>
        <v>6312.8174805160816</v>
      </c>
      <c r="O224" s="45">
        <f t="shared" ca="1" si="4"/>
        <v>3852.5720046510751</v>
      </c>
      <c r="P224" s="47">
        <f t="shared" ca="1" si="5"/>
        <v>6804.8665756890832</v>
      </c>
      <c r="Q224" s="45">
        <f t="shared" ca="1" si="6"/>
        <v>3360.5229094780739</v>
      </c>
      <c r="R224" s="47">
        <f t="shared" ca="1" si="7"/>
        <v>7296.9156708620849</v>
      </c>
      <c r="S224" s="73">
        <f t="shared" ca="1" si="21"/>
        <v>2.2726180590627587</v>
      </c>
      <c r="T224" s="73"/>
      <c r="U224" s="3"/>
      <c r="V224" s="3"/>
      <c r="W224" s="3"/>
      <c r="X224" s="3"/>
    </row>
    <row r="225" spans="1:24" ht="14" thickBot="1">
      <c r="A225" s="40">
        <v>43458</v>
      </c>
      <c r="B225" s="41">
        <f t="array" aca="1" ref="B225" ca="1">IF(AND(A225 &gt; TODAY(), A225 &lt;= TODAY() + 7),
   INDEX(calculations!B:B, MATCH(143^143, calculations!B:B)),
   IF(ISNUMBER(MATCH(A225, calculations!A:A, 0)),
      INDEX(calculations!B:B, MATCH(A225, calculations!A:A, 0)),
      ""
   )
)</f>
        <v>4040.05</v>
      </c>
      <c r="C225" s="42">
        <f t="array" aca="1" ref="C225" ca="1">IF(B225&lt;&gt;"", IF(MATCH(A225, calculations!A:A, 0), INDEX(calculations!D:D, MATCH(A225, calculations!A:A, 0)), "No Match"),"")</f>
        <v>46021506218</v>
      </c>
      <c r="D225" s="43">
        <f t="shared" ca="1" si="8"/>
        <v>0.15457709850364099</v>
      </c>
      <c r="E225" s="43">
        <f t="shared" ca="1" si="0"/>
        <v>2.0115004340658205E-2</v>
      </c>
      <c r="F225" s="43">
        <f t="shared" ca="1" si="13"/>
        <v>0.10546209755700808</v>
      </c>
      <c r="G225" s="42">
        <f t="shared" ca="1" si="1"/>
        <v>185929186196030.91</v>
      </c>
      <c r="H225" s="41">
        <f t="shared" ca="1" si="14"/>
        <v>5148.4327596904668</v>
      </c>
      <c r="I225" s="3"/>
      <c r="J225" s="43">
        <f t="shared" ca="1" si="20"/>
        <v>2.5196929097306748</v>
      </c>
      <c r="K225" s="44">
        <f t="shared" ca="1" si="10"/>
        <v>2</v>
      </c>
      <c r="L225" s="3"/>
      <c r="M225" s="45">
        <f t="shared" ca="1" si="2"/>
        <v>4062.5037237541219</v>
      </c>
      <c r="N225" s="47">
        <f t="shared" ca="1" si="3"/>
        <v>6234.3617956268117</v>
      </c>
      <c r="O225" s="45">
        <f t="shared" ca="1" si="4"/>
        <v>3519.5392057859499</v>
      </c>
      <c r="P225" s="47">
        <f t="shared" ca="1" si="5"/>
        <v>6777.3263135949846</v>
      </c>
      <c r="Q225" s="45">
        <f t="shared" ca="1" si="6"/>
        <v>2976.5746878177774</v>
      </c>
      <c r="R225" s="47">
        <f t="shared" ca="1" si="7"/>
        <v>7320.2908315631566</v>
      </c>
      <c r="S225" s="73">
        <f t="shared" ca="1" si="21"/>
        <v>2.5196929097306748</v>
      </c>
      <c r="T225" s="73"/>
      <c r="U225" s="3"/>
      <c r="V225" s="3"/>
      <c r="W225" s="3"/>
      <c r="X225" s="3"/>
    </row>
    <row r="226" spans="1:24" ht="14" thickBot="1">
      <c r="A226" s="40">
        <v>43465</v>
      </c>
      <c r="B226" s="41">
        <f t="array" aca="1" ref="B226" ca="1">IF(AND(A226 &gt; TODAY(), A226 &lt;= TODAY() + 7),
   INDEX(calculations!B:B, MATCH(143^143, calculations!B:B)),
   IF(ISNUMBER(MATCH(A226, calculations!A:A, 0)),
      INDEX(calculations!B:B, MATCH(A226, calculations!A:A, 0)),
      ""
   )
)</f>
        <v>3687.2</v>
      </c>
      <c r="C226" s="42">
        <f t="array" aca="1" ref="C226" ca="1">IF(B226&lt;&gt;"", IF(MATCH(A226, calculations!A:A, 0), INDEX(calculations!D:D, MATCH(A226, calculations!A:A, 0)), "No Match"),"")</f>
        <v>39249734918</v>
      </c>
      <c r="D226" s="43">
        <f t="shared" ca="1" si="8"/>
        <v>-8.7338027994703124E-2</v>
      </c>
      <c r="E226" s="43">
        <f t="shared" ca="1" si="0"/>
        <v>1.0017557970871699E-2</v>
      </c>
      <c r="F226" s="43">
        <f t="shared" ca="1" si="13"/>
        <v>0.10427188975592037</v>
      </c>
      <c r="G226" s="42">
        <f t="shared" ca="1" si="1"/>
        <v>144721622589649.59</v>
      </c>
      <c r="H226" s="41">
        <f t="shared" ca="1" si="14"/>
        <v>4929.9035682555887</v>
      </c>
      <c r="I226" s="3"/>
      <c r="J226" s="43">
        <f t="shared" ca="1" si="20"/>
        <v>2.3840245609117114</v>
      </c>
      <c r="K226" s="44">
        <f t="shared" ca="1" si="10"/>
        <v>2</v>
      </c>
      <c r="L226" s="3"/>
      <c r="M226" s="45">
        <f t="shared" ca="1" si="2"/>
        <v>3901.8028455026579</v>
      </c>
      <c r="N226" s="47">
        <f t="shared" ca="1" si="3"/>
        <v>5958.0042910085194</v>
      </c>
      <c r="O226" s="45">
        <f t="shared" ca="1" si="4"/>
        <v>3387.7524841261934</v>
      </c>
      <c r="P226" s="47">
        <f t="shared" ca="1" si="5"/>
        <v>6472.0546523849844</v>
      </c>
      <c r="Q226" s="45">
        <f t="shared" ca="1" si="6"/>
        <v>2873.7021227497276</v>
      </c>
      <c r="R226" s="47">
        <f t="shared" ca="1" si="7"/>
        <v>6986.1050137614502</v>
      </c>
      <c r="S226" s="73">
        <f t="shared" ca="1" si="21"/>
        <v>2.3840245609117114</v>
      </c>
      <c r="T226" s="73"/>
      <c r="U226" s="3"/>
      <c r="V226" s="3"/>
      <c r="W226" s="3"/>
      <c r="X226" s="3"/>
    </row>
    <row r="227" spans="1:24" ht="14" thickBot="1">
      <c r="A227" s="40">
        <v>43472</v>
      </c>
      <c r="B227" s="41">
        <f t="array" aca="1" ref="B227" ca="1">IF(AND(A227 &gt; TODAY(), A227 &lt;= TODAY() + 7),
   INDEX(calculations!B:B, MATCH(143^143, calculations!B:B)),
   IF(ISNUMBER(MATCH(A227, calculations!A:A, 0)),
      INDEX(calculations!B:B, MATCH(A227, calculations!A:A, 0)),
      ""
   )
)</f>
        <v>4001.02</v>
      </c>
      <c r="C227" s="42">
        <f t="array" aca="1" ref="C227" ca="1">IF(B227&lt;&gt;"", IF(MATCH(A227, calculations!A:A, 0), INDEX(calculations!D:D, MATCH(A227, calculations!A:A, 0)), "No Match"),"")</f>
        <v>34343716582</v>
      </c>
      <c r="D227" s="43">
        <f t="shared" ca="1" si="8"/>
        <v>8.5110653070080325E-2</v>
      </c>
      <c r="E227" s="43">
        <f t="shared" ca="1" si="0"/>
        <v>5.2361041487740912E-3</v>
      </c>
      <c r="F227" s="43">
        <f t="shared" ca="1" si="13"/>
        <v>0.10889063408162319</v>
      </c>
      <c r="G227" s="42">
        <f t="shared" ca="1" si="1"/>
        <v>137409896918913.64</v>
      </c>
      <c r="H227" s="41">
        <f t="shared" ca="1" si="14"/>
        <v>4755.2248606979956</v>
      </c>
      <c r="I227" s="3"/>
      <c r="J227" s="43">
        <f t="shared" ca="1" si="20"/>
        <v>1</v>
      </c>
      <c r="K227" s="44" t="str">
        <f t="shared" ca="1" si="10"/>
        <v/>
      </c>
      <c r="L227" s="3"/>
      <c r="M227" s="45">
        <f t="shared" ca="1" si="2"/>
        <v>3719.6259601337892</v>
      </c>
      <c r="N227" s="47">
        <f t="shared" ca="1" si="3"/>
        <v>5790.8237612622015</v>
      </c>
      <c r="O227" s="45">
        <f t="shared" ca="1" si="4"/>
        <v>3201.8265098516863</v>
      </c>
      <c r="P227" s="47">
        <f t="shared" ca="1" si="5"/>
        <v>6308.6232115443054</v>
      </c>
      <c r="Q227" s="45">
        <f t="shared" ca="1" si="6"/>
        <v>2684.0270595695833</v>
      </c>
      <c r="R227" s="47">
        <f t="shared" ca="1" si="7"/>
        <v>6826.4226618264083</v>
      </c>
      <c r="S227" s="73">
        <f t="shared" ca="1" si="21"/>
        <v>1</v>
      </c>
      <c r="T227" s="73"/>
      <c r="U227" s="3"/>
      <c r="V227" s="3"/>
      <c r="W227" s="3"/>
      <c r="X227" s="3"/>
    </row>
    <row r="228" spans="1:24" ht="14" thickBot="1">
      <c r="A228" s="40">
        <v>43479</v>
      </c>
      <c r="B228" s="41">
        <f t="array" aca="1" ref="B228" ca="1">IF(AND(A228 &gt; TODAY(), A228 &lt;= TODAY() + 7),
   INDEX(calculations!B:B, MATCH(143^143, calculations!B:B)),
   IF(ISNUMBER(MATCH(A228, calculations!A:A, 0)),
      INDEX(calculations!B:B, MATCH(A228, calculations!A:A, 0)),
      ""
   )
)</f>
        <v>3666.95</v>
      </c>
      <c r="C228" s="42">
        <f t="array" aca="1" ref="C228" ca="1">IF(B228&lt;&gt;"", IF(MATCH(A228, calculations!A:A, 0), INDEX(calculations!D:D, MATCH(A228, calculations!A:A, 0)), "No Match"),"")</f>
        <v>37523454177</v>
      </c>
      <c r="D228" s="43">
        <f t="shared" ca="1" si="8"/>
        <v>-8.3496208466840999E-2</v>
      </c>
      <c r="E228" s="43">
        <f t="shared" ca="1" si="0"/>
        <v>9.2632793928619193E-3</v>
      </c>
      <c r="F228" s="43">
        <f t="shared" ca="1" si="13"/>
        <v>0.1093069444655338</v>
      </c>
      <c r="G228" s="42">
        <f t="shared" ca="1" si="1"/>
        <v>137596630294350.14</v>
      </c>
      <c r="H228" s="41">
        <f t="shared" ca="1" si="14"/>
        <v>4572.8038106019076</v>
      </c>
      <c r="I228" s="3"/>
      <c r="J228" s="43">
        <f t="shared" ca="1" si="20"/>
        <v>1</v>
      </c>
      <c r="K228" s="44" t="str">
        <f t="shared" ca="1" si="10"/>
        <v/>
      </c>
      <c r="L228" s="3"/>
      <c r="M228" s="45">
        <f t="shared" ca="1" si="2"/>
        <v>3573.1253862474196</v>
      </c>
      <c r="N228" s="47">
        <f t="shared" ca="1" si="3"/>
        <v>5572.4822349563956</v>
      </c>
      <c r="O228" s="45">
        <f t="shared" ca="1" si="4"/>
        <v>3073.2861740701755</v>
      </c>
      <c r="P228" s="47">
        <f t="shared" ca="1" si="5"/>
        <v>6072.3214471336396</v>
      </c>
      <c r="Q228" s="45">
        <f t="shared" ca="1" si="6"/>
        <v>2573.4469618929315</v>
      </c>
      <c r="R228" s="47">
        <f t="shared" ca="1" si="7"/>
        <v>6572.1606593108836</v>
      </c>
      <c r="S228" s="73">
        <f t="shared" ca="1" si="21"/>
        <v>1</v>
      </c>
      <c r="T228" s="73"/>
      <c r="U228" s="3"/>
      <c r="V228" s="3"/>
      <c r="W228" s="3"/>
      <c r="X228" s="3"/>
    </row>
    <row r="229" spans="1:24" ht="14" thickBot="1">
      <c r="A229" s="40">
        <v>43486</v>
      </c>
      <c r="B229" s="41">
        <f t="array" aca="1" ref="B229" ca="1">IF(AND(A229 &gt; TODAY(), A229 &lt;= TODAY() + 7),
   INDEX(calculations!B:B, MATCH(143^143, calculations!B:B)),
   IF(ISNUMBER(MATCH(A229, calculations!A:A, 0)),
      INDEX(calculations!B:B, MATCH(A229, calculations!A:A, 0)),
      ""
   )
)</f>
        <v>3535.62</v>
      </c>
      <c r="C229" s="42">
        <f t="array" aca="1" ref="C229" ca="1">IF(B229&lt;&gt;"", IF(MATCH(A229, calculations!A:A, 0), INDEX(calculations!D:D, MATCH(A229, calculations!A:A, 0)), "No Match"),"")</f>
        <v>38588596987</v>
      </c>
      <c r="D229" s="43">
        <f t="shared" ca="1" si="8"/>
        <v>-3.5814505242776677E-2</v>
      </c>
      <c r="E229" s="43">
        <f t="shared" ca="1" si="0"/>
        <v>2.358484299603622E-3</v>
      </c>
      <c r="F229" s="43">
        <f t="shared" ca="1" si="13"/>
        <v>0.10926425001277967</v>
      </c>
      <c r="G229" s="42">
        <f t="shared" ca="1" si="1"/>
        <v>136434615279176.94</v>
      </c>
      <c r="H229" s="41">
        <f t="shared" ca="1" si="14"/>
        <v>4393.4370772176208</v>
      </c>
      <c r="I229" s="3"/>
      <c r="J229" s="43">
        <f t="shared" ca="1" si="20"/>
        <v>1</v>
      </c>
      <c r="K229" s="44" t="str">
        <f t="shared" ca="1" si="10"/>
        <v/>
      </c>
      <c r="L229" s="3"/>
      <c r="M229" s="45">
        <f t="shared" ca="1" si="2"/>
        <v>3433.3458627765767</v>
      </c>
      <c r="N229" s="47">
        <f t="shared" ca="1" si="3"/>
        <v>5353.5282916586648</v>
      </c>
      <c r="O229" s="45">
        <f t="shared" ca="1" si="4"/>
        <v>2953.3002555560543</v>
      </c>
      <c r="P229" s="47">
        <f t="shared" ca="1" si="5"/>
        <v>5833.5738988791873</v>
      </c>
      <c r="Q229" s="45">
        <f t="shared" ca="1" si="6"/>
        <v>2473.2546483355322</v>
      </c>
      <c r="R229" s="47">
        <f t="shared" ca="1" si="7"/>
        <v>6313.6195060997088</v>
      </c>
      <c r="S229" s="73">
        <f t="shared" ca="1" si="21"/>
        <v>1</v>
      </c>
      <c r="T229" s="73"/>
      <c r="U229" s="3"/>
      <c r="V229" s="3"/>
      <c r="W229" s="3"/>
      <c r="X229" s="3"/>
    </row>
    <row r="230" spans="1:24" ht="14" thickBot="1">
      <c r="A230" s="40">
        <v>43493</v>
      </c>
      <c r="B230" s="41">
        <f t="array" aca="1" ref="B230" ca="1">IF(AND(A230 &gt; TODAY(), A230 &lt;= TODAY() + 7),
   INDEX(calculations!B:B, MATCH(143^143, calculations!B:B)),
   IF(ISNUMBER(MATCH(A230, calculations!A:A, 0)),
      INDEX(calculations!B:B, MATCH(A230, calculations!A:A, 0)),
      ""
   )
)</f>
        <v>3435.05</v>
      </c>
      <c r="C230" s="42">
        <f t="array" aca="1" ref="C230" ca="1">IF(B230&lt;&gt;"", IF(MATCH(A230, calculations!A:A, 0), INDEX(calculations!D:D, MATCH(A230, calculations!A:A, 0)), "No Match"),"")</f>
        <v>36949379050</v>
      </c>
      <c r="D230" s="43">
        <f t="shared" ca="1" si="8"/>
        <v>-2.8444798932011843E-2</v>
      </c>
      <c r="E230" s="43">
        <f t="shared" ca="1" si="0"/>
        <v>1.6969886667151136E-3</v>
      </c>
      <c r="F230" s="43">
        <f t="shared" ca="1" si="13"/>
        <v>0.10894145880849002</v>
      </c>
      <c r="G230" s="42">
        <f t="shared" ca="1" si="1"/>
        <v>126922964505702.5</v>
      </c>
      <c r="H230" s="41">
        <f t="shared" ca="1" si="14"/>
        <v>4205.4341142002531</v>
      </c>
      <c r="I230" s="3"/>
      <c r="J230" s="43">
        <f t="shared" ca="1" si="20"/>
        <v>1</v>
      </c>
      <c r="K230" s="44" t="str">
        <f t="shared" ca="1" si="10"/>
        <v/>
      </c>
      <c r="L230" s="3"/>
      <c r="M230" s="45">
        <f t="shared" ca="1" si="2"/>
        <v>3289.1418595523219</v>
      </c>
      <c r="N230" s="47">
        <f t="shared" ca="1" si="3"/>
        <v>5121.7263688481844</v>
      </c>
      <c r="O230" s="45">
        <f t="shared" ca="1" si="4"/>
        <v>2830.9957322283567</v>
      </c>
      <c r="P230" s="47">
        <f t="shared" ca="1" si="5"/>
        <v>5579.87249617215</v>
      </c>
      <c r="Q230" s="45">
        <f t="shared" ca="1" si="6"/>
        <v>2372.8496049043906</v>
      </c>
      <c r="R230" s="47">
        <f t="shared" ca="1" si="7"/>
        <v>6038.0186234961157</v>
      </c>
      <c r="S230" s="73">
        <f t="shared" ca="1" si="21"/>
        <v>1</v>
      </c>
      <c r="T230" s="73"/>
      <c r="U230" s="3"/>
      <c r="V230" s="3"/>
      <c r="W230" s="3"/>
      <c r="X230" s="3"/>
    </row>
    <row r="231" spans="1:24" ht="14" thickBot="1">
      <c r="A231" s="40">
        <v>43500</v>
      </c>
      <c r="B231" s="41">
        <f t="array" aca="1" ref="B231" ca="1">IF(AND(A231 &gt; TODAY(), A231 &lt;= TODAY() + 7),
   INDEX(calculations!B:B, MATCH(143^143, calculations!B:B)),
   IF(ISNUMBER(MATCH(A231, calculations!A:A, 0)),
      INDEX(calculations!B:B, MATCH(A231, calculations!A:A, 0)),
      ""
   )
)</f>
        <v>3411.39</v>
      </c>
      <c r="C231" s="42">
        <f t="array" aca="1" ref="C231" ca="1">IF(B231&lt;&gt;"", IF(MATCH(A231, calculations!A:A, 0), INDEX(calculations!D:D, MATCH(A231, calculations!A:A, 0)), "No Match"),"")</f>
        <v>40130888766</v>
      </c>
      <c r="D231" s="43">
        <f t="shared" ca="1" si="8"/>
        <v>-6.8878182268090156E-3</v>
      </c>
      <c r="E231" s="43">
        <f t="shared" ca="1" si="0"/>
        <v>3.8563303950121992E-4</v>
      </c>
      <c r="F231" s="43">
        <f t="shared" ca="1" si="13"/>
        <v>0.10918868830767055</v>
      </c>
      <c r="G231" s="42">
        <f t="shared" ca="1" si="1"/>
        <v>136902112627444.73</v>
      </c>
      <c r="H231" s="41">
        <f t="shared" ca="1" si="14"/>
        <v>4049.1119681094424</v>
      </c>
      <c r="I231" s="3"/>
      <c r="J231" s="43">
        <f t="shared" ca="1" si="20"/>
        <v>1</v>
      </c>
      <c r="K231" s="44" t="str">
        <f t="shared" ca="1" si="10"/>
        <v/>
      </c>
      <c r="L231" s="3"/>
      <c r="M231" s="45">
        <f t="shared" ca="1" si="2"/>
        <v>3164.8775188919217</v>
      </c>
      <c r="N231" s="47">
        <f t="shared" ca="1" si="3"/>
        <v>4933.3464173269631</v>
      </c>
      <c r="O231" s="45">
        <f t="shared" ca="1" si="4"/>
        <v>2722.7602942831613</v>
      </c>
      <c r="P231" s="47">
        <f t="shared" ca="1" si="5"/>
        <v>5375.4636419357239</v>
      </c>
      <c r="Q231" s="45">
        <f t="shared" ca="1" si="6"/>
        <v>2280.6430696744014</v>
      </c>
      <c r="R231" s="47">
        <f t="shared" ca="1" si="7"/>
        <v>5817.5808665444838</v>
      </c>
      <c r="S231" s="73">
        <f t="shared" ca="1" si="21"/>
        <v>1</v>
      </c>
      <c r="T231" s="73"/>
      <c r="U231" s="3"/>
      <c r="V231" s="3"/>
      <c r="W231" s="3"/>
      <c r="X231" s="3"/>
    </row>
    <row r="232" spans="1:24" ht="14" thickBot="1">
      <c r="A232" s="40">
        <v>43507</v>
      </c>
      <c r="B232" s="41">
        <f t="array" aca="1" ref="B232" ca="1">IF(AND(A232 &gt; TODAY(), A232 &lt;= TODAY() + 7),
   INDEX(calculations!B:B, MATCH(143^143, calculations!B:B)),
   IF(ISNUMBER(MATCH(A232, calculations!A:A, 0)),
      INDEX(calculations!B:B, MATCH(A232, calculations!A:A, 0)),
      ""
   )
)</f>
        <v>3590.62</v>
      </c>
      <c r="C232" s="42">
        <f t="array" aca="1" ref="C232" ca="1">IF(B232&lt;&gt;"", IF(MATCH(A232, calculations!A:A, 0), INDEX(calculations!D:D, MATCH(A232, calculations!A:A, 0)), "No Match"),"")</f>
        <v>41224140801</v>
      </c>
      <c r="D232" s="43">
        <f t="shared" ca="1" si="8"/>
        <v>5.2538701233221657E-2</v>
      </c>
      <c r="E232" s="43">
        <f t="shared" ca="1" si="0"/>
        <v>1.5831627603424851E-3</v>
      </c>
      <c r="F232" s="43">
        <f t="shared" ca="1" si="13"/>
        <v>0.11072729914084298</v>
      </c>
      <c r="G232" s="42">
        <f t="shared" ca="1" si="1"/>
        <v>148020224442886.62</v>
      </c>
      <c r="H232" s="41">
        <f t="shared" ca="1" si="14"/>
        <v>3889.5760123154737</v>
      </c>
      <c r="I232" s="3"/>
      <c r="J232" s="43">
        <f t="shared" ca="1" si="20"/>
        <v>1</v>
      </c>
      <c r="K232" s="44" t="str">
        <f t="shared" ca="1" si="10"/>
        <v/>
      </c>
      <c r="L232" s="3"/>
      <c r="M232" s="45">
        <f t="shared" ca="1" si="2"/>
        <v>3028.2115190220684</v>
      </c>
      <c r="N232" s="47">
        <f t="shared" ca="1" si="3"/>
        <v>4750.940505608879</v>
      </c>
      <c r="O232" s="45">
        <f t="shared" ca="1" si="4"/>
        <v>2597.529272375366</v>
      </c>
      <c r="P232" s="47">
        <f t="shared" ca="1" si="5"/>
        <v>5181.6227522555819</v>
      </c>
      <c r="Q232" s="45">
        <f t="shared" ca="1" si="6"/>
        <v>2166.8470257286631</v>
      </c>
      <c r="R232" s="47">
        <f t="shared" ca="1" si="7"/>
        <v>5612.3049989022848</v>
      </c>
      <c r="S232" s="73">
        <f t="shared" ca="1" si="21"/>
        <v>1</v>
      </c>
      <c r="T232" s="73"/>
      <c r="U232" s="3"/>
      <c r="V232" s="3"/>
      <c r="W232" s="3"/>
      <c r="X232" s="3"/>
    </row>
    <row r="233" spans="1:24" ht="14" thickBot="1">
      <c r="A233" s="40">
        <v>43514</v>
      </c>
      <c r="B233" s="41">
        <f t="array" aca="1" ref="B233" ca="1">IF(AND(A233 &gt; TODAY(), A233 &lt;= TODAY() + 7),
   INDEX(calculations!B:B, MATCH(143^143, calculations!B:B)),
   IF(ISNUMBER(MATCH(A233, calculations!A:A, 0)),
      INDEX(calculations!B:B, MATCH(A233, calculations!A:A, 0)),
      ""
   )
)</f>
        <v>3866.13</v>
      </c>
      <c r="C233" s="42">
        <f t="array" aca="1" ref="C233" ca="1">IF(B233&lt;&gt;"", IF(MATCH(A233, calculations!A:A, 0), INDEX(calculations!D:D, MATCH(A233, calculations!A:A, 0)), "No Match"),"")</f>
        <v>44533597993</v>
      </c>
      <c r="D233" s="43">
        <f t="shared" ca="1" si="8"/>
        <v>7.6730481086831864E-2</v>
      </c>
      <c r="E233" s="43">
        <f t="shared" ca="1" si="0"/>
        <v>4.093537359535551E-3</v>
      </c>
      <c r="F233" s="43">
        <f t="shared" ca="1" si="13"/>
        <v>0.11458396841448043</v>
      </c>
      <c r="G233" s="42">
        <f t="shared" ca="1" si="1"/>
        <v>172172679208677.09</v>
      </c>
      <c r="H233" s="41">
        <f t="shared" ca="1" si="14"/>
        <v>3752.8033720200951</v>
      </c>
      <c r="I233" s="3"/>
      <c r="J233" s="43">
        <f t="shared" ca="1" si="20"/>
        <v>1</v>
      </c>
      <c r="K233" s="44" t="str">
        <f t="shared" ca="1" si="10"/>
        <v/>
      </c>
      <c r="L233" s="3"/>
      <c r="M233" s="45">
        <f t="shared" ca="1" si="2"/>
        <v>2892.7811659294825</v>
      </c>
      <c r="N233" s="47">
        <f t="shared" ca="1" si="3"/>
        <v>4612.8255781107082</v>
      </c>
      <c r="O233" s="45">
        <f t="shared" ca="1" si="4"/>
        <v>2462.7700628841767</v>
      </c>
      <c r="P233" s="47">
        <f t="shared" ca="1" si="5"/>
        <v>5042.8366811560136</v>
      </c>
      <c r="Q233" s="45">
        <f t="shared" ca="1" si="6"/>
        <v>2032.7589598388702</v>
      </c>
      <c r="R233" s="47">
        <f t="shared" ca="1" si="7"/>
        <v>5472.8477842013199</v>
      </c>
      <c r="S233" s="73">
        <f t="shared" ca="1" si="21"/>
        <v>1</v>
      </c>
      <c r="T233" s="73"/>
      <c r="U233" s="3"/>
      <c r="V233" s="3"/>
      <c r="W233" s="3"/>
      <c r="X233" s="3"/>
    </row>
    <row r="234" spans="1:24" ht="14" thickBot="1">
      <c r="A234" s="40">
        <v>43521</v>
      </c>
      <c r="B234" s="41">
        <f t="array" aca="1" ref="B234" ca="1">IF(AND(A234 &gt; TODAY(), A234 &lt;= TODAY() + 7),
   INDEX(calculations!B:B, MATCH(143^143, calculations!B:B)),
   IF(ISNUMBER(MATCH(A234, calculations!A:A, 0)),
      INDEX(calculations!B:B, MATCH(A234, calculations!A:A, 0)),
      ""
   )
)</f>
        <v>3822.02</v>
      </c>
      <c r="C234" s="42">
        <f t="array" aca="1" ref="C234" ca="1">IF(B234&lt;&gt;"", IF(MATCH(A234, calculations!A:A, 0), INDEX(calculations!D:D, MATCH(A234, calculations!A:A, 0)), "No Match"),"")</f>
        <v>63853356366</v>
      </c>
      <c r="D234" s="43">
        <f t="shared" ca="1" si="8"/>
        <v>-1.1409342158696196E-2</v>
      </c>
      <c r="E234" s="43">
        <f t="shared" ca="1" si="0"/>
        <v>5.8366044664754421E-4</v>
      </c>
      <c r="F234" s="43">
        <f t="shared" ca="1" si="13"/>
        <v>9.6638442671959618E-2</v>
      </c>
      <c r="G234" s="42">
        <f t="shared" ca="1" si="1"/>
        <v>244048805097979.31</v>
      </c>
      <c r="H234" s="41">
        <f t="shared" ca="1" si="14"/>
        <v>3693.7744856829277</v>
      </c>
      <c r="I234" s="3"/>
      <c r="J234" s="43">
        <f t="shared" ca="1" si="20"/>
        <v>1</v>
      </c>
      <c r="K234" s="44" t="str">
        <f t="shared" ca="1" si="10"/>
        <v/>
      </c>
      <c r="L234" s="3"/>
      <c r="M234" s="45">
        <f t="shared" ca="1" si="2"/>
        <v>2979.8532579272942</v>
      </c>
      <c r="N234" s="47">
        <f t="shared" ca="1" si="3"/>
        <v>4407.6957134385611</v>
      </c>
      <c r="O234" s="45">
        <f t="shared" ca="1" si="4"/>
        <v>2622.8926440494774</v>
      </c>
      <c r="P234" s="47">
        <f t="shared" ca="1" si="5"/>
        <v>4764.6563273163774</v>
      </c>
      <c r="Q234" s="45">
        <f t="shared" ca="1" si="6"/>
        <v>2265.9320301716607</v>
      </c>
      <c r="R234" s="47">
        <f t="shared" ca="1" si="7"/>
        <v>5121.6169411941946</v>
      </c>
      <c r="S234" s="73">
        <f t="shared" ca="1" si="21"/>
        <v>1</v>
      </c>
      <c r="T234" s="73"/>
      <c r="U234" s="3"/>
      <c r="V234" s="3"/>
      <c r="W234" s="3"/>
      <c r="X234" s="3"/>
    </row>
    <row r="235" spans="1:24" ht="14" thickBot="1">
      <c r="A235" s="40">
        <v>43528</v>
      </c>
      <c r="B235" s="41">
        <f t="array" aca="1" ref="B235" ca="1">IF(AND(A235 &gt; TODAY(), A235 &lt;= TODAY() + 7),
   INDEX(calculations!B:B, MATCH(143^143, calculations!B:B)),
   IF(ISNUMBER(MATCH(A235, calculations!A:A, 0)),
      INDEX(calculations!B:B, MATCH(A235, calculations!A:A, 0)),
      ""
   )
)</f>
        <v>3698.16</v>
      </c>
      <c r="C235" s="42">
        <f t="array" aca="1" ref="C235" ca="1">IF(B235&lt;&gt;"", IF(MATCH(A235, calculations!A:A, 0), INDEX(calculations!D:D, MATCH(A235, calculations!A:A, 0)), "No Match"),"")</f>
        <v>56444684748</v>
      </c>
      <c r="D235" s="43">
        <f t="shared" ca="1" si="8"/>
        <v>-3.2406947111736757E-2</v>
      </c>
      <c r="E235" s="43">
        <f t="shared" ca="1" si="0"/>
        <v>2.0391248879264609E-3</v>
      </c>
      <c r="F235" s="43">
        <f t="shared" ca="1" si="13"/>
        <v>7.4570240697626813E-2</v>
      </c>
      <c r="G235" s="42">
        <f t="shared" ca="1" si="1"/>
        <v>208741475347663.66</v>
      </c>
      <c r="H235" s="41">
        <f t="shared" ca="1" si="14"/>
        <v>3693.7243356737868</v>
      </c>
      <c r="I235" s="3"/>
      <c r="J235" s="43">
        <f t="shared" ca="1" si="20"/>
        <v>1</v>
      </c>
      <c r="K235" s="44" t="str">
        <f t="shared" ca="1" si="10"/>
        <v/>
      </c>
      <c r="L235" s="3"/>
      <c r="M235" s="45">
        <f t="shared" ca="1" si="2"/>
        <v>3142.8405101100348</v>
      </c>
      <c r="N235" s="47">
        <f t="shared" ca="1" si="3"/>
        <v>4244.6081612375392</v>
      </c>
      <c r="O235" s="45">
        <f t="shared" ca="1" si="4"/>
        <v>2867.3985973281588</v>
      </c>
      <c r="P235" s="47">
        <f t="shared" ca="1" si="5"/>
        <v>4520.0500740194148</v>
      </c>
      <c r="Q235" s="45">
        <f t="shared" ca="1" si="6"/>
        <v>2591.9566845462832</v>
      </c>
      <c r="R235" s="47">
        <f t="shared" ca="1" si="7"/>
        <v>4795.4919868012903</v>
      </c>
      <c r="S235" s="73">
        <f t="shared" ca="1" si="21"/>
        <v>1</v>
      </c>
      <c r="T235" s="73"/>
      <c r="U235" s="3"/>
      <c r="V235" s="3"/>
      <c r="W235" s="3"/>
      <c r="X235" s="3"/>
    </row>
    <row r="236" spans="1:24" ht="14" thickBot="1">
      <c r="A236" s="40">
        <v>43535</v>
      </c>
      <c r="B236" s="41">
        <f t="array" aca="1" ref="B236" ca="1">IF(AND(A236 &gt; TODAY(), A236 &lt;= TODAY() + 7),
   INDEX(calculations!B:B, MATCH(143^143, calculations!B:B)),
   IF(ISNUMBER(MATCH(A236, calculations!A:A, 0)),
      INDEX(calculations!B:B, MATCH(A236, calculations!A:A, 0)),
      ""
   )
)</f>
        <v>3851.57</v>
      </c>
      <c r="C236" s="42">
        <f t="array" aca="1" ref="C236" ca="1">IF(B236&lt;&gt;"", IF(MATCH(A236, calculations!A:A, 0), INDEX(calculations!D:D, MATCH(A236, calculations!A:A, 0)), "No Match"),"")</f>
        <v>69110769320</v>
      </c>
      <c r="D236" s="43">
        <f t="shared" ca="1" si="8"/>
        <v>4.1482791442230819E-2</v>
      </c>
      <c r="E236" s="43">
        <f t="shared" ca="1" si="0"/>
        <v>8.2558920152409402E-4</v>
      </c>
      <c r="F236" s="43">
        <f t="shared" ca="1" si="13"/>
        <v>7.4672860892692289E-2</v>
      </c>
      <c r="G236" s="42">
        <f t="shared" ca="1" si="1"/>
        <v>266184965789832.41</v>
      </c>
      <c r="H236" s="41">
        <f t="shared" ca="1" si="14"/>
        <v>3700.9555116439237</v>
      </c>
      <c r="I236" s="3"/>
      <c r="J236" s="43">
        <f t="shared" ca="1" si="20"/>
        <v>1</v>
      </c>
      <c r="K236" s="44" t="str">
        <f t="shared" ca="1" si="10"/>
        <v/>
      </c>
      <c r="L236" s="3"/>
      <c r="M236" s="45">
        <f t="shared" ca="1" si="2"/>
        <v>3148.2336394618646</v>
      </c>
      <c r="N236" s="47">
        <f t="shared" ca="1" si="3"/>
        <v>4253.6773838259833</v>
      </c>
      <c r="O236" s="45">
        <f t="shared" ca="1" si="4"/>
        <v>2871.8727033708351</v>
      </c>
      <c r="P236" s="47">
        <f t="shared" ca="1" si="5"/>
        <v>4530.0383199170128</v>
      </c>
      <c r="Q236" s="45">
        <f t="shared" ca="1" si="6"/>
        <v>2595.5117672798056</v>
      </c>
      <c r="R236" s="47">
        <f t="shared" ca="1" si="7"/>
        <v>4806.3992560080424</v>
      </c>
      <c r="S236" s="73">
        <f t="shared" ca="1" si="21"/>
        <v>1</v>
      </c>
      <c r="T236" s="73"/>
      <c r="U236" s="3"/>
      <c r="V236" s="3"/>
      <c r="W236" s="3"/>
      <c r="X236" s="3"/>
    </row>
    <row r="237" spans="1:24" ht="14" thickBot="1">
      <c r="A237" s="40">
        <v>43542</v>
      </c>
      <c r="B237" s="41">
        <f t="array" aca="1" ref="B237" ca="1">IF(AND(A237 &gt; TODAY(), A237 &lt;= TODAY() + 7),
   INDEX(calculations!B:B, MATCH(143^143, calculations!B:B)),
   IF(ISNUMBER(MATCH(A237, calculations!A:A, 0)),
      INDEX(calculations!B:B, MATCH(A237, calculations!A:A, 0)),
      ""
   )
)</f>
        <v>3969.44</v>
      </c>
      <c r="C237" s="42">
        <f t="array" aca="1" ref="C237" ca="1">IF(B237&lt;&gt;"", IF(MATCH(A237, calculations!A:A, 0), INDEX(calculations!D:D, MATCH(A237, calculations!A:A, 0)), "No Match"),"")</f>
        <v>67357766371</v>
      </c>
      <c r="D237" s="43">
        <f t="shared" ca="1" si="8"/>
        <v>3.0603104707950236E-2</v>
      </c>
      <c r="E237" s="43">
        <f t="shared" ca="1" si="0"/>
        <v>3.187432256211901E-4</v>
      </c>
      <c r="F237" s="43">
        <f t="shared" ca="1" si="13"/>
        <v>6.7178499572187314E-2</v>
      </c>
      <c r="G237" s="42">
        <f t="shared" ca="1" si="1"/>
        <v>267372612143702.25</v>
      </c>
      <c r="H237" s="41">
        <f t="shared" ca="1" si="14"/>
        <v>3746.0817120163733</v>
      </c>
      <c r="I237" s="3"/>
      <c r="J237" s="43">
        <f t="shared" ca="1" si="20"/>
        <v>1</v>
      </c>
      <c r="K237" s="44" t="str">
        <f t="shared" ca="1" si="10"/>
        <v/>
      </c>
      <c r="L237" s="3"/>
      <c r="M237" s="45">
        <f t="shared" ca="1" si="2"/>
        <v>3242.7694146402323</v>
      </c>
      <c r="N237" s="47">
        <f t="shared" ca="1" si="3"/>
        <v>4249.3940093925148</v>
      </c>
      <c r="O237" s="45">
        <f t="shared" ca="1" si="4"/>
        <v>2991.1132659521613</v>
      </c>
      <c r="P237" s="47">
        <f t="shared" ca="1" si="5"/>
        <v>4501.0501580805858</v>
      </c>
      <c r="Q237" s="45">
        <f t="shared" ca="1" si="6"/>
        <v>2739.4571172640908</v>
      </c>
      <c r="R237" s="47">
        <f t="shared" ca="1" si="7"/>
        <v>4752.7063067686558</v>
      </c>
      <c r="S237" s="73">
        <f t="shared" ca="1" si="21"/>
        <v>1</v>
      </c>
      <c r="T237" s="73"/>
      <c r="U237" s="3"/>
      <c r="V237" s="3"/>
      <c r="W237" s="3"/>
      <c r="X237" s="3"/>
    </row>
    <row r="238" spans="1:24" ht="14" thickBot="1">
      <c r="A238" s="40">
        <v>43549</v>
      </c>
      <c r="B238" s="41">
        <f t="array" aca="1" ref="B238" ca="1">IF(AND(A238 &gt; TODAY(), A238 &lt;= TODAY() + 7),
   INDEX(calculations!B:B, MATCH(143^143, calculations!B:B)),
   IF(ISNUMBER(MATCH(A238, calculations!A:A, 0)),
      INDEX(calculations!B:B, MATCH(A238, calculations!A:A, 0)),
      ""
   )
)</f>
        <v>3908.24</v>
      </c>
      <c r="C238" s="42">
        <f t="array" aca="1" ref="C238" ca="1">IF(B238&lt;&gt;"", IF(MATCH(A238, calculations!A:A, 0), INDEX(calculations!D:D, MATCH(A238, calculations!A:A, 0)), "No Match"),"")</f>
        <v>67975640775</v>
      </c>
      <c r="D238" s="43">
        <f t="shared" ca="1" si="8"/>
        <v>-1.5417791930347926E-2</v>
      </c>
      <c r="E238" s="43">
        <f t="shared" ca="1" si="0"/>
        <v>7.9340891752808758E-4</v>
      </c>
      <c r="F238" s="43">
        <f t="shared" ca="1" si="13"/>
        <v>6.7484171118803768E-2</v>
      </c>
      <c r="G238" s="42">
        <f t="shared" ca="1" si="1"/>
        <v>265665118302486</v>
      </c>
      <c r="H238" s="41">
        <f t="shared" ca="1" si="14"/>
        <v>3773.0069051864398</v>
      </c>
      <c r="I238" s="3"/>
      <c r="J238" s="43">
        <f t="shared" ca="1" si="20"/>
        <v>1</v>
      </c>
      <c r="K238" s="44" t="str">
        <f t="shared" ca="1" si="10"/>
        <v/>
      </c>
      <c r="L238" s="3"/>
      <c r="M238" s="45">
        <f t="shared" ca="1" si="2"/>
        <v>3263.7704179423799</v>
      </c>
      <c r="N238" s="47">
        <f t="shared" ca="1" si="3"/>
        <v>4282.2433924304996</v>
      </c>
      <c r="O238" s="45">
        <f t="shared" ca="1" si="4"/>
        <v>3009.1521743203502</v>
      </c>
      <c r="P238" s="47">
        <f t="shared" ca="1" si="5"/>
        <v>4536.8616360525293</v>
      </c>
      <c r="Q238" s="45">
        <f t="shared" ca="1" si="6"/>
        <v>2754.5339306983201</v>
      </c>
      <c r="R238" s="47">
        <f t="shared" ca="1" si="7"/>
        <v>4791.4798796745599</v>
      </c>
      <c r="S238" s="73">
        <f t="shared" ca="1" si="21"/>
        <v>1</v>
      </c>
      <c r="T238" s="73"/>
      <c r="U238" s="3"/>
      <c r="V238" s="3"/>
      <c r="W238" s="3"/>
      <c r="X238" s="3"/>
    </row>
    <row r="239" spans="1:24" ht="14" thickBot="1">
      <c r="A239" s="40">
        <v>43556</v>
      </c>
      <c r="B239" s="41">
        <f t="array" aca="1" ref="B239" ca="1">IF(AND(A239 &gt; TODAY(), A239 &lt;= TODAY() + 7),
   INDEX(calculations!B:B, MATCH(143^143, calculations!B:B)),
   IF(ISNUMBER(MATCH(A239, calculations!A:A, 0)),
      INDEX(calculations!B:B, MATCH(A239, calculations!A:A, 0)),
      ""
   )
)</f>
        <v>4138.42</v>
      </c>
      <c r="C239" s="42">
        <f t="array" aca="1" ref="C239" ca="1">IF(B239&lt;&gt;"", IF(MATCH(A239, calculations!A:A, 0), INDEX(calculations!D:D, MATCH(A239, calculations!A:A, 0)), "No Match"),"")</f>
        <v>71015021591</v>
      </c>
      <c r="D239" s="43">
        <f t="shared" ca="1" si="8"/>
        <v>5.8896075983051271E-2</v>
      </c>
      <c r="E239" s="43">
        <f t="shared" ca="1" si="0"/>
        <v>2.1294858605812026E-3</v>
      </c>
      <c r="F239" s="43">
        <f t="shared" ca="1" si="13"/>
        <v>5.549461832139866E-2</v>
      </c>
      <c r="G239" s="42">
        <f t="shared" ca="1" si="1"/>
        <v>293889985652626.25</v>
      </c>
      <c r="H239" s="41">
        <f t="shared" ca="1" si="14"/>
        <v>3792.2926300700742</v>
      </c>
      <c r="I239" s="3"/>
      <c r="J239" s="43">
        <f t="shared" ca="1" si="20"/>
        <v>1</v>
      </c>
      <c r="K239" s="44" t="str">
        <f t="shared" ca="1" si="10"/>
        <v/>
      </c>
      <c r="L239" s="3"/>
      <c r="M239" s="45">
        <f t="shared" ca="1" si="2"/>
        <v>3371.3889659324905</v>
      </c>
      <c r="N239" s="47">
        <f t="shared" ca="1" si="3"/>
        <v>4213.196294207658</v>
      </c>
      <c r="O239" s="45">
        <f t="shared" ca="1" si="4"/>
        <v>3160.9371338636984</v>
      </c>
      <c r="P239" s="47">
        <f t="shared" ca="1" si="5"/>
        <v>4423.6481262764501</v>
      </c>
      <c r="Q239" s="45">
        <f t="shared" ca="1" si="6"/>
        <v>2950.4853017949067</v>
      </c>
      <c r="R239" s="47">
        <f t="shared" ca="1" si="7"/>
        <v>4634.0999583452422</v>
      </c>
      <c r="S239" s="73">
        <f t="shared" ca="1" si="21"/>
        <v>1</v>
      </c>
      <c r="T239" s="73"/>
      <c r="U239" s="3"/>
      <c r="V239" s="3"/>
      <c r="W239" s="3"/>
      <c r="X239" s="3"/>
    </row>
    <row r="240" spans="1:24" ht="14" thickBot="1">
      <c r="A240" s="40">
        <v>43563</v>
      </c>
      <c r="B240" s="41">
        <f t="array" aca="1" ref="B240" ca="1">IF(AND(A240 &gt; TODAY(), A240 &lt;= TODAY() + 7),
   INDEX(calculations!B:B, MATCH(143^143, calculations!B:B)),
   IF(ISNUMBER(MATCH(A240, calculations!A:A, 0)),
      INDEX(calculations!B:B, MATCH(A240, calculations!A:A, 0)),
      ""
   )
)</f>
        <v>5283.42</v>
      </c>
      <c r="C240" s="42">
        <f t="array" aca="1" ref="C240" ca="1">IF(B240&lt;&gt;"", IF(MATCH(A240, calculations!A:A, 0), INDEX(calculations!D:D, MATCH(A240, calculations!A:A, 0)), "No Match"),"")</f>
        <v>123047080530</v>
      </c>
      <c r="D240" s="43">
        <f t="shared" ca="1" si="8"/>
        <v>0.2766756394952663</v>
      </c>
      <c r="E240" s="43">
        <f t="shared" ca="1" si="0"/>
        <v>6.9656889208813133E-2</v>
      </c>
      <c r="F240" s="43">
        <f t="shared" ca="1" si="13"/>
        <v>8.6467670678774838E-2</v>
      </c>
      <c r="G240" s="42">
        <f t="shared" ca="1" si="1"/>
        <v>650109406213812.62</v>
      </c>
      <c r="H240" s="41">
        <f t="shared" ca="1" si="14"/>
        <v>4029.136688713701</v>
      </c>
      <c r="I240" s="3"/>
      <c r="J240" s="43">
        <f t="shared" ca="1" si="20"/>
        <v>-1.0215712043309586</v>
      </c>
      <c r="K240" s="44">
        <f t="shared" ca="1" si="10"/>
        <v>-3</v>
      </c>
      <c r="L240" s="3"/>
      <c r="M240" s="45">
        <f t="shared" ca="1" si="2"/>
        <v>3332.3565600747702</v>
      </c>
      <c r="N240" s="47">
        <f t="shared" ca="1" si="3"/>
        <v>4725.9168173526323</v>
      </c>
      <c r="O240" s="45">
        <f t="shared" ca="1" si="4"/>
        <v>2983.9664957553041</v>
      </c>
      <c r="P240" s="47">
        <f t="shared" ca="1" si="5"/>
        <v>5074.3068816720988</v>
      </c>
      <c r="Q240" s="45">
        <f t="shared" ca="1" si="6"/>
        <v>2635.5764314358385</v>
      </c>
      <c r="R240" s="47">
        <f t="shared" ca="1" si="7"/>
        <v>5422.6969459915626</v>
      </c>
      <c r="S240" s="73">
        <f t="shared" ca="1" si="21"/>
        <v>-1.0215712043309586</v>
      </c>
      <c r="T240" s="73"/>
      <c r="U240" s="3"/>
      <c r="V240" s="3"/>
      <c r="W240" s="3"/>
      <c r="X240" s="3"/>
    </row>
    <row r="241" spans="1:24" ht="14" thickBot="1">
      <c r="A241" s="40">
        <v>43570</v>
      </c>
      <c r="B241" s="41">
        <f t="array" aca="1" ref="B241" ca="1">IF(AND(A241 &gt; TODAY(), A241 &lt;= TODAY() + 7),
   INDEX(calculations!B:B, MATCH(143^143, calculations!B:B)),
   IF(ISNUMBER(MATCH(A241, calculations!A:A, 0)),
      INDEX(calculations!B:B, MATCH(A241, calculations!A:A, 0)),
      ""
   )
)</f>
        <v>5042.8999999999996</v>
      </c>
      <c r="C241" s="42">
        <f t="array" aca="1" ref="C241" ca="1">IF(B241&lt;&gt;"", IF(MATCH(A241, calculations!A:A, 0), INDEX(calculations!D:D, MATCH(A241, calculations!A:A, 0)), "No Match"),"")</f>
        <v>98826873355</v>
      </c>
      <c r="D241" s="43">
        <f t="shared" ca="1" si="8"/>
        <v>-4.5523543462378614E-2</v>
      </c>
      <c r="E241" s="43">
        <f t="shared" ca="1" si="0"/>
        <v>3.39577362593719E-3</v>
      </c>
      <c r="F241" s="43">
        <f t="shared" ca="1" si="13"/>
        <v>8.7011612486445483E-2</v>
      </c>
      <c r="G241" s="42">
        <f t="shared" ca="1" si="1"/>
        <v>498374039641929.44</v>
      </c>
      <c r="H241" s="41">
        <f t="shared" ca="1" si="14"/>
        <v>4147.2255330198659</v>
      </c>
      <c r="I241" s="3"/>
      <c r="J241" s="43">
        <f t="shared" ca="1" si="20"/>
        <v>-0.28313531457758767</v>
      </c>
      <c r="K241" s="44">
        <f t="shared" ca="1" si="10"/>
        <v>-2</v>
      </c>
      <c r="L241" s="3"/>
      <c r="M241" s="45">
        <f t="shared" ca="1" si="2"/>
        <v>3425.5119710738318</v>
      </c>
      <c r="N241" s="47">
        <f t="shared" ca="1" si="3"/>
        <v>4868.9390949659</v>
      </c>
      <c r="O241" s="45">
        <f t="shared" ca="1" si="4"/>
        <v>3064.6551901008152</v>
      </c>
      <c r="P241" s="47">
        <f t="shared" ca="1" si="5"/>
        <v>5229.7958759389167</v>
      </c>
      <c r="Q241" s="45">
        <f t="shared" ca="1" si="6"/>
        <v>2703.7984091277985</v>
      </c>
      <c r="R241" s="47">
        <f t="shared" ca="1" si="7"/>
        <v>5590.6526569119342</v>
      </c>
      <c r="S241" s="73">
        <f t="shared" ca="1" si="21"/>
        <v>-0.28313531457758767</v>
      </c>
      <c r="T241" s="73"/>
      <c r="U241" s="3"/>
      <c r="V241" s="3"/>
      <c r="W241" s="3"/>
      <c r="X241" s="3"/>
    </row>
    <row r="242" spans="1:24" ht="14" thickBot="1">
      <c r="A242" s="40">
        <v>43577</v>
      </c>
      <c r="B242" s="41">
        <f t="array" aca="1" ref="B242" ca="1">IF(AND(A242 &gt; TODAY(), A242 &lt;= TODAY() + 7),
   INDEX(calculations!B:B, MATCH(143^143, calculations!B:B)),
   IF(ISNUMBER(MATCH(A242, calculations!A:A, 0)),
      INDEX(calculations!B:B, MATCH(A242, calculations!A:A, 0)),
      ""
   )
)</f>
        <v>5383.8</v>
      </c>
      <c r="C242" s="42">
        <f t="array" aca="1" ref="C242" ca="1">IF(B242&lt;&gt;"", IF(MATCH(A242, calculations!A:A, 0), INDEX(calculations!D:D, MATCH(A242, calculations!A:A, 0)), "No Match"),"")</f>
        <v>90285516253</v>
      </c>
      <c r="D242" s="43">
        <f t="shared" ca="1" si="8"/>
        <v>6.7599992068056197E-2</v>
      </c>
      <c r="E242" s="43">
        <f t="shared" ca="1" si="0"/>
        <v>3.0085519775482853E-3</v>
      </c>
      <c r="F242" s="43">
        <f t="shared" ca="1" si="13"/>
        <v>8.2462229011556559E-2</v>
      </c>
      <c r="G242" s="42">
        <f t="shared" ca="1" si="1"/>
        <v>486079162402901.44</v>
      </c>
      <c r="H242" s="41">
        <f t="shared" ca="1" si="14"/>
        <v>4289.8189399893508</v>
      </c>
      <c r="I242" s="3"/>
      <c r="J242" s="43">
        <f t="shared" ca="1" si="20"/>
        <v>-0.39033882038210999</v>
      </c>
      <c r="K242" s="44">
        <f t="shared" ca="1" si="10"/>
        <v>-3</v>
      </c>
      <c r="L242" s="3"/>
      <c r="M242" s="45">
        <f t="shared" ca="1" si="2"/>
        <v>3582.3228762943218</v>
      </c>
      <c r="N242" s="47">
        <f t="shared" ca="1" si="3"/>
        <v>4997.3150036843799</v>
      </c>
      <c r="O242" s="45">
        <f t="shared" ca="1" si="4"/>
        <v>3228.5748444468068</v>
      </c>
      <c r="P242" s="47">
        <f t="shared" ca="1" si="5"/>
        <v>5351.0630355318954</v>
      </c>
      <c r="Q242" s="45">
        <f t="shared" ca="1" si="6"/>
        <v>2874.8268125992922</v>
      </c>
      <c r="R242" s="47">
        <f t="shared" ca="1" si="7"/>
        <v>5704.811067379409</v>
      </c>
      <c r="S242" s="73">
        <f t="shared" ca="1" si="21"/>
        <v>-0.39033882038210999</v>
      </c>
      <c r="T242" s="73"/>
      <c r="U242" s="3"/>
      <c r="V242" s="3"/>
      <c r="W242" s="3"/>
      <c r="X242" s="3"/>
    </row>
    <row r="243" spans="1:24" ht="14" thickBot="1">
      <c r="A243" s="40">
        <v>43584</v>
      </c>
      <c r="B243" s="41">
        <f t="array" aca="1" ref="B243" ca="1">IF(AND(A243 &gt; TODAY(), A243 &lt;= TODAY() + 7),
   INDEX(calculations!B:B, MATCH(143^143, calculations!B:B)),
   IF(ISNUMBER(MATCH(A243, calculations!A:A, 0)),
      INDEX(calculations!B:B, MATCH(A243, calculations!A:A, 0)),
      ""
   )
)</f>
        <v>5148.8</v>
      </c>
      <c r="C243" s="42">
        <f t="array" aca="1" ref="C243" ca="1">IF(B243&lt;&gt;"", IF(MATCH(A243, calculations!A:A, 0), INDEX(calculations!D:D, MATCH(A243, calculations!A:A, 0)), "No Match"),"")</f>
        <v>105590631334</v>
      </c>
      <c r="D243" s="43">
        <f t="shared" ca="1" si="8"/>
        <v>-4.3649466919276347E-2</v>
      </c>
      <c r="E243" s="43">
        <f t="shared" ca="1" si="0"/>
        <v>3.1808686639499899E-3</v>
      </c>
      <c r="F243" s="43">
        <f t="shared" ca="1" si="13"/>
        <v>8.2972752882767037E-2</v>
      </c>
      <c r="G243" s="42">
        <f t="shared" ca="1" si="1"/>
        <v>543665042612499.25</v>
      </c>
      <c r="H243" s="41">
        <f t="shared" ca="1" si="14"/>
        <v>4412.525348854635</v>
      </c>
      <c r="I243" s="3"/>
      <c r="J243" s="43">
        <f t="shared" ca="1" si="20"/>
        <v>-0.27534830188770465</v>
      </c>
      <c r="K243" s="44">
        <f t="shared" ca="1" si="10"/>
        <v>-2</v>
      </c>
      <c r="L243" s="3"/>
      <c r="M243" s="45">
        <f t="shared" ca="1" si="2"/>
        <v>3680.2865981357127</v>
      </c>
      <c r="N243" s="47">
        <f t="shared" ca="1" si="3"/>
        <v>5144.7640995735574</v>
      </c>
      <c r="O243" s="45">
        <f t="shared" ca="1" si="4"/>
        <v>3314.1672227762519</v>
      </c>
      <c r="P243" s="47">
        <f t="shared" ca="1" si="5"/>
        <v>5510.8834749330181</v>
      </c>
      <c r="Q243" s="45">
        <f t="shared" ca="1" si="6"/>
        <v>2948.0478474167908</v>
      </c>
      <c r="R243" s="47">
        <f t="shared" ca="1" si="7"/>
        <v>5877.0028502924797</v>
      </c>
      <c r="S243" s="73">
        <f t="shared" ca="1" si="21"/>
        <v>-0.27534830188770465</v>
      </c>
      <c r="T243" s="73"/>
      <c r="U243" s="3"/>
      <c r="V243" s="3"/>
      <c r="W243" s="3"/>
      <c r="X243" s="3"/>
    </row>
    <row r="244" spans="1:24" ht="14" thickBot="1">
      <c r="A244" s="40">
        <v>43591</v>
      </c>
      <c r="B244" s="41">
        <f t="array" aca="1" ref="B244" ca="1">IF(AND(A244 &gt; TODAY(), A244 &lt;= TODAY() + 7),
   INDEX(calculations!B:B, MATCH(143^143, calculations!B:B)),
   IF(ISNUMBER(MATCH(A244, calculations!A:A, 0)),
      INDEX(calculations!B:B, MATCH(A244, calculations!A:A, 0)),
      ""
   )
)</f>
        <v>5691.69</v>
      </c>
      <c r="C244" s="42">
        <f t="array" aca="1" ref="C244" ca="1">IF(B244&lt;&gt;"", IF(MATCH(A244, calculations!A:A, 0), INDEX(calculations!D:D, MATCH(A244, calculations!A:A, 0)), "No Match"),"")</f>
        <v>107035835884</v>
      </c>
      <c r="D244" s="43">
        <f t="shared" ca="1" si="8"/>
        <v>0.10544010254816645</v>
      </c>
      <c r="E244" s="43">
        <f t="shared" ca="1" si="0"/>
        <v>8.5915063943879724E-3</v>
      </c>
      <c r="F244" s="43">
        <f t="shared" ca="1" si="13"/>
        <v>8.3425785488123474E-2</v>
      </c>
      <c r="G244" s="42">
        <f t="shared" ca="1" si="1"/>
        <v>609214796742603.88</v>
      </c>
      <c r="H244" s="41">
        <f t="shared" ca="1" si="14"/>
        <v>4577.8811457347192</v>
      </c>
      <c r="I244" s="3"/>
      <c r="J244" s="43">
        <f t="shared" ca="1" si="20"/>
        <v>-0.39938260575084122</v>
      </c>
      <c r="K244" s="44">
        <f t="shared" ca="1" si="10"/>
        <v>-2</v>
      </c>
      <c r="L244" s="3"/>
      <c r="M244" s="45">
        <f t="shared" ca="1" si="2"/>
        <v>3814.0544848263403</v>
      </c>
      <c r="N244" s="47">
        <f t="shared" ca="1" si="3"/>
        <v>5341.7078066430986</v>
      </c>
      <c r="O244" s="45">
        <f t="shared" ca="1" si="4"/>
        <v>3432.1411543721501</v>
      </c>
      <c r="P244" s="47">
        <f t="shared" ca="1" si="5"/>
        <v>5723.6211370972887</v>
      </c>
      <c r="Q244" s="45">
        <f t="shared" ca="1" si="6"/>
        <v>3050.2278239179609</v>
      </c>
      <c r="R244" s="47">
        <f t="shared" ca="1" si="7"/>
        <v>6105.5344675514771</v>
      </c>
      <c r="S244" s="73">
        <f t="shared" ca="1" si="21"/>
        <v>-0.39938260575084122</v>
      </c>
      <c r="T244" s="73"/>
      <c r="U244" s="3"/>
      <c r="V244" s="3"/>
      <c r="W244" s="3"/>
      <c r="X244" s="3"/>
    </row>
    <row r="245" spans="1:24" ht="14" thickBot="1">
      <c r="A245" s="40">
        <v>43598</v>
      </c>
      <c r="B245" s="41">
        <f t="array" aca="1" ref="B245" ca="1">IF(AND(A245 &gt; TODAY(), A245 &lt;= TODAY() + 7),
   INDEX(calculations!B:B, MATCH(143^143, calculations!B:B)),
   IF(ISNUMBER(MATCH(A245, calculations!A:A, 0)),
      INDEX(calculations!B:B, MATCH(A245, calculations!A:A, 0)),
      ""
   )
)</f>
        <v>7798.91</v>
      </c>
      <c r="C245" s="42">
        <f t="array" aca="1" ref="C245" ca="1">IF(B245&lt;&gt;"", IF(MATCH(A245, calculations!A:A, 0), INDEX(calculations!D:D, MATCH(A245, calculations!A:A, 0)), "No Match"),"")</f>
        <v>141929602925</v>
      </c>
      <c r="D245" s="43">
        <f t="shared" ca="1" si="8"/>
        <v>0.37022747198108125</v>
      </c>
      <c r="E245" s="43">
        <f t="shared" ca="1" si="0"/>
        <v>0.12779034076051554</v>
      </c>
      <c r="F245" s="43">
        <f t="shared" ca="1" si="13"/>
        <v>0.12008288029644477</v>
      </c>
      <c r="G245" s="42">
        <f t="shared" ca="1" si="1"/>
        <v>1106896199547811.8</v>
      </c>
      <c r="H245" s="41">
        <f t="shared" ca="1" si="14"/>
        <v>5016.7927272538154</v>
      </c>
      <c r="I245" s="3"/>
      <c r="J245" s="43">
        <f t="shared" ca="1" si="20"/>
        <v>-1.7060693833871547</v>
      </c>
      <c r="K245" s="44">
        <f t="shared" ca="1" si="10"/>
        <v>-4</v>
      </c>
      <c r="L245" s="3"/>
      <c r="M245" s="45">
        <f t="shared" ca="1" si="2"/>
        <v>3811.9308861760264</v>
      </c>
      <c r="N245" s="47">
        <f t="shared" ca="1" si="3"/>
        <v>6221.6545683316044</v>
      </c>
      <c r="O245" s="45">
        <f t="shared" ca="1" si="4"/>
        <v>3209.499965637131</v>
      </c>
      <c r="P245" s="47">
        <f t="shared" ca="1" si="5"/>
        <v>6824.0854888704998</v>
      </c>
      <c r="Q245" s="45">
        <f t="shared" ca="1" si="6"/>
        <v>2607.069045098237</v>
      </c>
      <c r="R245" s="47">
        <f t="shared" ca="1" si="7"/>
        <v>7426.5164094093934</v>
      </c>
      <c r="S245" s="73">
        <f t="shared" ca="1" si="21"/>
        <v>-1.7060693833871547</v>
      </c>
      <c r="T245" s="73"/>
      <c r="U245" s="3"/>
      <c r="V245" s="3"/>
      <c r="W245" s="3"/>
      <c r="X245" s="3"/>
    </row>
    <row r="246" spans="1:24" ht="14" thickBot="1">
      <c r="A246" s="40">
        <v>43605</v>
      </c>
      <c r="B246" s="41">
        <f t="array" aca="1" ref="B246" ca="1">IF(AND(A246 &gt; TODAY(), A246 &lt;= TODAY() + 7),
   INDEX(calculations!B:B, MATCH(143^143, calculations!B:B)),
   IF(ISNUMBER(MATCH(A246, calculations!A:A, 0)),
      INDEX(calculations!B:B, MATCH(A246, calculations!A:A, 0)),
      ""
   )
)</f>
        <v>7981.14</v>
      </c>
      <c r="C246" s="42">
        <f t="array" aca="1" ref="C246" ca="1">IF(B246&lt;&gt;"", IF(MATCH(A246, calculations!A:A, 0), INDEX(calculations!D:D, MATCH(A246, calculations!A:A, 0)), "No Match"),"")</f>
        <v>199543788416</v>
      </c>
      <c r="D246" s="43">
        <f t="shared" ca="1" si="8"/>
        <v>2.3366085773524822E-2</v>
      </c>
      <c r="E246" s="43">
        <f t="shared" ca="1" si="0"/>
        <v>1.1270715093446132E-4</v>
      </c>
      <c r="F246" s="43">
        <f t="shared" ca="1" si="13"/>
        <v>0.12059684419756457</v>
      </c>
      <c r="G246" s="42">
        <f t="shared" ca="1" si="1"/>
        <v>1592586911478474.2</v>
      </c>
      <c r="H246" s="41">
        <f t="shared" ca="1" si="14"/>
        <v>5514.5231989121485</v>
      </c>
      <c r="I246" s="3"/>
      <c r="J246" s="43">
        <f t="shared" ca="1" si="20"/>
        <v>-0.29577171668452396</v>
      </c>
      <c r="K246" s="44">
        <f t="shared" ca="1" si="10"/>
        <v>-3</v>
      </c>
      <c r="L246" s="3"/>
      <c r="M246" s="45">
        <f t="shared" ca="1" si="2"/>
        <v>4184.4550088260212</v>
      </c>
      <c r="N246" s="47">
        <f t="shared" ca="1" si="3"/>
        <v>6844.5913889982758</v>
      </c>
      <c r="O246" s="45">
        <f t="shared" ca="1" si="4"/>
        <v>3519.4209137829566</v>
      </c>
      <c r="P246" s="47">
        <f t="shared" ca="1" si="5"/>
        <v>7509.6254840413403</v>
      </c>
      <c r="Q246" s="45">
        <f t="shared" ca="1" si="6"/>
        <v>2854.3868187398939</v>
      </c>
      <c r="R246" s="47">
        <f t="shared" ca="1" si="7"/>
        <v>8174.659579084403</v>
      </c>
      <c r="S246" s="73">
        <f t="shared" ca="1" si="21"/>
        <v>-0.29577171668452396</v>
      </c>
      <c r="T246" s="73"/>
      <c r="U246" s="3"/>
      <c r="V246" s="3"/>
      <c r="W246" s="3"/>
      <c r="X246" s="3"/>
    </row>
    <row r="247" spans="1:24" ht="14" thickBot="1">
      <c r="A247" s="40">
        <v>43612</v>
      </c>
      <c r="B247" s="41">
        <f t="array" aca="1" ref="B247" ca="1">IF(AND(A247 &gt; TODAY(), A247 &lt;= TODAY() + 7),
   INDEX(calculations!B:B, MATCH(143^143, calculations!B:B)),
   IF(ISNUMBER(MATCH(A247, calculations!A:A, 0)),
      INDEX(calculations!B:B, MATCH(A247, calculations!A:A, 0)),
      ""
   )
)</f>
        <v>8816.7900000000009</v>
      </c>
      <c r="C247" s="42">
        <f t="array" aca="1" ref="C247" ca="1">IF(B247&lt;&gt;"", IF(MATCH(A247, calculations!A:A, 0), INDEX(calculations!D:D, MATCH(A247, calculations!A:A, 0)), "No Match"),"")</f>
        <v>173001140580</v>
      </c>
      <c r="D247" s="43">
        <f t="shared" ca="1" si="8"/>
        <v>0.10470308752884933</v>
      </c>
      <c r="E247" s="43">
        <f t="shared" ca="1" si="0"/>
        <v>8.4554211823081957E-3</v>
      </c>
      <c r="F247" s="43">
        <f t="shared" ca="1" si="13"/>
        <v>0.12104644301741996</v>
      </c>
      <c r="G247" s="42">
        <f t="shared" ca="1" si="1"/>
        <v>1525314726254338.2</v>
      </c>
      <c r="H247" s="41">
        <f t="shared" ca="1" si="14"/>
        <v>5963.7892946174597</v>
      </c>
      <c r="I247" s="3"/>
      <c r="J247" s="43">
        <f t="shared" ca="1" si="20"/>
        <v>-0.54023232077035288</v>
      </c>
      <c r="K247" s="44">
        <f t="shared" ca="1" si="10"/>
        <v>-3</v>
      </c>
      <c r="L247" s="3"/>
      <c r="M247" s="45">
        <f t="shared" ca="1" si="2"/>
        <v>4519.9983325798366</v>
      </c>
      <c r="N247" s="47">
        <f t="shared" ca="1" si="3"/>
        <v>7407.5802566550828</v>
      </c>
      <c r="O247" s="45">
        <f t="shared" ca="1" si="4"/>
        <v>3798.1028515610251</v>
      </c>
      <c r="P247" s="47">
        <f t="shared" ca="1" si="5"/>
        <v>8129.4757376738953</v>
      </c>
      <c r="Q247" s="45">
        <f t="shared" ca="1" si="6"/>
        <v>3076.2073705422135</v>
      </c>
      <c r="R247" s="47">
        <f t="shared" ca="1" si="7"/>
        <v>8851.371218692706</v>
      </c>
      <c r="S247" s="73">
        <f t="shared" ca="1" si="21"/>
        <v>-0.54023232077035288</v>
      </c>
      <c r="T247" s="73"/>
      <c r="U247" s="3"/>
      <c r="V247" s="3"/>
      <c r="W247" s="3"/>
      <c r="X247" s="3"/>
    </row>
    <row r="248" spans="1:24" ht="14" thickBot="1">
      <c r="A248" s="40">
        <v>43619</v>
      </c>
      <c r="B248" s="41">
        <f t="array" aca="1" ref="B248" ca="1">IF(AND(A248 &gt; TODAY(), A248 &lt;= TODAY() + 7),
   INDEX(calculations!B:B, MATCH(143^143, calculations!B:B)),
   IF(ISNUMBER(MATCH(A248, calculations!A:A, 0)),
      INDEX(calculations!B:B, MATCH(A248, calculations!A:A, 0)),
      ""
   )
)</f>
        <v>8173.4</v>
      </c>
      <c r="C248" s="42">
        <f t="array" aca="1" ref="C248" ca="1">IF(B248&lt;&gt;"", IF(MATCH(A248, calculations!A:A, 0), INDEX(calculations!D:D, MATCH(A248, calculations!A:A, 0)), "No Match"),"")</f>
        <v>173016477871</v>
      </c>
      <c r="D248" s="43">
        <f t="shared" ca="1" si="8"/>
        <v>-7.2973270317201744E-2</v>
      </c>
      <c r="E248" s="43">
        <f t="shared" ca="1" si="0"/>
        <v>7.3484316446653774E-3</v>
      </c>
      <c r="F248" s="43">
        <f t="shared" ca="1" si="13"/>
        <v>0.1251422921392541</v>
      </c>
      <c r="G248" s="42">
        <f t="shared" ca="1" si="1"/>
        <v>1414132880230831.2</v>
      </c>
      <c r="H248" s="41">
        <f t="shared" ca="1" si="14"/>
        <v>6299.927530286468</v>
      </c>
      <c r="I248" s="3"/>
      <c r="J248" s="43">
        <f t="shared" ca="1" si="20"/>
        <v>-0.37616544794004247</v>
      </c>
      <c r="K248" s="44">
        <f t="shared" ca="1" si="10"/>
        <v>-2</v>
      </c>
      <c r="L248" s="3"/>
      <c r="M248" s="45">
        <f t="shared" ca="1" si="2"/>
        <v>4723.1527873839905</v>
      </c>
      <c r="N248" s="47">
        <f t="shared" ca="1" si="3"/>
        <v>7876.7022731889456</v>
      </c>
      <c r="O248" s="45">
        <f t="shared" ca="1" si="4"/>
        <v>3934.7654159327517</v>
      </c>
      <c r="P248" s="47">
        <f t="shared" ca="1" si="5"/>
        <v>8665.0896446401857</v>
      </c>
      <c r="Q248" s="45">
        <f t="shared" ca="1" si="6"/>
        <v>3146.3780444815129</v>
      </c>
      <c r="R248" s="47">
        <f t="shared" ca="1" si="7"/>
        <v>9453.4770160914231</v>
      </c>
      <c r="S248" s="73">
        <f t="shared" ca="1" si="21"/>
        <v>-0.37616544794004247</v>
      </c>
      <c r="T248" s="73"/>
      <c r="U248" s="3"/>
      <c r="V248" s="3"/>
      <c r="W248" s="3"/>
      <c r="X248" s="3"/>
    </row>
    <row r="249" spans="1:24" ht="14" thickBot="1">
      <c r="A249" s="40">
        <v>43626</v>
      </c>
      <c r="B249" s="41">
        <f t="array" aca="1" ref="B249" ca="1">IF(AND(A249 &gt; TODAY(), A249 &lt;= TODAY() + 7),
   INDEX(calculations!B:B, MATCH(143^143, calculations!B:B)),
   IF(ISNUMBER(MATCH(A249, calculations!A:A, 0)),
      INDEX(calculations!B:B, MATCH(A249, calculations!A:A, 0)),
      ""
   )
)</f>
        <v>7993.3</v>
      </c>
      <c r="C249" s="42">
        <f t="array" aca="1" ref="C249" ca="1">IF(B249&lt;&gt;"", IF(MATCH(A249, calculations!A:A, 0), INDEX(calculations!D:D, MATCH(A249, calculations!A:A, 0)), "No Match"),"")</f>
        <v>140124650113</v>
      </c>
      <c r="D249" s="43">
        <f t="shared" ca="1" si="8"/>
        <v>-2.2034893679496837E-2</v>
      </c>
      <c r="E249" s="43">
        <f t="shared" ca="1" si="0"/>
        <v>1.2099695824561497E-3</v>
      </c>
      <c r="F249" s="43">
        <f t="shared" ca="1" si="13"/>
        <v>0.12456932077374946</v>
      </c>
      <c r="G249" s="42">
        <f t="shared" ca="1" si="1"/>
        <v>1120058365748242.9</v>
      </c>
      <c r="H249" s="41">
        <f t="shared" ca="1" si="14"/>
        <v>6535.9054308348732</v>
      </c>
      <c r="I249" s="3"/>
      <c r="J249" s="43">
        <f t="shared" ca="1" si="20"/>
        <v>1</v>
      </c>
      <c r="K249" s="44" t="str">
        <f t="shared" ca="1" si="10"/>
        <v/>
      </c>
      <c r="L249" s="3"/>
      <c r="M249" s="45">
        <f t="shared" ca="1" si="2"/>
        <v>4907.5588305137517</v>
      </c>
      <c r="N249" s="47">
        <f t="shared" ca="1" si="3"/>
        <v>8164.2520311559947</v>
      </c>
      <c r="O249" s="45">
        <f t="shared" ca="1" si="4"/>
        <v>4093.3855303531918</v>
      </c>
      <c r="P249" s="47">
        <f t="shared" ca="1" si="5"/>
        <v>8978.4253313165555</v>
      </c>
      <c r="Q249" s="45">
        <f t="shared" ca="1" si="6"/>
        <v>3279.2122301926311</v>
      </c>
      <c r="R249" s="47">
        <f t="shared" ca="1" si="7"/>
        <v>9792.5986314771162</v>
      </c>
      <c r="S249" s="73">
        <f t="shared" ca="1" si="21"/>
        <v>1</v>
      </c>
      <c r="T249" s="73"/>
      <c r="U249" s="3"/>
      <c r="V249" s="3"/>
      <c r="W249" s="3"/>
      <c r="X249" s="3"/>
    </row>
    <row r="250" spans="1:24" ht="14" thickBot="1">
      <c r="A250" s="40">
        <v>43633</v>
      </c>
      <c r="B250" s="41">
        <f t="array" aca="1" ref="B250" ca="1">IF(AND(A250 &gt; TODAY(), A250 &lt;= TODAY() + 7),
   INDEX(calculations!B:B, MATCH(143^143, calculations!B:B)),
   IF(ISNUMBER(MATCH(A250, calculations!A:A, 0)),
      INDEX(calculations!B:B, MATCH(A250, calculations!A:A, 0)),
      ""
   )
)</f>
        <v>9340.57</v>
      </c>
      <c r="C250" s="42">
        <f t="array" aca="1" ref="C250" ca="1">IF(B250&lt;&gt;"", IF(MATCH(A250, calculations!A:A, 0), INDEX(calculations!D:D, MATCH(A250, calculations!A:A, 0)), "No Match"),"")</f>
        <v>135051141522</v>
      </c>
      <c r="D250" s="43">
        <f t="shared" ca="1" si="8"/>
        <v>0.16854991055008564</v>
      </c>
      <c r="E250" s="43">
        <f t="shared" ca="1" si="0"/>
        <v>2.4273698329040395E-2</v>
      </c>
      <c r="F250" s="43">
        <f t="shared" ca="1" si="13"/>
        <v>0.12749041828635377</v>
      </c>
      <c r="G250" s="42">
        <f t="shared" ca="1" si="1"/>
        <v>1261454640966147.5</v>
      </c>
      <c r="H250" s="41">
        <f t="shared" ca="1" si="14"/>
        <v>6869.0553006133905</v>
      </c>
      <c r="I250" s="3"/>
      <c r="J250" s="43">
        <f t="shared" ca="1" si="20"/>
        <v>-0.56966685455290988</v>
      </c>
      <c r="K250" s="44">
        <f t="shared" ca="1" si="10"/>
        <v>-2</v>
      </c>
      <c r="L250" s="3"/>
      <c r="M250" s="45">
        <f t="shared" ca="1" si="2"/>
        <v>5117.577833598797</v>
      </c>
      <c r="N250" s="47">
        <f t="shared" ca="1" si="3"/>
        <v>8620.532767627983</v>
      </c>
      <c r="O250" s="45">
        <f t="shared" ca="1" si="4"/>
        <v>4241.8391000915008</v>
      </c>
      <c r="P250" s="47">
        <f t="shared" ca="1" si="5"/>
        <v>9496.2715011352793</v>
      </c>
      <c r="Q250" s="45">
        <f t="shared" ca="1" si="6"/>
        <v>3366.1003665842036</v>
      </c>
      <c r="R250" s="47">
        <f t="shared" ca="1" si="7"/>
        <v>10372.010234642577</v>
      </c>
      <c r="S250" s="73">
        <f t="shared" ca="1" si="21"/>
        <v>-0.56966685455290988</v>
      </c>
      <c r="T250" s="73"/>
      <c r="U250" s="3"/>
      <c r="V250" s="3"/>
      <c r="W250" s="3"/>
      <c r="X250" s="3"/>
    </row>
    <row r="251" spans="1:24" ht="14" thickBot="1">
      <c r="A251" s="40">
        <v>43640</v>
      </c>
      <c r="B251" s="41">
        <f t="array" aca="1" ref="B251" ca="1">IF(AND(A251 &gt; TODAY(), A251 &lt;= TODAY() + 7),
   INDEX(calculations!B:B, MATCH(143^143, calculations!B:B)),
   IF(ISNUMBER(MATCH(A251, calculations!A:A, 0)),
      INDEX(calculations!B:B, MATCH(A251, calculations!A:A, 0)),
      ""
   )
)</f>
        <v>11004.21</v>
      </c>
      <c r="C251" s="42">
        <f t="array" aca="1" ref="C251" ca="1">IF(B251&lt;&gt;"", IF(MATCH(A251, calculations!A:A, 0), INDEX(calculations!D:D, MATCH(A251, calculations!A:A, 0)), "No Match"),"")</f>
        <v>136422336191</v>
      </c>
      <c r="D251" s="43">
        <f t="shared" ca="1" si="8"/>
        <v>0.17810904473709843</v>
      </c>
      <c r="E251" s="43">
        <f t="shared" ca="1" si="0"/>
        <v>2.7343705166904451E-2</v>
      </c>
      <c r="F251" s="43">
        <f t="shared" ca="1" si="13"/>
        <v>0.12988846391552347</v>
      </c>
      <c r="G251" s="42">
        <f t="shared" ca="1" si="1"/>
        <v>1501220036136364</v>
      </c>
      <c r="H251" s="41">
        <f t="shared" ca="1" si="14"/>
        <v>7299.8533236845806</v>
      </c>
      <c r="I251" s="3"/>
      <c r="J251" s="43">
        <f t="shared" ca="1" si="20"/>
        <v>-0.76929221329320363</v>
      </c>
      <c r="K251" s="44">
        <f t="shared" ca="1" si="10"/>
        <v>-3</v>
      </c>
      <c r="L251" s="3"/>
      <c r="M251" s="45">
        <f t="shared" ca="1" si="2"/>
        <v>5403.5198536405433</v>
      </c>
      <c r="N251" s="47">
        <f t="shared" ca="1" si="3"/>
        <v>9196.186793728617</v>
      </c>
      <c r="O251" s="45">
        <f t="shared" ca="1" si="4"/>
        <v>4455.3531186185246</v>
      </c>
      <c r="P251" s="47">
        <f t="shared" ca="1" si="5"/>
        <v>10144.353528750637</v>
      </c>
      <c r="Q251" s="45">
        <f t="shared" ca="1" si="6"/>
        <v>3507.1863835965055</v>
      </c>
      <c r="R251" s="47">
        <f t="shared" ca="1" si="7"/>
        <v>11092.520263772654</v>
      </c>
      <c r="S251" s="73">
        <f t="shared" ca="1" si="21"/>
        <v>-0.76929221329320363</v>
      </c>
      <c r="T251" s="73"/>
      <c r="U251" s="3"/>
      <c r="V251" s="3"/>
      <c r="W251" s="3"/>
      <c r="X251" s="3"/>
    </row>
    <row r="252" spans="1:24" ht="14" thickBot="1">
      <c r="A252" s="40">
        <v>43647</v>
      </c>
      <c r="B252" s="41">
        <f t="array" aca="1" ref="B252" ca="1">IF(AND(A252 &gt; TODAY(), A252 &lt;= TODAY() + 7),
   INDEX(calculations!B:B, MATCH(143^143, calculations!B:B)),
   IF(ISNUMBER(MATCH(A252, calculations!A:A, 0)),
      INDEX(calculations!B:B, MATCH(A252, calculations!A:A, 0)),
      ""
   )
)</f>
        <v>10569.55</v>
      </c>
      <c r="C252" s="42">
        <f t="array" aca="1" ref="C252" ca="1">IF(B252&lt;&gt;"", IF(MATCH(A252, calculations!A:A, 0), INDEX(calculations!D:D, MATCH(A252, calculations!A:A, 0)), "No Match"),"")</f>
        <v>221502737682</v>
      </c>
      <c r="D252" s="43">
        <f t="shared" ca="1" si="8"/>
        <v>-3.9499427946213306E-2</v>
      </c>
      <c r="E252" s="43">
        <f t="shared" ca="1" si="0"/>
        <v>2.7299738120268495E-3</v>
      </c>
      <c r="F252" s="43">
        <f t="shared" ca="1" si="13"/>
        <v>0.13143414969553341</v>
      </c>
      <c r="G252" s="42">
        <f t="shared" ca="1" si="1"/>
        <v>2341184261066783</v>
      </c>
      <c r="H252" s="41">
        <f t="shared" ca="1" si="14"/>
        <v>7798.0778197635645</v>
      </c>
      <c r="I252" s="3"/>
      <c r="J252" s="43">
        <f t="shared" ca="1" si="20"/>
        <v>-0.31550962075434491</v>
      </c>
      <c r="K252" s="44">
        <f t="shared" ca="1" si="10"/>
        <v>-2</v>
      </c>
      <c r="L252" s="3"/>
      <c r="M252" s="45">
        <f t="shared" ca="1" si="2"/>
        <v>5748.2103647631184</v>
      </c>
      <c r="N252" s="47">
        <f t="shared" ca="1" si="3"/>
        <v>9847.9452747640098</v>
      </c>
      <c r="O252" s="45">
        <f t="shared" ca="1" si="4"/>
        <v>4723.2766372628948</v>
      </c>
      <c r="P252" s="47">
        <f t="shared" ca="1" si="5"/>
        <v>10872.879002264235</v>
      </c>
      <c r="Q252" s="45">
        <f t="shared" ca="1" si="6"/>
        <v>3698.3429097626722</v>
      </c>
      <c r="R252" s="47">
        <f t="shared" ca="1" si="7"/>
        <v>11897.812729764457</v>
      </c>
      <c r="S252" s="73">
        <f t="shared" ca="1" si="21"/>
        <v>-0.31550962075434491</v>
      </c>
      <c r="T252" s="73"/>
      <c r="U252" s="3"/>
      <c r="V252" s="3"/>
      <c r="W252" s="3"/>
      <c r="X252" s="3"/>
    </row>
    <row r="253" spans="1:24" ht="14" thickBot="1">
      <c r="A253" s="40">
        <v>43654</v>
      </c>
      <c r="B253" s="41">
        <f t="array" aca="1" ref="B253" ca="1">IF(AND(A253 &gt; TODAY(), A253 &lt;= TODAY() + 7),
   INDEX(calculations!B:B, MATCH(143^143, calculations!B:B)),
   IF(ISNUMBER(MATCH(A253, calculations!A:A, 0)),
      INDEX(calculations!B:B, MATCH(A253, calculations!A:A, 0)),
      ""
   )
)</f>
        <v>12319.62</v>
      </c>
      <c r="C253" s="42">
        <f t="array" aca="1" ref="C253" ca="1">IF(B253&lt;&gt;"", IF(MATCH(A253, calculations!A:A, 0), INDEX(calculations!D:D, MATCH(A253, calculations!A:A, 0)), "No Match"),"")</f>
        <v>181410821667</v>
      </c>
      <c r="D253" s="43">
        <f t="shared" ca="1" si="8"/>
        <v>0.16557658556892221</v>
      </c>
      <c r="E253" s="43">
        <f t="shared" ca="1" si="0"/>
        <v>2.33560498131886E-2</v>
      </c>
      <c r="F253" s="43">
        <f t="shared" ca="1" si="13"/>
        <v>0.13315362888963048</v>
      </c>
      <c r="G253" s="42">
        <f t="shared" ca="1" si="1"/>
        <v>2234912386825206.8</v>
      </c>
      <c r="H253" s="41">
        <f t="shared" ca="1" si="14"/>
        <v>8331.0131949245133</v>
      </c>
      <c r="I253" s="3"/>
      <c r="J253" s="43">
        <f t="shared" ca="1" si="20"/>
        <v>-0.73496000076278201</v>
      </c>
      <c r="K253" s="44">
        <f t="shared" ca="1" si="10"/>
        <v>-3</v>
      </c>
      <c r="L253" s="3"/>
      <c r="M253" s="45">
        <f t="shared" ca="1" si="2"/>
        <v>6112.4039164613268</v>
      </c>
      <c r="N253" s="47">
        <f t="shared" ca="1" si="3"/>
        <v>10549.622473387699</v>
      </c>
      <c r="O253" s="45">
        <f t="shared" ca="1" si="4"/>
        <v>5003.0992772297332</v>
      </c>
      <c r="P253" s="47">
        <f t="shared" ca="1" si="5"/>
        <v>11658.927112619294</v>
      </c>
      <c r="Q253" s="45">
        <f t="shared" ca="1" si="6"/>
        <v>3893.7946379981399</v>
      </c>
      <c r="R253" s="47">
        <f t="shared" ca="1" si="7"/>
        <v>12768.231751850886</v>
      </c>
      <c r="S253" s="73">
        <f t="shared" ca="1" si="21"/>
        <v>-0.73496000076278201</v>
      </c>
      <c r="T253" s="73"/>
      <c r="U253" s="3"/>
      <c r="V253" s="3"/>
      <c r="W253" s="3"/>
      <c r="X253" s="3"/>
    </row>
    <row r="254" spans="1:24" ht="14" thickBot="1">
      <c r="A254" s="40">
        <v>43661</v>
      </c>
      <c r="B254" s="41">
        <f t="array" aca="1" ref="B254" ca="1">IF(AND(A254 &gt; TODAY(), A254 &lt;= TODAY() + 7),
   INDEX(calculations!B:B, MATCH(143^143, calculations!B:B)),
   IF(ISNUMBER(MATCH(A254, calculations!A:A, 0)),
      INDEX(calculations!B:B, MATCH(A254, calculations!A:A, 0)),
      ""
   )
)</f>
        <v>10926.38</v>
      </c>
      <c r="C254" s="42">
        <f t="array" aca="1" ref="C254" ca="1">IF(B254&lt;&gt;"", IF(MATCH(A254, calculations!A:A, 0), INDEX(calculations!D:D, MATCH(A254, calculations!A:A, 0)), "No Match"),"")</f>
        <v>180936684097</v>
      </c>
      <c r="D254" s="43">
        <f t="shared" ca="1" si="8"/>
        <v>-0.11309115053873427</v>
      </c>
      <c r="E254" s="43">
        <f t="shared" ca="1" si="0"/>
        <v>1.583592554313297E-2</v>
      </c>
      <c r="F254" s="43">
        <f t="shared" ca="1" si="13"/>
        <v>0.13147995624672568</v>
      </c>
      <c r="G254" s="42">
        <f t="shared" ca="1" si="1"/>
        <v>1976982966383778.8</v>
      </c>
      <c r="H254" s="41">
        <f t="shared" ca="1" si="14"/>
        <v>8736.1570169558654</v>
      </c>
      <c r="I254" s="3"/>
      <c r="J254" s="43">
        <f t="shared" ca="1" si="20"/>
        <v>1</v>
      </c>
      <c r="K254" s="44" t="str">
        <f t="shared" ca="1" si="10"/>
        <v/>
      </c>
      <c r="L254" s="3"/>
      <c r="M254" s="45">
        <f t="shared" ca="1" si="2"/>
        <v>6438.8979322480991</v>
      </c>
      <c r="N254" s="47">
        <f t="shared" ca="1" si="3"/>
        <v>11033.416101663632</v>
      </c>
      <c r="O254" s="45">
        <f t="shared" ca="1" si="4"/>
        <v>5290.2683898942178</v>
      </c>
      <c r="P254" s="47">
        <f t="shared" ca="1" si="5"/>
        <v>12182.045644017513</v>
      </c>
      <c r="Q254" s="45">
        <f t="shared" ca="1" si="6"/>
        <v>4141.6388475403346</v>
      </c>
      <c r="R254" s="47">
        <f t="shared" ca="1" si="7"/>
        <v>13330.675186371398</v>
      </c>
      <c r="S254" s="73">
        <f t="shared" ca="1" si="21"/>
        <v>1</v>
      </c>
      <c r="T254" s="73"/>
      <c r="U254" s="3"/>
      <c r="V254" s="3"/>
      <c r="W254" s="3"/>
      <c r="X254" s="3"/>
    </row>
    <row r="255" spans="1:24" ht="14" thickBot="1">
      <c r="A255" s="40">
        <v>43668</v>
      </c>
      <c r="B255" s="41">
        <f t="array" aca="1" ref="B255" ca="1">IF(AND(A255 &gt; TODAY(), A255 &lt;= TODAY() + 7),
   INDEX(calculations!B:B, MATCH(143^143, calculations!B:B)),
   IF(ISNUMBER(MATCH(A255, calculations!A:A, 0)),
      INDEX(calculations!B:B, MATCH(A255, calculations!A:A, 0)),
      ""
   )
)</f>
        <v>10318.56</v>
      </c>
      <c r="C255" s="42">
        <f t="array" aca="1" ref="C255" ca="1">IF(B255&lt;&gt;"", IF(MATCH(A255, calculations!A:A, 0), INDEX(calculations!D:D, MATCH(A255, calculations!A:A, 0)), "No Match"),"")</f>
        <v>157356814406</v>
      </c>
      <c r="D255" s="43">
        <f t="shared" ca="1" si="8"/>
        <v>-5.5628671160988338E-2</v>
      </c>
      <c r="E255" s="43">
        <f t="shared" ca="1" si="0"/>
        <v>4.6756048370157118E-3</v>
      </c>
      <c r="F255" s="43">
        <f t="shared" ca="1" si="13"/>
        <v>0.13213280625153373</v>
      </c>
      <c r="G255" s="42">
        <f t="shared" ca="1" si="1"/>
        <v>1623695730857175.2</v>
      </c>
      <c r="H255" s="41">
        <f t="shared" ca="1" si="14"/>
        <v>9022.641056179682</v>
      </c>
      <c r="I255" s="3"/>
      <c r="J255" s="43">
        <f t="shared" ca="1" si="20"/>
        <v>1</v>
      </c>
      <c r="K255" s="44" t="str">
        <f t="shared" ca="1" si="10"/>
        <v/>
      </c>
      <c r="L255" s="3"/>
      <c r="M255" s="45">
        <f t="shared" ca="1" si="2"/>
        <v>6638.2672910730353</v>
      </c>
      <c r="N255" s="47">
        <f t="shared" ca="1" si="3"/>
        <v>11407.014821286328</v>
      </c>
      <c r="O255" s="45">
        <f t="shared" ca="1" si="4"/>
        <v>5446.0804085197105</v>
      </c>
      <c r="P255" s="47">
        <f t="shared" ca="1" si="5"/>
        <v>12599.201703839653</v>
      </c>
      <c r="Q255" s="45">
        <f t="shared" ca="1" si="6"/>
        <v>4253.8935259663876</v>
      </c>
      <c r="R255" s="47">
        <f t="shared" ca="1" si="7"/>
        <v>13791.388586392975</v>
      </c>
      <c r="S255" s="73">
        <f t="shared" ca="1" si="21"/>
        <v>1</v>
      </c>
      <c r="T255" s="73"/>
      <c r="U255" s="3"/>
      <c r="V255" s="3"/>
      <c r="W255" s="3"/>
      <c r="X255" s="3"/>
    </row>
    <row r="256" spans="1:24" ht="14" thickBot="1">
      <c r="A256" s="40">
        <v>43675</v>
      </c>
      <c r="B256" s="41">
        <f t="array" aca="1" ref="B256" ca="1">IF(AND(A256 &gt; TODAY(), A256 &lt;= TODAY() + 7),
   INDEX(calculations!B:B, MATCH(143^143, calculations!B:B)),
   IF(ISNUMBER(MATCH(A256, calculations!A:A, 0)),
      INDEX(calculations!B:B, MATCH(A256, calculations!A:A, 0)),
      ""
   )
)</f>
        <v>9504.16</v>
      </c>
      <c r="C256" s="42">
        <f t="array" aca="1" ref="C256" ca="1">IF(B256&lt;&gt;"", IF(MATCH(A256, calculations!A:A, 0), INDEX(calculations!D:D, MATCH(A256, calculations!A:A, 0)), "No Match"),"")</f>
        <v>112459229432</v>
      </c>
      <c r="D256" s="43">
        <f t="shared" ca="1" si="8"/>
        <v>-7.8925741576343952E-2</v>
      </c>
      <c r="E256" s="43">
        <f t="shared" ca="1" si="0"/>
        <v>8.4043908709566812E-3</v>
      </c>
      <c r="F256" s="43">
        <f t="shared" ca="1" si="13"/>
        <v>0.13717139558328037</v>
      </c>
      <c r="G256" s="42">
        <f t="shared" ca="1" si="1"/>
        <v>1068830509998437.1</v>
      </c>
      <c r="H256" s="41">
        <f t="shared" ca="1" si="14"/>
        <v>9199.3701098821075</v>
      </c>
      <c r="I256" s="3"/>
      <c r="J256" s="43">
        <f t="shared" ca="1" si="20"/>
        <v>1</v>
      </c>
      <c r="K256" s="44" t="str">
        <f t="shared" ca="1" si="10"/>
        <v/>
      </c>
      <c r="L256" s="3"/>
      <c r="M256" s="45">
        <f t="shared" ca="1" si="2"/>
        <v>6675.5892369628191</v>
      </c>
      <c r="N256" s="47">
        <f t="shared" ca="1" si="3"/>
        <v>11723.150982801397</v>
      </c>
      <c r="O256" s="45">
        <f t="shared" ca="1" si="4"/>
        <v>5413.6988005031762</v>
      </c>
      <c r="P256" s="47">
        <f t="shared" ca="1" si="5"/>
        <v>12985.041419261039</v>
      </c>
      <c r="Q256" s="45">
        <f t="shared" ca="1" si="6"/>
        <v>4151.8083640435316</v>
      </c>
      <c r="R256" s="47">
        <f t="shared" ca="1" si="7"/>
        <v>14246.931855720684</v>
      </c>
      <c r="S256" s="73">
        <f t="shared" ca="1" si="21"/>
        <v>1</v>
      </c>
      <c r="T256" s="73"/>
      <c r="U256" s="3"/>
      <c r="V256" s="3"/>
      <c r="W256" s="3"/>
      <c r="X256" s="3"/>
    </row>
    <row r="257" spans="1:24" ht="14" thickBot="1">
      <c r="A257" s="40">
        <v>43682</v>
      </c>
      <c r="B257" s="41">
        <f t="array" aca="1" ref="B257" ca="1">IF(AND(A257 &gt; TODAY(), A257 &lt;= TODAY() + 7),
   INDEX(calculations!B:B, MATCH(143^143, calculations!B:B)),
   IF(ISNUMBER(MATCH(A257, calculations!A:A, 0)),
      INDEX(calculations!B:B, MATCH(A257, calculations!A:A, 0)),
      ""
   )
)</f>
        <v>11790.02</v>
      </c>
      <c r="C257" s="42">
        <f t="array" aca="1" ref="C257" ca="1">IF(B257&lt;&gt;"", IF(MATCH(A257, calculations!A:A, 0), INDEX(calculations!D:D, MATCH(A257, calculations!A:A, 0)), "No Match"),"")</f>
        <v>110790788891</v>
      </c>
      <c r="D257" s="43">
        <f t="shared" ca="1" si="8"/>
        <v>0.24051152337502743</v>
      </c>
      <c r="E257" s="43">
        <f t="shared" ca="1" si="0"/>
        <v>5.1875437546925453E-2</v>
      </c>
      <c r="F257" s="43">
        <f t="shared" ca="1" si="13"/>
        <v>0.14324902772838696</v>
      </c>
      <c r="G257" s="42">
        <f t="shared" ca="1" si="1"/>
        <v>1306225616840667.8</v>
      </c>
      <c r="H257" s="41">
        <f t="shared" ca="1" si="14"/>
        <v>9528.6469507819857</v>
      </c>
      <c r="I257" s="3"/>
      <c r="J257" s="43">
        <f t="shared" ca="1" si="20"/>
        <v>1</v>
      </c>
      <c r="K257" s="44" t="str">
        <f t="shared" ca="1" si="10"/>
        <v/>
      </c>
      <c r="L257" s="3"/>
      <c r="M257" s="45">
        <f t="shared" ca="1" si="2"/>
        <v>6798.708128248828</v>
      </c>
      <c r="N257" s="47">
        <f t="shared" ca="1" si="3"/>
        <v>12258.585773315142</v>
      </c>
      <c r="O257" s="45">
        <f t="shared" ca="1" si="4"/>
        <v>5433.7387169822505</v>
      </c>
      <c r="P257" s="47">
        <f t="shared" ca="1" si="5"/>
        <v>13623.555184581721</v>
      </c>
      <c r="Q257" s="45">
        <f t="shared" ca="1" si="6"/>
        <v>4068.7693057156716</v>
      </c>
      <c r="R257" s="47">
        <f t="shared" ca="1" si="7"/>
        <v>14988.524595848301</v>
      </c>
      <c r="S257" s="73">
        <f t="shared" ca="1" si="21"/>
        <v>1</v>
      </c>
      <c r="T257" s="73"/>
      <c r="U257" s="3"/>
      <c r="V257" s="3"/>
      <c r="W257" s="3"/>
      <c r="X257" s="3"/>
    </row>
    <row r="258" spans="1:24" ht="14" thickBot="1">
      <c r="A258" s="40">
        <v>43689</v>
      </c>
      <c r="B258" s="41">
        <f t="array" aca="1" ref="B258" ca="1">IF(AND(A258 &gt; TODAY(), A258 &lt;= TODAY() + 7),
   INDEX(calculations!B:B, MATCH(143^143, calculations!B:B)),
   IF(ISNUMBER(MATCH(A258, calculations!A:A, 0)),
      INDEX(calculations!B:B, MATCH(A258, calculations!A:A, 0)),
      ""
   )
)</f>
        <v>11384.7</v>
      </c>
      <c r="C258" s="42">
        <f t="array" aca="1" ref="C258" ca="1">IF(B258&lt;&gt;"", IF(MATCH(A258, calculations!A:A, 0), INDEX(calculations!D:D, MATCH(A258, calculations!A:A, 0)), "No Match"),"")</f>
        <v>141427393788</v>
      </c>
      <c r="D258" s="43">
        <f t="shared" ca="1" si="8"/>
        <v>-3.4378228366024798E-2</v>
      </c>
      <c r="E258" s="43">
        <f t="shared" ref="E258:E512" ca="1" si="22">IF(D258&lt;&gt;"",(D258-$T$2)^2,"")</f>
        <v>2.221043833716691E-3</v>
      </c>
      <c r="F258" s="43">
        <f t="shared" ca="1" si="13"/>
        <v>0.14541529288716296</v>
      </c>
      <c r="G258" s="42">
        <f t="shared" ref="G258:G512" ca="1" si="23">IF(C258&lt;&gt;"",B258*C258,"")</f>
        <v>1610108450058243.8</v>
      </c>
      <c r="H258" s="41">
        <f t="shared" ca="1" si="14"/>
        <v>9833.9515755840857</v>
      </c>
      <c r="I258" s="3"/>
      <c r="J258" s="43">
        <f t="shared" ca="1" si="20"/>
        <v>1</v>
      </c>
      <c r="K258" s="44" t="str">
        <f t="shared" ca="1" si="10"/>
        <v/>
      </c>
      <c r="L258" s="3"/>
      <c r="M258" s="45">
        <f t="shared" ref="M258:M512" ca="1" si="24">IF(H258&lt;&gt;"",H258*(1-(F258*2)),"")</f>
        <v>6973.937678380611</v>
      </c>
      <c r="N258" s="47">
        <f t="shared" ref="N258:N512" ca="1" si="25">IF(H258&lt;&gt;"",H258*(1+(F258*2)),"")</f>
        <v>12693.96547278756</v>
      </c>
      <c r="O258" s="45">
        <f t="shared" ref="O258:O512" ca="1" si="26">IF(H258&lt;&gt;"",H258*(1-(F258*3)),"")</f>
        <v>5543.9307297788728</v>
      </c>
      <c r="P258" s="47">
        <f t="shared" ref="P258:P512" ca="1" si="27">IF(H258&lt;&gt;"",H258*(1+(F258*3)),"")</f>
        <v>14123.972421389299</v>
      </c>
      <c r="Q258" s="45">
        <f t="shared" ref="Q258:Q512" ca="1" si="28">IF(H258&lt;&gt;"",H258*(1-(F258*4)),"")</f>
        <v>4113.9237811771363</v>
      </c>
      <c r="R258" s="47">
        <f t="shared" ref="R258:R512" ca="1" si="29">IF(H258&lt;&gt;"",H258*(1+(F258*4)),"")</f>
        <v>15553.979369991035</v>
      </c>
      <c r="S258" s="73">
        <f t="shared" ca="1" si="21"/>
        <v>1</v>
      </c>
      <c r="T258" s="73"/>
      <c r="U258" s="3"/>
      <c r="V258" s="3"/>
      <c r="W258" s="3"/>
      <c r="X258" s="3"/>
    </row>
    <row r="259" spans="1:24" ht="14" thickBot="1">
      <c r="A259" s="40">
        <v>43696</v>
      </c>
      <c r="B259" s="41">
        <f t="array" aca="1" ref="B259" ca="1">IF(AND(A259 &gt; TODAY(), A259 &lt;= TODAY() + 7),
   INDEX(calculations!B:B, MATCH(143^143, calculations!B:B)),
   IF(ISNUMBER(MATCH(A259, calculations!A:A, 0)),
      INDEX(calculations!B:B, MATCH(A259, calculations!A:A, 0)),
      ""
   )
)</f>
        <v>10884.63</v>
      </c>
      <c r="C259" s="42">
        <f t="array" aca="1" ref="C259" ca="1">IF(B259&lt;&gt;"", IF(MATCH(A259, calculations!A:A, 0), INDEX(calculations!D:D, MATCH(A259, calculations!A:A, 0)), "No Match"),"")</f>
        <v>120224711798</v>
      </c>
      <c r="D259" s="43">
        <f t="shared" ref="D259:D513" ca="1" si="30">IF(B259&lt;&gt;"",(B259-B258)/B258,"")</f>
        <v>-4.3924741099897364E-2</v>
      </c>
      <c r="E259" s="43">
        <f t="shared" ca="1" si="22"/>
        <v>3.2119949216071245E-3</v>
      </c>
      <c r="F259" s="43">
        <f t="shared" ca="1" si="13"/>
        <v>0.11664407145089122</v>
      </c>
      <c r="G259" s="42">
        <f t="shared" ca="1" si="23"/>
        <v>1308601504777864.8</v>
      </c>
      <c r="H259" s="41">
        <f t="shared" ca="1" si="14"/>
        <v>10024.102311678802</v>
      </c>
      <c r="I259" s="3"/>
      <c r="J259" s="43">
        <f t="shared" ca="1" si="20"/>
        <v>1</v>
      </c>
      <c r="K259" s="44" t="str">
        <f t="shared" ref="K259:K513" ca="1" si="31">IF(J259=1,"",IF(B259="","",IF(AND(B259&lt;&gt;"",J259&lt;0),IF(AND(P259&gt;B259,B259&gt;N259),-2, IF(AND(R259&gt;B259,B259&gt;P259), -3,IF(B259&gt;R259, -4))),IF(AND(B259&lt;&gt;"",J259&gt;0),IF(AND(O259&lt;B259,B259&lt;M259),2, IF(AND(Q259&lt;B259,B259&lt;O259), 3,IF(B259&lt;Q259, 4)))))))</f>
        <v/>
      </c>
      <c r="L259" s="3"/>
      <c r="M259" s="45">
        <f t="shared" ca="1" si="24"/>
        <v>7685.5980991297893</v>
      </c>
      <c r="N259" s="47">
        <f t="shared" ca="1" si="25"/>
        <v>12362.606524227813</v>
      </c>
      <c r="O259" s="45">
        <f t="shared" ca="1" si="26"/>
        <v>6516.3459928552838</v>
      </c>
      <c r="P259" s="47">
        <f t="shared" ca="1" si="27"/>
        <v>13531.85863050232</v>
      </c>
      <c r="Q259" s="45">
        <f t="shared" ca="1" si="28"/>
        <v>5347.0938865807775</v>
      </c>
      <c r="R259" s="47">
        <f t="shared" ca="1" si="29"/>
        <v>14701.110736776827</v>
      </c>
      <c r="S259" s="73">
        <f t="shared" ca="1" si="21"/>
        <v>1</v>
      </c>
      <c r="T259" s="73"/>
      <c r="U259" s="3"/>
      <c r="V259" s="3"/>
      <c r="W259" s="3"/>
      <c r="X259" s="3"/>
    </row>
    <row r="260" spans="1:24" ht="14" thickBot="1">
      <c r="A260" s="40">
        <v>43703</v>
      </c>
      <c r="B260" s="41">
        <f t="array" aca="1" ref="B260" ca="1">IF(AND(A260 &gt; TODAY(), A260 &lt;= TODAY() + 7),
   INDEX(calculations!B:B, MATCH(143^143, calculations!B:B)),
   IF(ISNUMBER(MATCH(A260, calculations!A:A, 0)),
      INDEX(calculations!B:B, MATCH(A260, calculations!A:A, 0)),
      ""
   )
)</f>
        <v>10362.64</v>
      </c>
      <c r="C260" s="42">
        <f t="array" aca="1" ref="C260" ca="1">IF(B260&lt;&gt;"", IF(MATCH(A260, calculations!A:A, 0), INDEX(calculations!D:D, MATCH(A260, calculations!A:A, 0)), "No Match"),"")</f>
        <v>112893851548</v>
      </c>
      <c r="D260" s="43">
        <f t="shared" ca="1" si="30"/>
        <v>-4.7956614051189596E-2</v>
      </c>
      <c r="E260" s="43">
        <f t="shared" ca="1" si="22"/>
        <v>3.685259401657281E-3</v>
      </c>
      <c r="F260" s="43">
        <f t="shared" ca="1" si="13"/>
        <v>0.11850006631807347</v>
      </c>
      <c r="G260" s="42">
        <f t="shared" ca="1" si="23"/>
        <v>1169878341805366.8</v>
      </c>
      <c r="H260" s="41">
        <f t="shared" ca="1" si="14"/>
        <v>10236.768184527789</v>
      </c>
      <c r="I260" s="3"/>
      <c r="J260" s="43">
        <f t="shared" ca="1" si="20"/>
        <v>1</v>
      </c>
      <c r="K260" s="44" t="str">
        <f t="shared" ca="1" si="31"/>
        <v/>
      </c>
      <c r="L260" s="3"/>
      <c r="M260" s="45">
        <f t="shared" ca="1" si="24"/>
        <v>7810.6527670292144</v>
      </c>
      <c r="N260" s="47">
        <f t="shared" ca="1" si="25"/>
        <v>12662.883602026366</v>
      </c>
      <c r="O260" s="45">
        <f t="shared" ca="1" si="26"/>
        <v>6597.5950582799269</v>
      </c>
      <c r="P260" s="47">
        <f t="shared" ca="1" si="27"/>
        <v>13875.941310775652</v>
      </c>
      <c r="Q260" s="45">
        <f t="shared" ca="1" si="28"/>
        <v>5384.5373495306385</v>
      </c>
      <c r="R260" s="47">
        <f t="shared" ca="1" si="29"/>
        <v>15088.999019524939</v>
      </c>
      <c r="S260" s="73">
        <f t="shared" ca="1" si="21"/>
        <v>1</v>
      </c>
      <c r="T260" s="73"/>
      <c r="U260" s="3"/>
      <c r="V260" s="3"/>
      <c r="W260" s="3"/>
      <c r="X260" s="3"/>
    </row>
    <row r="261" spans="1:24" ht="14" thickBot="1">
      <c r="A261" s="40">
        <v>43710</v>
      </c>
      <c r="B261" s="41">
        <f t="array" aca="1" ref="B261" ca="1">IF(AND(A261 &gt; TODAY(), A261 &lt;= TODAY() + 7),
   INDEX(calculations!B:B, MATCH(143^143, calculations!B:B)),
   IF(ISNUMBER(MATCH(A261, calculations!A:A, 0)),
      INDEX(calculations!B:B, MATCH(A261, calculations!A:A, 0)),
      ""
   )
)</f>
        <v>10377.34</v>
      </c>
      <c r="C261" s="42">
        <f t="array" aca="1" ref="C261" ca="1">IF(B261&lt;&gt;"", IF(MATCH(A261, calculations!A:A, 0), INDEX(calculations!D:D, MATCH(A261, calculations!A:A, 0)), "No Match"),"")</f>
        <v>104346358671</v>
      </c>
      <c r="D261" s="43">
        <f t="shared" ca="1" si="30"/>
        <v>1.4185574332410205E-3</v>
      </c>
      <c r="E261" s="43">
        <f t="shared" ca="1" si="22"/>
        <v>1.2839532121794838E-4</v>
      </c>
      <c r="F261" s="43">
        <f t="shared" ca="1" si="13"/>
        <v>0.11634721759181675</v>
      </c>
      <c r="G261" s="42">
        <f t="shared" ca="1" si="23"/>
        <v>1082837641690915.1</v>
      </c>
      <c r="H261" s="41">
        <f t="shared" ca="1" si="14"/>
        <v>10365.136342392783</v>
      </c>
      <c r="I261" s="3"/>
      <c r="J261" s="43">
        <f t="shared" ref="J261:J324" ca="1" si="32">IF(B261="","",
 IF(B261&lt;Q261, 1+(4*ABS(D261))+(1+$X$2)+F261,
 IF(B261&lt;O261, 1+(3*ABS(D261))+(1+$X$2)+F261,
 IF(B261&lt;M261, 1+(2*ABS(D261))+(1+$X$2)+F261,
 IF(B261&gt;R261, 1-(4*ABS(D261))-(1+$X$2)-F261,
 IF(B261&gt;P261, 1-(3*ABS(D261))-(1+$X$2)-F261,
 IF(B261&gt;N261, 1-(2*ABS(D261))-(1+$X$2)-F261,
 1)))))))</f>
        <v>1</v>
      </c>
      <c r="K261" s="44" t="str">
        <f t="shared" ca="1" si="31"/>
        <v/>
      </c>
      <c r="L261" s="3"/>
      <c r="M261" s="45">
        <f t="shared" ca="1" si="24"/>
        <v>7953.2267955983416</v>
      </c>
      <c r="N261" s="47">
        <f t="shared" ca="1" si="25"/>
        <v>12777.045889187226</v>
      </c>
      <c r="O261" s="45">
        <f t="shared" ca="1" si="26"/>
        <v>6747.2720222011203</v>
      </c>
      <c r="P261" s="47">
        <f t="shared" ca="1" si="27"/>
        <v>13983.000662584445</v>
      </c>
      <c r="Q261" s="45">
        <f t="shared" ca="1" si="28"/>
        <v>5541.3172488038999</v>
      </c>
      <c r="R261" s="47">
        <f t="shared" ca="1" si="29"/>
        <v>15188.955435981667</v>
      </c>
      <c r="S261" s="73">
        <f t="shared" ca="1" si="21"/>
        <v>1</v>
      </c>
      <c r="T261" s="73"/>
      <c r="U261" s="3"/>
      <c r="V261" s="3"/>
      <c r="W261" s="3"/>
      <c r="X261" s="3"/>
    </row>
    <row r="262" spans="1:24" ht="14" thickBot="1">
      <c r="A262" s="40">
        <v>43717</v>
      </c>
      <c r="B262" s="41">
        <f t="array" aca="1" ref="B262" ca="1">IF(AND(A262 &gt; TODAY(), A262 &lt;= TODAY() + 7),
   INDEX(calculations!B:B, MATCH(143^143, calculations!B:B)),
   IF(ISNUMBER(MATCH(A262, calculations!A:A, 0)),
      INDEX(calculations!B:B, MATCH(A262, calculations!A:A, 0)),
      ""
   )
)</f>
        <v>10332.459999999999</v>
      </c>
      <c r="C262" s="42">
        <f t="array" aca="1" ref="C262" ca="1">IF(B262&lt;&gt;"", IF(MATCH(A262, calculations!A:A, 0), INDEX(calculations!D:D, MATCH(A262, calculations!A:A, 0)), "No Match"),"")</f>
        <v>116441433312</v>
      </c>
      <c r="D262" s="43">
        <f t="shared" ca="1" si="30"/>
        <v>-4.3248077060211018E-3</v>
      </c>
      <c r="E262" s="43">
        <f t="shared" ca="1" si="22"/>
        <v>2.915396110615398E-4</v>
      </c>
      <c r="F262" s="43">
        <f t="shared" ca="1" si="13"/>
        <v>0.11365388976413504</v>
      </c>
      <c r="G262" s="42">
        <f t="shared" ca="1" si="23"/>
        <v>1203126452038907.5</v>
      </c>
      <c r="H262" s="41">
        <f t="shared" ca="1" si="14"/>
        <v>10555.561281948883</v>
      </c>
      <c r="I262" s="3"/>
      <c r="J262" s="43">
        <f t="shared" ca="1" si="32"/>
        <v>1</v>
      </c>
      <c r="K262" s="44" t="str">
        <f t="shared" ca="1" si="31"/>
        <v/>
      </c>
      <c r="L262" s="3"/>
      <c r="M262" s="45">
        <f t="shared" ca="1" si="24"/>
        <v>8156.2000852745023</v>
      </c>
      <c r="N262" s="47">
        <f t="shared" ca="1" si="25"/>
        <v>12954.922478623264</v>
      </c>
      <c r="O262" s="45">
        <f t="shared" ca="1" si="26"/>
        <v>6956.5194869373126</v>
      </c>
      <c r="P262" s="47">
        <f t="shared" ca="1" si="27"/>
        <v>14154.603076960455</v>
      </c>
      <c r="Q262" s="45">
        <f t="shared" ca="1" si="28"/>
        <v>5756.8388886001221</v>
      </c>
      <c r="R262" s="47">
        <f t="shared" ca="1" si="29"/>
        <v>15354.283675297645</v>
      </c>
      <c r="S262" s="73">
        <f t="shared" ca="1" si="21"/>
        <v>1</v>
      </c>
      <c r="T262" s="73"/>
      <c r="U262" s="3"/>
      <c r="V262" s="3"/>
      <c r="W262" s="3"/>
      <c r="X262" s="3"/>
    </row>
    <row r="263" spans="1:24" ht="14" thickBot="1">
      <c r="A263" s="40">
        <v>43724</v>
      </c>
      <c r="B263" s="41">
        <f t="array" aca="1" ref="B263" ca="1">IF(AND(A263 &gt; TODAY(), A263 &lt;= TODAY() + 7),
   INDEX(calculations!B:B, MATCH(143^143, calculations!B:B)),
   IF(ISNUMBER(MATCH(A263, calculations!A:A, 0)),
      INDEX(calculations!B:B, MATCH(A263, calculations!A:A, 0)),
      ""
   )
)</f>
        <v>10257.82</v>
      </c>
      <c r="C263" s="42">
        <f t="array" aca="1" ref="C263" ca="1">IF(B263&lt;&gt;"", IF(MATCH(A263, calculations!A:A, 0), INDEX(calculations!D:D, MATCH(A263, calculations!A:A, 0)), "No Match"),"")</f>
        <v>102876391724</v>
      </c>
      <c r="D263" s="43">
        <f t="shared" ca="1" si="30"/>
        <v>-7.2238363371355347E-3</v>
      </c>
      <c r="E263" s="43">
        <f t="shared" ca="1" si="22"/>
        <v>3.9894308690136394E-4</v>
      </c>
      <c r="F263" s="43">
        <f t="shared" ca="1" si="13"/>
        <v>0.11327618862527972</v>
      </c>
      <c r="G263" s="42">
        <f t="shared" ca="1" si="23"/>
        <v>1055287508554281.6</v>
      </c>
      <c r="H263" s="41">
        <f t="shared" ca="1" si="14"/>
        <v>10725.355246665089</v>
      </c>
      <c r="I263" s="3"/>
      <c r="J263" s="43">
        <f t="shared" ca="1" si="32"/>
        <v>1</v>
      </c>
      <c r="K263" s="44" t="str">
        <f t="shared" ca="1" si="31"/>
        <v/>
      </c>
      <c r="L263" s="3"/>
      <c r="M263" s="45">
        <f t="shared" ca="1" si="24"/>
        <v>8295.5005186763519</v>
      </c>
      <c r="N263" s="47">
        <f t="shared" ca="1" si="25"/>
        <v>13155.209974653826</v>
      </c>
      <c r="O263" s="45">
        <f t="shared" ca="1" si="26"/>
        <v>7080.5731546819852</v>
      </c>
      <c r="P263" s="47">
        <f t="shared" ca="1" si="27"/>
        <v>14370.137338648192</v>
      </c>
      <c r="Q263" s="45">
        <f t="shared" ca="1" si="28"/>
        <v>5865.6457906876167</v>
      </c>
      <c r="R263" s="47">
        <f t="shared" ca="1" si="29"/>
        <v>15585.064702642561</v>
      </c>
      <c r="S263" s="73">
        <f t="shared" ca="1" si="21"/>
        <v>1</v>
      </c>
      <c r="T263" s="73"/>
      <c r="U263" s="3"/>
      <c r="V263" s="3"/>
      <c r="W263" s="3"/>
      <c r="X263" s="3"/>
    </row>
    <row r="264" spans="1:24" ht="14" thickBot="1">
      <c r="A264" s="40">
        <v>43731</v>
      </c>
      <c r="B264" s="41">
        <f t="array" aca="1" ref="B264" ca="1">IF(AND(A264 &gt; TODAY(), A264 &lt;= TODAY() + 7),
   INDEX(calculations!B:B, MATCH(143^143, calculations!B:B)),
   IF(ISNUMBER(MATCH(A264, calculations!A:A, 0)),
      INDEX(calculations!B:B, MATCH(A264, calculations!A:A, 0)),
      ""
   )
)</f>
        <v>9692.74</v>
      </c>
      <c r="C264" s="42">
        <f t="array" aca="1" ref="C264" ca="1">IF(B264&lt;&gt;"", IF(MATCH(A264, calculations!A:A, 0), INDEX(calculations!D:D, MATCH(A264, calculations!A:A, 0)), "No Match"),"")</f>
        <v>107930839412</v>
      </c>
      <c r="D264" s="43">
        <f t="shared" ca="1" si="30"/>
        <v>-5.5087728191760034E-2</v>
      </c>
      <c r="E264" s="43">
        <f t="shared" ca="1" si="22"/>
        <v>4.6019198327871703E-3</v>
      </c>
      <c r="F264" s="43">
        <f t="shared" ca="1" si="13"/>
        <v>0.10683573313670368</v>
      </c>
      <c r="G264" s="42">
        <f t="shared" ca="1" si="23"/>
        <v>1046145564402268.9</v>
      </c>
      <c r="H264" s="41">
        <f t="shared" ca="1" si="14"/>
        <v>10764.980306918887</v>
      </c>
      <c r="I264" s="3"/>
      <c r="J264" s="43">
        <f t="shared" ca="1" si="32"/>
        <v>1</v>
      </c>
      <c r="K264" s="44" t="str">
        <f t="shared" ca="1" si="31"/>
        <v/>
      </c>
      <c r="L264" s="3"/>
      <c r="M264" s="45">
        <f t="shared" ca="1" si="24"/>
        <v>8464.811180335173</v>
      </c>
      <c r="N264" s="47">
        <f t="shared" ca="1" si="25"/>
        <v>13065.149433502602</v>
      </c>
      <c r="O264" s="45">
        <f t="shared" ca="1" si="26"/>
        <v>7314.7266170433177</v>
      </c>
      <c r="P264" s="47">
        <f t="shared" ca="1" si="27"/>
        <v>14215.233996794457</v>
      </c>
      <c r="Q264" s="45">
        <f t="shared" ca="1" si="28"/>
        <v>6164.6420537514596</v>
      </c>
      <c r="R264" s="47">
        <f t="shared" ca="1" si="29"/>
        <v>15365.318560086314</v>
      </c>
      <c r="S264" s="73">
        <f t="shared" ca="1" si="21"/>
        <v>1</v>
      </c>
      <c r="T264" s="73"/>
      <c r="U264" s="3"/>
      <c r="V264" s="3"/>
      <c r="W264" s="3"/>
      <c r="X264" s="3"/>
    </row>
    <row r="265" spans="1:24" ht="14" thickBot="1">
      <c r="A265" s="40">
        <v>43738</v>
      </c>
      <c r="B265" s="41">
        <f t="array" aca="1" ref="B265" ca="1">IF(AND(A265 &gt; TODAY(), A265 &lt;= TODAY() + 7),
   INDEX(calculations!B:B, MATCH(143^143, calculations!B:B)),
   IF(ISNUMBER(MATCH(A265, calculations!A:A, 0)),
      INDEX(calculations!B:B, MATCH(A265, calculations!A:A, 0)),
      ""
   )
)</f>
        <v>8282.3700000000008</v>
      </c>
      <c r="C265" s="42">
        <f t="array" aca="1" ref="C265" ca="1">IF(B265&lt;&gt;"", IF(MATCH(A265, calculations!A:A, 0), INDEX(calculations!D:D, MATCH(A265, calculations!A:A, 0)), "No Match"),"")</f>
        <v>124735468740</v>
      </c>
      <c r="D265" s="43">
        <f t="shared" ca="1" si="30"/>
        <v>-0.14550787496621173</v>
      </c>
      <c r="E265" s="43">
        <f t="shared" ca="1" si="22"/>
        <v>2.5045467427396838E-2</v>
      </c>
      <c r="F265" s="43">
        <f t="shared" ca="1" si="13"/>
        <v>0.10199182881741416</v>
      </c>
      <c r="G265" s="42">
        <f t="shared" ca="1" si="23"/>
        <v>1033105304228113.9</v>
      </c>
      <c r="H265" s="41">
        <f t="shared" ca="1" si="14"/>
        <v>10584.375769826494</v>
      </c>
      <c r="I265" s="3"/>
      <c r="J265" s="43">
        <f t="shared" ca="1" si="32"/>
        <v>2.4980841939162226</v>
      </c>
      <c r="K265" s="44">
        <f t="shared" ca="1" si="31"/>
        <v>2</v>
      </c>
      <c r="L265" s="3"/>
      <c r="M265" s="45">
        <f t="shared" ca="1" si="24"/>
        <v>8425.3360865158338</v>
      </c>
      <c r="N265" s="47">
        <f t="shared" ca="1" si="25"/>
        <v>12743.415453137155</v>
      </c>
      <c r="O265" s="45">
        <f t="shared" ca="1" si="26"/>
        <v>7345.8162448605044</v>
      </c>
      <c r="P265" s="47">
        <f t="shared" ca="1" si="27"/>
        <v>13822.935294792485</v>
      </c>
      <c r="Q265" s="45">
        <f t="shared" ca="1" si="28"/>
        <v>6266.296403205175</v>
      </c>
      <c r="R265" s="47">
        <f t="shared" ca="1" si="29"/>
        <v>14902.455136447814</v>
      </c>
      <c r="S265" s="73">
        <f t="shared" ca="1" si="21"/>
        <v>2.4980841939162226</v>
      </c>
      <c r="T265" s="73"/>
      <c r="U265" s="3"/>
      <c r="V265" s="3"/>
      <c r="W265" s="3"/>
      <c r="X265" s="3"/>
    </row>
    <row r="266" spans="1:24" ht="14" thickBot="1">
      <c r="A266" s="40">
        <v>43745</v>
      </c>
      <c r="B266" s="41">
        <f t="array" aca="1" ref="B266" ca="1">IF(AND(A266 &gt; TODAY(), A266 &lt;= TODAY() + 7),
   INDEX(calculations!B:B, MATCH(143^143, calculations!B:B)),
   IF(ISNUMBER(MATCH(A266, calculations!A:A, 0)),
      INDEX(calculations!B:B, MATCH(A266, calculations!A:A, 0)),
      ""
   )
)</f>
        <v>8226.02</v>
      </c>
      <c r="C266" s="42">
        <f t="array" aca="1" ref="C266" ca="1">IF(B266&lt;&gt;"", IF(MATCH(A266, calculations!A:A, 0), INDEX(calculations!D:D, MATCH(A266, calculations!A:A, 0)), "No Match"),"")</f>
        <v>97716137179</v>
      </c>
      <c r="D266" s="43">
        <f t="shared" ca="1" si="30"/>
        <v>-6.8036081459775834E-3</v>
      </c>
      <c r="E266" s="43">
        <f t="shared" ca="1" si="22"/>
        <v>3.8233277291053254E-4</v>
      </c>
      <c r="F266" s="43">
        <f t="shared" ca="1" si="13"/>
        <v>0.10177595869334576</v>
      </c>
      <c r="G266" s="42">
        <f t="shared" ca="1" si="23"/>
        <v>803814898757197.62</v>
      </c>
      <c r="H266" s="41">
        <f t="shared" ca="1" si="14"/>
        <v>10456.145766910031</v>
      </c>
      <c r="I266" s="3"/>
      <c r="J266" s="43">
        <f t="shared" ca="1" si="32"/>
        <v>2.2204597901516858</v>
      </c>
      <c r="K266" s="44">
        <f t="shared" ca="1" si="31"/>
        <v>2</v>
      </c>
      <c r="L266" s="3"/>
      <c r="M266" s="45">
        <f t="shared" ca="1" si="24"/>
        <v>8327.777247580756</v>
      </c>
      <c r="N266" s="47">
        <f t="shared" ca="1" si="25"/>
        <v>12584.514286239306</v>
      </c>
      <c r="O266" s="45">
        <f t="shared" ca="1" si="26"/>
        <v>7263.5929879161185</v>
      </c>
      <c r="P266" s="47">
        <f t="shared" ca="1" si="27"/>
        <v>13648.698545903944</v>
      </c>
      <c r="Q266" s="45">
        <f t="shared" ca="1" si="28"/>
        <v>6199.4087282514811</v>
      </c>
      <c r="R266" s="47">
        <f t="shared" ca="1" si="29"/>
        <v>14712.882805568581</v>
      </c>
      <c r="S266" s="73">
        <f t="shared" ca="1" si="21"/>
        <v>2.2204597901516858</v>
      </c>
      <c r="T266" s="73"/>
      <c r="U266" s="3"/>
      <c r="V266" s="3"/>
      <c r="W266" s="3"/>
      <c r="X266" s="3"/>
    </row>
    <row r="267" spans="1:24" ht="14" thickBot="1">
      <c r="A267" s="40">
        <v>43752</v>
      </c>
      <c r="B267" s="41">
        <f t="array" aca="1" ref="B267" ca="1">IF(AND(A267 &gt; TODAY(), A267 &lt;= TODAY() + 7),
   INDEX(calculations!B:B, MATCH(143^143, calculations!B:B)),
   IF(ISNUMBER(MATCH(A267, calculations!A:A, 0)),
      INDEX(calculations!B:B, MATCH(A267, calculations!A:A, 0)),
      ""
   )
)</f>
        <v>8346.3700000000008</v>
      </c>
      <c r="C267" s="42">
        <f t="array" aca="1" ref="C267" ca="1">IF(B267&lt;&gt;"", IF(MATCH(A267, calculations!A:A, 0), INDEX(calculations!D:D, MATCH(A267, calculations!A:A, 0)), "No Match"),"")</f>
        <v>118550918408</v>
      </c>
      <c r="D267" s="43">
        <f t="shared" ca="1" si="30"/>
        <v>1.4630404496949965E-2</v>
      </c>
      <c r="E267" s="43">
        <f t="shared" ca="1" si="22"/>
        <v>3.536961545816355E-6</v>
      </c>
      <c r="F267" s="43">
        <f t="shared" ca="1" si="13"/>
        <v>8.8505843220756511E-2</v>
      </c>
      <c r="G267" s="42">
        <f t="shared" ca="1" si="23"/>
        <v>989469828872979</v>
      </c>
      <c r="H267" s="41">
        <f t="shared" ca="1" si="14"/>
        <v>10111.922255398673</v>
      </c>
      <c r="I267" s="3"/>
      <c r="J267" s="43">
        <f t="shared" ca="1" si="32"/>
        <v>1</v>
      </c>
      <c r="K267" s="44" t="str">
        <f t="shared" ca="1" si="31"/>
        <v/>
      </c>
      <c r="L267" s="3"/>
      <c r="M267" s="45">
        <f t="shared" ca="1" si="24"/>
        <v>8321.9938438050867</v>
      </c>
      <c r="N267" s="47">
        <f t="shared" ca="1" si="25"/>
        <v>11901.850666992259</v>
      </c>
      <c r="O267" s="45">
        <f t="shared" ca="1" si="26"/>
        <v>7427.0296380082918</v>
      </c>
      <c r="P267" s="47">
        <f t="shared" ca="1" si="27"/>
        <v>12796.814872789055</v>
      </c>
      <c r="Q267" s="45">
        <f t="shared" ca="1" si="28"/>
        <v>6532.0654322114997</v>
      </c>
      <c r="R267" s="47">
        <f t="shared" ca="1" si="29"/>
        <v>13691.779078585847</v>
      </c>
      <c r="S267" s="73">
        <f t="shared" ca="1" si="21"/>
        <v>1</v>
      </c>
      <c r="T267" s="73"/>
      <c r="U267" s="3"/>
      <c r="V267" s="3"/>
      <c r="W267" s="3"/>
      <c r="X267" s="3"/>
    </row>
    <row r="268" spans="1:24" ht="14" thickBot="1">
      <c r="A268" s="40">
        <v>43759</v>
      </c>
      <c r="B268" s="41">
        <f t="array" aca="1" ref="B268" ca="1">IF(AND(A268 &gt; TODAY(), A268 &lt;= TODAY() + 7),
   INDEX(calculations!B:B, MATCH(143^143, calculations!B:B)),
   IF(ISNUMBER(MATCH(A268, calculations!A:A, 0)),
      INDEX(calculations!B:B, MATCH(A268, calculations!A:A, 0)),
      ""
   )
)</f>
        <v>8211.65</v>
      </c>
      <c r="C268" s="42">
        <f t="array" aca="1" ref="C268" ca="1">IF(B268&lt;&gt;"", IF(MATCH(A268, calculations!A:A, 0), INDEX(calculations!D:D, MATCH(A268, calculations!A:A, 0)), "No Match"),"")</f>
        <v>105710167423</v>
      </c>
      <c r="D268" s="43">
        <f t="shared" ca="1" si="30"/>
        <v>-1.6141148786838009E-2</v>
      </c>
      <c r="E268" s="43">
        <f t="shared" ca="1" si="22"/>
        <v>8.3468249329837546E-4</v>
      </c>
      <c r="F268" s="43">
        <f t="shared" ca="1" si="13"/>
        <v>8.4712135501933392E-2</v>
      </c>
      <c r="G268" s="42">
        <f t="shared" ca="1" si="23"/>
        <v>868054896319077.88</v>
      </c>
      <c r="H268" s="41">
        <f t="shared" ca="1" si="14"/>
        <v>9898.7286208394471</v>
      </c>
      <c r="I268" s="3"/>
      <c r="J268" s="43">
        <f t="shared" ca="1" si="32"/>
        <v>2.2220710482419945</v>
      </c>
      <c r="K268" s="44">
        <f t="shared" ca="1" si="31"/>
        <v>2</v>
      </c>
      <c r="L268" s="3"/>
      <c r="M268" s="45">
        <f t="shared" ca="1" si="24"/>
        <v>8221.6437403886121</v>
      </c>
      <c r="N268" s="47">
        <f t="shared" ca="1" si="25"/>
        <v>11575.813501290282</v>
      </c>
      <c r="O268" s="45">
        <f t="shared" ca="1" si="26"/>
        <v>7383.1013001631945</v>
      </c>
      <c r="P268" s="47">
        <f t="shared" ca="1" si="27"/>
        <v>12414.355941515698</v>
      </c>
      <c r="Q268" s="45">
        <f t="shared" ca="1" si="28"/>
        <v>6544.558859937777</v>
      </c>
      <c r="R268" s="47">
        <f t="shared" ca="1" si="29"/>
        <v>13252.898381741117</v>
      </c>
      <c r="S268" s="73">
        <f t="shared" ca="1" si="21"/>
        <v>2.2220710482419945</v>
      </c>
      <c r="T268" s="73"/>
      <c r="U268" s="3"/>
      <c r="V268" s="3"/>
      <c r="W268" s="3"/>
      <c r="X268" s="3"/>
    </row>
    <row r="269" spans="1:24" ht="14" thickBot="1">
      <c r="A269" s="40">
        <v>43766</v>
      </c>
      <c r="B269" s="41">
        <f t="array" aca="1" ref="B269" ca="1">IF(AND(A269 &gt; TODAY(), A269 &lt;= TODAY() + 7),
   INDEX(calculations!B:B, MATCH(143^143, calculations!B:B)),
   IF(ISNUMBER(MATCH(A269, calculations!A:A, 0)),
      INDEX(calculations!B:B, MATCH(A269, calculations!A:A, 0)),
      ""
   )
)</f>
        <v>9319.18</v>
      </c>
      <c r="C269" s="42">
        <f t="array" aca="1" ref="C269" ca="1">IF(B269&lt;&gt;"", IF(MATCH(A269, calculations!A:A, 0), INDEX(calculations!D:D, MATCH(A269, calculations!A:A, 0)), "No Match"),"")</f>
        <v>176678165128</v>
      </c>
      <c r="D269" s="43">
        <f t="shared" ca="1" si="30"/>
        <v>0.13487301577636659</v>
      </c>
      <c r="E269" s="43">
        <f t="shared" ca="1" si="22"/>
        <v>1.4914098551063839E-2</v>
      </c>
      <c r="F269" s="43">
        <f t="shared" ca="1" si="13"/>
        <v>9.2946413300897701E-2</v>
      </c>
      <c r="G269" s="42">
        <f t="shared" ca="1" si="23"/>
        <v>1646495622897555</v>
      </c>
      <c r="H269" s="41">
        <f t="shared" ca="1" si="14"/>
        <v>9796.8053604957604</v>
      </c>
      <c r="I269" s="3"/>
      <c r="J269" s="43">
        <f t="shared" ca="1" si="32"/>
        <v>1</v>
      </c>
      <c r="K269" s="44" t="str">
        <f t="shared" ca="1" si="31"/>
        <v/>
      </c>
      <c r="L269" s="3"/>
      <c r="M269" s="45">
        <f t="shared" ca="1" si="24"/>
        <v>7975.6495203655822</v>
      </c>
      <c r="N269" s="47">
        <f t="shared" ca="1" si="25"/>
        <v>11617.961200625938</v>
      </c>
      <c r="O269" s="45">
        <f t="shared" ca="1" si="26"/>
        <v>7065.0716003004936</v>
      </c>
      <c r="P269" s="47">
        <f t="shared" ca="1" si="27"/>
        <v>12528.539120691028</v>
      </c>
      <c r="Q269" s="45">
        <f t="shared" ca="1" si="28"/>
        <v>6154.4936802354041</v>
      </c>
      <c r="R269" s="47">
        <f t="shared" ca="1" si="29"/>
        <v>13439.117040756117</v>
      </c>
      <c r="S269" s="73">
        <f t="shared" ca="1" si="21"/>
        <v>1</v>
      </c>
      <c r="T269" s="73"/>
      <c r="U269" s="3"/>
      <c r="V269" s="3"/>
      <c r="W269" s="3"/>
      <c r="X269" s="3"/>
    </row>
    <row r="270" spans="1:24" ht="14" thickBot="1">
      <c r="A270" s="40">
        <v>43773</v>
      </c>
      <c r="B270" s="41">
        <f t="array" aca="1" ref="B270" ca="1">IF(AND(A270 &gt; TODAY(), A270 &lt;= TODAY() + 7),
   INDEX(calculations!B:B, MATCH(143^143, calculations!B:B)),
   IF(ISNUMBER(MATCH(A270, calculations!A:A, 0)),
      INDEX(calculations!B:B, MATCH(A270, calculations!A:A, 0)),
      ""
   )
)</f>
        <v>9418.36</v>
      </c>
      <c r="C270" s="42">
        <f t="array" aca="1" ref="C270" ca="1">IF(B270&lt;&gt;"", IF(MATCH(A270, calculations!A:A, 0), INDEX(calculations!D:D, MATCH(A270, calculations!A:A, 0)), "No Match"),"")</f>
        <v>180364809056</v>
      </c>
      <c r="D270" s="43">
        <f t="shared" ca="1" si="30"/>
        <v>1.0642567264501843E-2</v>
      </c>
      <c r="E270" s="43">
        <f t="shared" ca="1" si="22"/>
        <v>4.4401068030227397E-6</v>
      </c>
      <c r="F270" s="43">
        <f t="shared" ca="1" si="13"/>
        <v>9.0402247803909166E-2</v>
      </c>
      <c r="G270" s="42">
        <f t="shared" ca="1" si="23"/>
        <v>1698740703020668.2</v>
      </c>
      <c r="H270" s="41">
        <f t="shared" ca="1" si="14"/>
        <v>9776.262667659661</v>
      </c>
      <c r="I270" s="3"/>
      <c r="J270" s="43">
        <f t="shared" ca="1" si="32"/>
        <v>1</v>
      </c>
      <c r="K270" s="44" t="str">
        <f t="shared" ca="1" si="31"/>
        <v/>
      </c>
      <c r="L270" s="3"/>
      <c r="M270" s="45">
        <f t="shared" ca="1" si="24"/>
        <v>8008.6704271039116</v>
      </c>
      <c r="N270" s="47">
        <f t="shared" ca="1" si="25"/>
        <v>11543.85490821541</v>
      </c>
      <c r="O270" s="45">
        <f t="shared" ca="1" si="26"/>
        <v>7124.8743068260364</v>
      </c>
      <c r="P270" s="47">
        <f t="shared" ca="1" si="27"/>
        <v>12427.651028493287</v>
      </c>
      <c r="Q270" s="45">
        <f t="shared" ca="1" si="28"/>
        <v>6241.0781865481622</v>
      </c>
      <c r="R270" s="47">
        <f t="shared" ca="1" si="29"/>
        <v>13311.44714877116</v>
      </c>
      <c r="S270" s="73">
        <f t="shared" ca="1" si="21"/>
        <v>1</v>
      </c>
      <c r="T270" s="73"/>
      <c r="U270" s="3"/>
      <c r="V270" s="3"/>
      <c r="W270" s="3"/>
      <c r="X270" s="3"/>
    </row>
    <row r="271" spans="1:24" ht="14" thickBot="1">
      <c r="A271" s="40">
        <v>43780</v>
      </c>
      <c r="B271" s="41">
        <f t="array" aca="1" ref="B271" ca="1">IF(AND(A271 &gt; TODAY(), A271 &lt;= TODAY() + 7),
   INDEX(calculations!B:B, MATCH(143^143, calculations!B:B)),
   IF(ISNUMBER(MATCH(A271, calculations!A:A, 0)),
      INDEX(calculations!B:B, MATCH(A271, calculations!A:A, 0)),
      ""
   )
)</f>
        <v>8713.2099999999991</v>
      </c>
      <c r="C271" s="42">
        <f t="array" aca="1" ref="C271" ca="1">IF(B271&lt;&gt;"", IF(MATCH(A271, calculations!A:A, 0), INDEX(calculations!D:D, MATCH(A271, calculations!A:A, 0)), "No Match"),"")</f>
        <v>160702732609</v>
      </c>
      <c r="D271" s="43">
        <f t="shared" ca="1" si="30"/>
        <v>-7.486972254192889E-2</v>
      </c>
      <c r="E271" s="43">
        <f t="shared" ca="1" si="22"/>
        <v>7.6771672998378563E-3</v>
      </c>
      <c r="F271" s="43">
        <f t="shared" ref="F271:F525" ca="1" si="33">IF(AND(D270&lt;&gt;"",B270&lt;&gt;""),_xlfn.STDEV.S(D258:D271),"")</f>
        <v>6.122677527262043E-2</v>
      </c>
      <c r="G271" s="42">
        <f t="shared" ca="1" si="23"/>
        <v>1400236656796064.8</v>
      </c>
      <c r="H271" s="41">
        <f t="shared" ca="1" si="14"/>
        <v>9553.7723421784121</v>
      </c>
      <c r="I271" s="3"/>
      <c r="J271" s="43">
        <f t="shared" ca="1" si="32"/>
        <v>1</v>
      </c>
      <c r="K271" s="44" t="str">
        <f t="shared" ca="1" si="31"/>
        <v/>
      </c>
      <c r="L271" s="3"/>
      <c r="M271" s="45">
        <f t="shared" ca="1" si="24"/>
        <v>8383.8789977777433</v>
      </c>
      <c r="N271" s="47">
        <f t="shared" ca="1" si="25"/>
        <v>10723.665686579081</v>
      </c>
      <c r="O271" s="45">
        <f t="shared" ca="1" si="26"/>
        <v>7798.9323255774098</v>
      </c>
      <c r="P271" s="47">
        <f t="shared" ca="1" si="27"/>
        <v>11308.612358779414</v>
      </c>
      <c r="Q271" s="45">
        <f t="shared" ca="1" si="28"/>
        <v>7213.9856533770753</v>
      </c>
      <c r="R271" s="47">
        <f t="shared" ca="1" si="29"/>
        <v>11893.55903097975</v>
      </c>
      <c r="S271" s="73">
        <f t="shared" ca="1" si="21"/>
        <v>1</v>
      </c>
      <c r="T271" s="73"/>
      <c r="U271" s="3"/>
      <c r="V271" s="3"/>
      <c r="W271" s="3"/>
      <c r="X271" s="3"/>
    </row>
    <row r="272" spans="1:24" ht="14" thickBot="1">
      <c r="A272" s="40">
        <v>43787</v>
      </c>
      <c r="B272" s="41">
        <f t="array" aca="1" ref="B272" ca="1">IF(AND(A272 &gt; TODAY(), A272 &lt;= TODAY() + 7),
   INDEX(calculations!B:B, MATCH(143^143, calculations!B:B)),
   IF(ISNUMBER(MATCH(A272, calculations!A:A, 0)),
      INDEX(calculations!B:B, MATCH(A272, calculations!A:A, 0)),
      ""
   )
)</f>
        <v>8183.53</v>
      </c>
      <c r="C272" s="42">
        <f t="array" aca="1" ref="C272" ca="1">IF(B272&lt;&gt;"", IF(MATCH(A272, calculations!A:A, 0), INDEX(calculations!D:D, MATCH(A272, calculations!A:A, 0)), "No Match"),"")</f>
        <v>134166660428</v>
      </c>
      <c r="D272" s="43">
        <f t="shared" ca="1" si="30"/>
        <v>-6.0790454952881823E-2</v>
      </c>
      <c r="E272" s="43">
        <f t="shared" ca="1" si="22"/>
        <v>5.4081578260191986E-3</v>
      </c>
      <c r="F272" s="43">
        <f t="shared" ca="1" si="33"/>
        <v>6.2117014391023517E-2</v>
      </c>
      <c r="G272" s="42">
        <f t="shared" ca="1" si="23"/>
        <v>1097956890612350.8</v>
      </c>
      <c r="H272" s="41">
        <f t="shared" ref="H272:H526" ca="1" si="34">IF(C272&lt;&gt;"",SUM(G259:G272)/SUM(C259:C272),"")</f>
        <v>9302.6667663814787</v>
      </c>
      <c r="I272" s="3"/>
      <c r="J272" s="43">
        <f t="shared" ca="1" si="32"/>
        <v>1</v>
      </c>
      <c r="K272" s="44" t="str">
        <f t="shared" ca="1" si="31"/>
        <v/>
      </c>
      <c r="L272" s="3"/>
      <c r="M272" s="45">
        <f t="shared" ca="1" si="24"/>
        <v>8146.9589955770498</v>
      </c>
      <c r="N272" s="47">
        <f t="shared" ca="1" si="25"/>
        <v>10458.374537185906</v>
      </c>
      <c r="O272" s="45">
        <f t="shared" ca="1" si="26"/>
        <v>7569.1051101748344</v>
      </c>
      <c r="P272" s="47">
        <f t="shared" ca="1" si="27"/>
        <v>11036.228422588123</v>
      </c>
      <c r="Q272" s="45">
        <f t="shared" ca="1" si="28"/>
        <v>6991.2512247726208</v>
      </c>
      <c r="R272" s="47">
        <f t="shared" ca="1" si="29"/>
        <v>11614.082307990337</v>
      </c>
      <c r="S272" s="73">
        <f t="shared" ca="1" si="21"/>
        <v>1</v>
      </c>
      <c r="T272" s="73"/>
      <c r="U272" s="3"/>
      <c r="V272" s="3"/>
      <c r="W272" s="3"/>
      <c r="X272" s="3"/>
    </row>
    <row r="273" spans="1:24" ht="14" thickBot="1">
      <c r="A273" s="40">
        <v>43794</v>
      </c>
      <c r="B273" s="41">
        <f t="array" aca="1" ref="B273" ca="1">IF(AND(A273 &gt; TODAY(), A273 &lt;= TODAY() + 7),
   INDEX(calculations!B:B, MATCH(143^143, calculations!B:B)),
   IF(ISNUMBER(MATCH(A273, calculations!A:A, 0)),
      INDEX(calculations!B:B, MATCH(A273, calculations!A:A, 0)),
      ""
   )
)</f>
        <v>7139.04</v>
      </c>
      <c r="C273" s="42">
        <f t="array" aca="1" ref="C273" ca="1">IF(B273&lt;&gt;"", IF(MATCH(A273, calculations!A:A, 0), INDEX(calculations!D:D, MATCH(A273, calculations!A:A, 0)), "No Match"),"")</f>
        <v>171626385789</v>
      </c>
      <c r="D273" s="43">
        <f t="shared" ca="1" si="30"/>
        <v>-0.12763318519025407</v>
      </c>
      <c r="E273" s="43">
        <f t="shared" ca="1" si="22"/>
        <v>1.9707361012511193E-2</v>
      </c>
      <c r="F273" s="43">
        <f t="shared" ca="1" si="33"/>
        <v>6.8174489155171325E-2</v>
      </c>
      <c r="G273" s="42">
        <f t="shared" ca="1" si="23"/>
        <v>1225247633203102.5</v>
      </c>
      <c r="H273" s="41">
        <f t="shared" ca="1" si="34"/>
        <v>8993.2414949329923</v>
      </c>
      <c r="I273" s="3"/>
      <c r="J273" s="43">
        <f t="shared" ca="1" si="32"/>
        <v>2.5561506598923183</v>
      </c>
      <c r="K273" s="44">
        <f t="shared" ca="1" si="31"/>
        <v>3</v>
      </c>
      <c r="L273" s="3"/>
      <c r="M273" s="45">
        <f t="shared" ca="1" si="24"/>
        <v>7767.0222054006999</v>
      </c>
      <c r="N273" s="47">
        <f t="shared" ca="1" si="25"/>
        <v>10219.460784465284</v>
      </c>
      <c r="O273" s="45">
        <f t="shared" ca="1" si="26"/>
        <v>7153.9125606345542</v>
      </c>
      <c r="P273" s="47">
        <f t="shared" ca="1" si="27"/>
        <v>10832.570429231429</v>
      </c>
      <c r="Q273" s="45">
        <f t="shared" ca="1" si="28"/>
        <v>6540.8029158684085</v>
      </c>
      <c r="R273" s="47">
        <f t="shared" ca="1" si="29"/>
        <v>11445.680073997577</v>
      </c>
      <c r="S273" s="73">
        <f t="shared" ca="1" si="21"/>
        <v>2.5561506598923183</v>
      </c>
      <c r="T273" s="73"/>
      <c r="U273" s="3"/>
      <c r="V273" s="3"/>
      <c r="W273" s="3"/>
      <c r="X273" s="3"/>
    </row>
    <row r="274" spans="1:24" ht="14" thickBot="1">
      <c r="A274" s="40">
        <v>43801</v>
      </c>
      <c r="B274" s="41">
        <f t="array" aca="1" ref="B274" ca="1">IF(AND(A274 &gt; TODAY(), A274 &lt;= TODAY() + 7),
   INDEX(calculations!B:B, MATCH(143^143, calculations!B:B)),
   IF(ISNUMBER(MATCH(A274, calculations!A:A, 0)),
      INDEX(calculations!B:B, MATCH(A274, calculations!A:A, 0)),
      ""
   )
)</f>
        <v>7318.31</v>
      </c>
      <c r="C274" s="42">
        <f t="array" aca="1" ref="C274" ca="1">IF(B274&lt;&gt;"", IF(MATCH(A274, calculations!A:A, 0), INDEX(calculations!D:D, MATCH(A274, calculations!A:A, 0)), "No Match"),"")</f>
        <v>162444865040</v>
      </c>
      <c r="D274" s="43">
        <f t="shared" ca="1" si="30"/>
        <v>2.5111219435666483E-2</v>
      </c>
      <c r="E274" s="43">
        <f t="shared" ca="1" si="22"/>
        <v>1.5280658527431354E-4</v>
      </c>
      <c r="F274" s="43">
        <f t="shared" ca="1" si="33"/>
        <v>6.9274623444063321E-2</v>
      </c>
      <c r="G274" s="42">
        <f t="shared" ca="1" si="23"/>
        <v>1188821880270882.5</v>
      </c>
      <c r="H274" s="41">
        <f t="shared" ca="1" si="34"/>
        <v>8764.3713153357639</v>
      </c>
      <c r="I274" s="3"/>
      <c r="J274" s="43">
        <f t="shared" ca="1" si="32"/>
        <v>2.2245736774817813</v>
      </c>
      <c r="K274" s="44">
        <f t="shared" ca="1" si="31"/>
        <v>2</v>
      </c>
      <c r="L274" s="3"/>
      <c r="M274" s="45">
        <f t="shared" ca="1" si="24"/>
        <v>7550.074270148094</v>
      </c>
      <c r="N274" s="47">
        <f t="shared" ca="1" si="25"/>
        <v>9978.6683605234339</v>
      </c>
      <c r="O274" s="45">
        <f t="shared" ca="1" si="26"/>
        <v>6942.925747554259</v>
      </c>
      <c r="P274" s="47">
        <f t="shared" ca="1" si="27"/>
        <v>10585.81688311727</v>
      </c>
      <c r="Q274" s="45">
        <f t="shared" ca="1" si="28"/>
        <v>6335.7772249604241</v>
      </c>
      <c r="R274" s="47">
        <f t="shared" ca="1" si="29"/>
        <v>11192.965405711104</v>
      </c>
      <c r="S274" s="73">
        <f t="shared" ca="1" si="21"/>
        <v>2.2245736774817813</v>
      </c>
      <c r="T274" s="73"/>
      <c r="U274" s="3"/>
      <c r="V274" s="3"/>
      <c r="W274" s="3"/>
      <c r="X274" s="3"/>
    </row>
    <row r="275" spans="1:24" ht="14" thickBot="1">
      <c r="A275" s="40">
        <v>43808</v>
      </c>
      <c r="B275" s="41">
        <f t="array" aca="1" ref="B275" ca="1">IF(AND(A275 &gt; TODAY(), A275 &lt;= TODAY() + 7),
   INDEX(calculations!B:B, MATCH(143^143, calculations!B:B)),
   IF(ISNUMBER(MATCH(A275, calculations!A:A, 0)),
      INDEX(calculations!B:B, MATCH(A275, calculations!A:A, 0)),
      ""
   )
)</f>
        <v>7340.23</v>
      </c>
      <c r="C275" s="42">
        <f t="array" aca="1" ref="C275" ca="1">IF(B275&lt;&gt;"", IF(MATCH(A275, calculations!A:A, 0), INDEX(calculations!D:D, MATCH(A275, calculations!A:A, 0)), "No Match"),"")</f>
        <v>121327747581</v>
      </c>
      <c r="D275" s="43">
        <f t="shared" ca="1" si="30"/>
        <v>2.9952270401225368E-3</v>
      </c>
      <c r="E275" s="43">
        <f t="shared" ca="1" si="22"/>
        <v>9.5150198418523252E-5</v>
      </c>
      <c r="F275" s="43">
        <f t="shared" ca="1" si="33"/>
        <v>6.9317355325907007E-2</v>
      </c>
      <c r="G275" s="42">
        <f t="shared" ca="1" si="23"/>
        <v>890573572626483.62</v>
      </c>
      <c r="H275" s="41">
        <f t="shared" ca="1" si="34"/>
        <v>8583.0604065217685</v>
      </c>
      <c r="I275" s="3"/>
      <c r="J275" s="43">
        <f t="shared" ca="1" si="32"/>
        <v>2.1803844245725372</v>
      </c>
      <c r="K275" s="44">
        <f t="shared" ca="1" si="31"/>
        <v>2</v>
      </c>
      <c r="L275" s="3"/>
      <c r="M275" s="45">
        <f t="shared" ca="1" si="24"/>
        <v>7393.1503105565826</v>
      </c>
      <c r="N275" s="47">
        <f t="shared" ca="1" si="25"/>
        <v>9772.9705024869545</v>
      </c>
      <c r="O275" s="45">
        <f t="shared" ca="1" si="26"/>
        <v>6798.1952625739887</v>
      </c>
      <c r="P275" s="47">
        <f t="shared" ca="1" si="27"/>
        <v>10367.925550469548</v>
      </c>
      <c r="Q275" s="45">
        <f t="shared" ca="1" si="28"/>
        <v>6203.2402145913957</v>
      </c>
      <c r="R275" s="47">
        <f t="shared" ca="1" si="29"/>
        <v>10962.88059845214</v>
      </c>
      <c r="S275" s="73">
        <f t="shared" ca="1" si="21"/>
        <v>2.1803844245725372</v>
      </c>
      <c r="T275" s="73"/>
      <c r="U275" s="3"/>
      <c r="V275" s="3"/>
      <c r="W275" s="3"/>
      <c r="X275" s="3"/>
    </row>
    <row r="276" spans="1:24" ht="14" thickBot="1">
      <c r="A276" s="40">
        <v>43815</v>
      </c>
      <c r="B276" s="41">
        <f t="array" aca="1" ref="B276" ca="1">IF(AND(A276 &gt; TODAY(), A276 &lt;= TODAY() + 7),
   INDEX(calculations!B:B, MATCH(143^143, calculations!B:B)),
   IF(ISNUMBER(MATCH(A276, calculations!A:A, 0)),
      INDEX(calculations!B:B, MATCH(A276, calculations!A:A, 0)),
      ""
   )
)</f>
        <v>6882.4</v>
      </c>
      <c r="C276" s="42">
        <f t="array" aca="1" ref="C276" ca="1">IF(B276&lt;&gt;"", IF(MATCH(A276, calculations!A:A, 0), INDEX(calculations!D:D, MATCH(A276, calculations!A:A, 0)), "No Match"),"")</f>
        <v>122542519854</v>
      </c>
      <c r="D276" s="43">
        <f t="shared" ca="1" si="30"/>
        <v>-6.2372704942488172E-2</v>
      </c>
      <c r="E276" s="43">
        <f t="shared" ca="1" si="22"/>
        <v>5.6433792337853839E-3</v>
      </c>
      <c r="F276" s="43">
        <f t="shared" ca="1" si="33"/>
        <v>6.9902592828565424E-2</v>
      </c>
      <c r="G276" s="42">
        <f t="shared" ca="1" si="23"/>
        <v>843386638643169.5</v>
      </c>
      <c r="H276" s="41">
        <f t="shared" ca="1" si="34"/>
        <v>8364.711605715409</v>
      </c>
      <c r="I276" s="3"/>
      <c r="J276" s="43">
        <f t="shared" ca="1" si="32"/>
        <v>2.2997246178799267</v>
      </c>
      <c r="K276" s="44">
        <f t="shared" ca="1" si="31"/>
        <v>2</v>
      </c>
      <c r="L276" s="3"/>
      <c r="M276" s="45">
        <f t="shared" ca="1" si="24"/>
        <v>7195.281546710009</v>
      </c>
      <c r="N276" s="47">
        <f t="shared" ca="1" si="25"/>
        <v>9534.1416647208098</v>
      </c>
      <c r="O276" s="45">
        <f t="shared" ca="1" si="26"/>
        <v>6610.5665172073095</v>
      </c>
      <c r="P276" s="47">
        <f t="shared" ca="1" si="27"/>
        <v>10118.856694223508</v>
      </c>
      <c r="Q276" s="45">
        <f t="shared" ca="1" si="28"/>
        <v>6025.8514877046091</v>
      </c>
      <c r="R276" s="47">
        <f t="shared" ca="1" si="29"/>
        <v>10703.571723726209</v>
      </c>
      <c r="S276" s="73">
        <f t="shared" ca="1" si="21"/>
        <v>2.2997246178799267</v>
      </c>
      <c r="T276" s="73"/>
      <c r="U276" s="3"/>
      <c r="V276" s="3"/>
      <c r="W276" s="3"/>
      <c r="X276" s="3"/>
    </row>
    <row r="277" spans="1:24" ht="14" thickBot="1">
      <c r="A277" s="40">
        <v>43822</v>
      </c>
      <c r="B277" s="41">
        <f t="array" aca="1" ref="B277" ca="1">IF(AND(A277 &gt; TODAY(), A277 &lt;= TODAY() + 7),
   INDEX(calculations!B:B, MATCH(143^143, calculations!B:B)),
   IF(ISNUMBER(MATCH(A277, calculations!A:A, 0)),
      INDEX(calculations!B:B, MATCH(A277, calculations!A:A, 0)),
      ""
   )
)</f>
        <v>7321.75</v>
      </c>
      <c r="C277" s="42">
        <f t="array" aca="1" ref="C277" ca="1">IF(B277&lt;&gt;"", IF(MATCH(A277, calculations!A:A, 0), INDEX(calculations!D:D, MATCH(A277, calculations!A:A, 0)), "No Match"),"")</f>
        <v>165399102665</v>
      </c>
      <c r="D277" s="43">
        <f t="shared" ca="1" si="30"/>
        <v>6.3836742996629142E-2</v>
      </c>
      <c r="E277" s="43">
        <f t="shared" ca="1" si="22"/>
        <v>2.6098835755417674E-3</v>
      </c>
      <c r="F277" s="43">
        <f t="shared" ca="1" si="33"/>
        <v>7.386196247844054E-2</v>
      </c>
      <c r="G277" s="42">
        <f t="shared" ca="1" si="23"/>
        <v>1211010879937463.8</v>
      </c>
      <c r="H277" s="41">
        <f t="shared" ca="1" si="34"/>
        <v>8176.3625980586467</v>
      </c>
      <c r="I277" s="3"/>
      <c r="J277" s="43">
        <f t="shared" ca="1" si="32"/>
        <v>1</v>
      </c>
      <c r="K277" s="44" t="str">
        <f t="shared" ca="1" si="31"/>
        <v/>
      </c>
      <c r="L277" s="3"/>
      <c r="M277" s="45">
        <f t="shared" ca="1" si="24"/>
        <v>6968.5182232027819</v>
      </c>
      <c r="N277" s="47">
        <f t="shared" ca="1" si="25"/>
        <v>9384.2069729145114</v>
      </c>
      <c r="O277" s="45">
        <f t="shared" ca="1" si="26"/>
        <v>6364.59603577485</v>
      </c>
      <c r="P277" s="47">
        <f t="shared" ca="1" si="27"/>
        <v>9988.1291603424434</v>
      </c>
      <c r="Q277" s="45">
        <f t="shared" ca="1" si="28"/>
        <v>5760.6738483469171</v>
      </c>
      <c r="R277" s="47">
        <f t="shared" ca="1" si="29"/>
        <v>10592.051347770377</v>
      </c>
      <c r="S277" s="73">
        <f t="shared" ca="1" si="21"/>
        <v>1</v>
      </c>
      <c r="T277" s="73"/>
      <c r="U277" s="3"/>
      <c r="V277" s="3"/>
      <c r="W277" s="3"/>
      <c r="X277" s="3"/>
    </row>
    <row r="278" spans="1:24" ht="14" thickBot="1">
      <c r="A278" s="40">
        <v>43829</v>
      </c>
      <c r="B278" s="41">
        <f t="array" aca="1" ref="B278" ca="1">IF(AND(A278 &gt; TODAY(), A278 &lt;= TODAY() + 7),
   INDEX(calculations!B:B, MATCH(143^143, calculations!B:B)),
   IF(ISNUMBER(MATCH(A278, calculations!A:A, 0)),
      INDEX(calculations!B:B, MATCH(A278, calculations!A:A, 0)),
      ""
   )
)</f>
        <v>7229.4</v>
      </c>
      <c r="C278" s="42">
        <f t="array" aca="1" ref="C278" ca="1">IF(B278&lt;&gt;"", IF(MATCH(A278, calculations!A:A, 0), INDEX(calculations!D:D, MATCH(A278, calculations!A:A, 0)), "No Match"),"")</f>
        <v>161758217053</v>
      </c>
      <c r="D278" s="43">
        <f t="shared" ca="1" si="30"/>
        <v>-1.2613104790521442E-2</v>
      </c>
      <c r="E278" s="43">
        <f t="shared" ca="1" si="22"/>
        <v>6.4327305169933143E-4</v>
      </c>
      <c r="F278" s="43">
        <f t="shared" ca="1" si="33"/>
        <v>7.3233599553587811E-2</v>
      </c>
      <c r="G278" s="42">
        <f t="shared" ca="1" si="23"/>
        <v>1169414854362958.2</v>
      </c>
      <c r="H278" s="41">
        <f t="shared" ca="1" si="34"/>
        <v>8018.2355887353697</v>
      </c>
      <c r="I278" s="3"/>
      <c r="J278" s="43">
        <f t="shared" ca="1" si="32"/>
        <v>1</v>
      </c>
      <c r="K278" s="44" t="str">
        <f t="shared" ca="1" si="31"/>
        <v/>
      </c>
      <c r="L278" s="3"/>
      <c r="M278" s="45">
        <f t="shared" ca="1" si="24"/>
        <v>6843.8270802718243</v>
      </c>
      <c r="N278" s="47">
        <f t="shared" ca="1" si="25"/>
        <v>9192.6440971989141</v>
      </c>
      <c r="O278" s="45">
        <f t="shared" ca="1" si="26"/>
        <v>6256.6228260400521</v>
      </c>
      <c r="P278" s="47">
        <f t="shared" ca="1" si="27"/>
        <v>9779.8483514306863</v>
      </c>
      <c r="Q278" s="45">
        <f t="shared" ca="1" si="28"/>
        <v>5669.418571808279</v>
      </c>
      <c r="R278" s="47">
        <f t="shared" ca="1" si="29"/>
        <v>10367.05260566246</v>
      </c>
      <c r="S278" s="73">
        <f t="shared" ca="1" si="21"/>
        <v>1</v>
      </c>
      <c r="T278" s="73"/>
      <c r="U278" s="3"/>
      <c r="V278" s="3"/>
      <c r="W278" s="3"/>
      <c r="X278" s="3"/>
    </row>
    <row r="279" spans="1:24" ht="14" thickBot="1">
      <c r="A279" s="40">
        <v>43836</v>
      </c>
      <c r="B279" s="41">
        <f t="array" aca="1" ref="B279" ca="1">IF(AND(A279 &gt; TODAY(), A279 &lt;= TODAY() + 7),
   INDEX(calculations!B:B, MATCH(143^143, calculations!B:B)),
   IF(ISNUMBER(MATCH(A279, calculations!A:A, 0)),
      INDEX(calculations!B:B, MATCH(A279, calculations!A:A, 0)),
      ""
   )
)</f>
        <v>7765.8</v>
      </c>
      <c r="C279" s="42">
        <f t="array" aca="1" ref="C279" ca="1">IF(B279&lt;&gt;"", IF(MATCH(A279, calculations!A:A, 0), INDEX(calculations!D:D, MATCH(A279, calculations!A:A, 0)), "No Match"),"")</f>
        <v>149690652648</v>
      </c>
      <c r="D279" s="43">
        <f t="shared" ca="1" si="30"/>
        <v>7.4197028799070544E-2</v>
      </c>
      <c r="E279" s="43">
        <f t="shared" ca="1" si="22"/>
        <v>3.7757713459490782E-3</v>
      </c>
      <c r="F279" s="43">
        <f t="shared" ca="1" si="33"/>
        <v>6.7138309171987501E-2</v>
      </c>
      <c r="G279" s="42">
        <f t="shared" ca="1" si="23"/>
        <v>1162467670333838.5</v>
      </c>
      <c r="H279" s="41">
        <f t="shared" ca="1" si="34"/>
        <v>7983.3684782612891</v>
      </c>
      <c r="I279" s="3"/>
      <c r="J279" s="43">
        <f t="shared" ca="1" si="32"/>
        <v>1</v>
      </c>
      <c r="K279" s="44" t="str">
        <f t="shared" ca="1" si="31"/>
        <v/>
      </c>
      <c r="L279" s="3"/>
      <c r="M279" s="45">
        <f t="shared" ca="1" si="24"/>
        <v>6911.3887560064777</v>
      </c>
      <c r="N279" s="47">
        <f t="shared" ca="1" si="25"/>
        <v>9055.3482005161004</v>
      </c>
      <c r="O279" s="45">
        <f t="shared" ca="1" si="26"/>
        <v>6375.398894879072</v>
      </c>
      <c r="P279" s="47">
        <f t="shared" ca="1" si="27"/>
        <v>9591.3380616435061</v>
      </c>
      <c r="Q279" s="45">
        <f t="shared" ca="1" si="28"/>
        <v>5839.4090337516664</v>
      </c>
      <c r="R279" s="47">
        <f t="shared" ca="1" si="29"/>
        <v>10127.327922770912</v>
      </c>
      <c r="S279" s="73">
        <f t="shared" ca="1" si="21"/>
        <v>1</v>
      </c>
      <c r="T279" s="73"/>
      <c r="U279" s="3"/>
      <c r="V279" s="3"/>
      <c r="W279" s="3"/>
      <c r="X279" s="3"/>
    </row>
    <row r="280" spans="1:24" ht="207" customHeight="1" thickBot="1">
      <c r="A280" s="40">
        <v>43843</v>
      </c>
      <c r="B280" s="41">
        <f t="array" aca="1" ref="B280" ca="1">IF(AND(A280 &gt; TODAY(), A280 &lt;= TODAY() + 7),
   INDEX(calculations!B:B, MATCH(143^143, calculations!B:B)),
   IF(ISNUMBER(MATCH(A280, calculations!A:A, 0)),
      INDEX(calculations!B:B, MATCH(A280, calculations!A:A, 0)),
      ""
   )
)</f>
        <v>8121.93</v>
      </c>
      <c r="C280" s="42">
        <f t="array" aca="1" ref="C280" ca="1">IF(B280&lt;&gt;"", IF(MATCH(A280, calculations!A:A, 0), INDEX(calculations!D:D, MATCH(A280, calculations!A:A, 0)), "No Match"),"")</f>
        <v>184901289966</v>
      </c>
      <c r="D280" s="43">
        <f t="shared" ca="1" si="30"/>
        <v>4.5858765355790788E-2</v>
      </c>
      <c r="E280" s="43">
        <f t="shared" ca="1" si="22"/>
        <v>1.0962086620011616E-3</v>
      </c>
      <c r="F280" s="43">
        <f t="shared" ca="1" si="33"/>
        <v>6.8342840039877395E-2</v>
      </c>
      <c r="G280" s="42">
        <f t="shared" ca="1" si="23"/>
        <v>1501755334013554.5</v>
      </c>
      <c r="H280" s="41">
        <f t="shared" ca="1" si="34"/>
        <v>7984.2708209985331</v>
      </c>
      <c r="I280" s="3"/>
      <c r="J280" s="43">
        <f t="shared" ca="1" si="32"/>
        <v>1</v>
      </c>
      <c r="K280" s="44" t="str">
        <f t="shared" ca="1" si="31"/>
        <v/>
      </c>
      <c r="L280" s="3"/>
      <c r="M280" s="45">
        <f t="shared" ca="1" si="24"/>
        <v>6892.9353338894061</v>
      </c>
      <c r="N280" s="47">
        <f t="shared" ca="1" si="25"/>
        <v>9075.6063081076591</v>
      </c>
      <c r="O280" s="45">
        <f t="shared" ca="1" si="26"/>
        <v>6347.2675903348427</v>
      </c>
      <c r="P280" s="47">
        <f t="shared" ca="1" si="27"/>
        <v>9621.2740516622234</v>
      </c>
      <c r="Q280" s="45">
        <f t="shared" ca="1" si="28"/>
        <v>5801.5998467802801</v>
      </c>
      <c r="R280" s="47">
        <f t="shared" ca="1" si="29"/>
        <v>10166.941795216786</v>
      </c>
      <c r="S280" s="73">
        <f t="shared" ca="1" si="21"/>
        <v>1</v>
      </c>
      <c r="T280" s="73"/>
      <c r="U280" s="3"/>
      <c r="V280" s="3"/>
      <c r="W280" s="3"/>
      <c r="X280" s="3"/>
    </row>
    <row r="281" spans="1:24" ht="14" thickBot="1">
      <c r="A281" s="40">
        <v>43850</v>
      </c>
      <c r="B281" s="41">
        <f t="array" aca="1" ref="B281" ca="1">IF(AND(A281 &gt; TODAY(), A281 &lt;= TODAY() + 7),
   INDEX(calculations!B:B, MATCH(143^143, calculations!B:B)),
   IF(ISNUMBER(MATCH(A281, calculations!A:A, 0)),
      INDEX(calculations!B:B, MATCH(A281, calculations!A:A, 0)),
      ""
   )
)</f>
        <v>8636.26</v>
      </c>
      <c r="C281" s="42">
        <f t="array" aca="1" ref="C281" ca="1">IF(B281&lt;&gt;"", IF(MATCH(A281, calculations!A:A, 0), INDEX(calculations!D:D, MATCH(A281, calculations!A:A, 0)), "No Match"),"")</f>
        <v>241668743794</v>
      </c>
      <c r="D281" s="43">
        <f t="shared" ca="1" si="30"/>
        <v>6.3326081362434783E-2</v>
      </c>
      <c r="E281" s="43">
        <f ca="1">IF(D281&lt;&gt;"",(D281-$T$2)^2,"")</f>
        <v>2.557967988977001E-3</v>
      </c>
      <c r="F281" s="43">
        <f t="shared" ca="1" si="33"/>
        <v>7.02868489273442E-2</v>
      </c>
      <c r="G281" s="42">
        <f t="shared" ca="1" si="23"/>
        <v>2087114105278370.5</v>
      </c>
      <c r="H281" s="41">
        <f t="shared" ca="1" si="34"/>
        <v>8035.4718635297177</v>
      </c>
      <c r="I281" s="3"/>
      <c r="J281" s="43">
        <f t="shared" ca="1" si="32"/>
        <v>1</v>
      </c>
      <c r="K281" s="44" t="str">
        <f t="shared" ca="1" si="31"/>
        <v/>
      </c>
      <c r="L281" s="3"/>
      <c r="M281" s="45">
        <f t="shared" ca="1" si="24"/>
        <v>6905.8958696660411</v>
      </c>
      <c r="N281" s="47">
        <f t="shared" ca="1" si="25"/>
        <v>9165.0478573933942</v>
      </c>
      <c r="O281" s="45">
        <f t="shared" ca="1" si="26"/>
        <v>6341.1078727342028</v>
      </c>
      <c r="P281" s="47">
        <f t="shared" ca="1" si="27"/>
        <v>9729.8358543252325</v>
      </c>
      <c r="Q281" s="45">
        <f t="shared" ca="1" si="28"/>
        <v>5776.3198758023645</v>
      </c>
      <c r="R281" s="47">
        <f t="shared" ca="1" si="29"/>
        <v>10294.623851257071</v>
      </c>
      <c r="S281" s="73">
        <f t="shared" ca="1" si="21"/>
        <v>1</v>
      </c>
      <c r="T281" s="73"/>
      <c r="U281" s="3"/>
      <c r="V281" s="3"/>
      <c r="W281" s="3"/>
      <c r="X281" s="3"/>
    </row>
    <row r="282" spans="1:24" ht="14" thickBot="1">
      <c r="A282" s="40">
        <v>43857</v>
      </c>
      <c r="B282" s="41">
        <f t="array" aca="1" ref="B282" ca="1">IF(AND(A282 &gt; TODAY(), A282 &lt;= TODAY() + 7),
   INDEX(calculations!B:B, MATCH(143^143, calculations!B:B)),
   IF(ISNUMBER(MATCH(A282, calculations!A:A, 0)),
      INDEX(calculations!B:B, MATCH(A282, calculations!A:A, 0)),
      ""
   )
)</f>
        <v>8901.9599999999991</v>
      </c>
      <c r="C282" s="42">
        <f t="array" aca="1" ref="C282" ca="1">IF(B282&lt;&gt;"", IF(MATCH(A282, calculations!A:A, 0), INDEX(calculations!D:D, MATCH(A282, calculations!A:A, 0)), "No Match"),"")</f>
        <v>165113602391</v>
      </c>
      <c r="D282" s="43">
        <f t="shared" ca="1" si="30"/>
        <v>3.0765632345482755E-2</v>
      </c>
      <c r="E282" s="43">
        <f ca="1">IF(D282&lt;&gt;"",(D282-$T$2)^2,"")</f>
        <v>3.2457297663965036E-4</v>
      </c>
      <c r="F282" s="43">
        <f t="shared" ca="1" si="33"/>
        <v>7.0332660755889481E-2</v>
      </c>
      <c r="G282" s="42">
        <f t="shared" ca="1" si="23"/>
        <v>1469834683940586.2</v>
      </c>
      <c r="H282" s="41">
        <f t="shared" ca="1" si="34"/>
        <v>8089.6164609716552</v>
      </c>
      <c r="I282" s="3"/>
      <c r="J282" s="43">
        <f t="shared" ca="1" si="32"/>
        <v>1</v>
      </c>
      <c r="K282" s="44" t="str">
        <f t="shared" ca="1" si="31"/>
        <v/>
      </c>
      <c r="L282" s="3"/>
      <c r="M282" s="45">
        <f t="shared" ca="1" si="24"/>
        <v>6951.6879605820977</v>
      </c>
      <c r="N282" s="47">
        <f t="shared" ca="1" si="25"/>
        <v>9227.5449613612127</v>
      </c>
      <c r="O282" s="45">
        <f t="shared" ca="1" si="26"/>
        <v>6382.7237103873194</v>
      </c>
      <c r="P282" s="47">
        <f t="shared" ca="1" si="27"/>
        <v>9796.509211555991</v>
      </c>
      <c r="Q282" s="45">
        <f t="shared" ca="1" si="28"/>
        <v>5813.7594601925402</v>
      </c>
      <c r="R282" s="47">
        <f t="shared" ca="1" si="29"/>
        <v>10365.473461750771</v>
      </c>
      <c r="S282" s="73">
        <f t="shared" ca="1" si="21"/>
        <v>1</v>
      </c>
      <c r="T282" s="73"/>
      <c r="U282" s="3"/>
      <c r="V282" s="3"/>
      <c r="W282" s="3"/>
      <c r="X282" s="3"/>
    </row>
    <row r="283" spans="1:24" ht="14" thickBot="1">
      <c r="A283" s="40">
        <v>43864</v>
      </c>
      <c r="B283" s="41">
        <f t="array" aca="1" ref="B283" ca="1">IF(AND(A283 &gt; TODAY(), A283 &lt;= TODAY() + 7),
   INDEX(calculations!B:B, MATCH(143^143, calculations!B:B)),
   IF(ISNUMBER(MATCH(A283, calculations!A:A, 0)),
      INDEX(calculations!B:B, MATCH(A283, calculations!A:A, 0)),
      ""
   )
)</f>
        <v>9279.81</v>
      </c>
      <c r="C283" s="42">
        <f t="array" aca="1" ref="C283" ca="1">IF(B283&lt;&gt;"", IF(MATCH(A283, calculations!A:A, 0), INDEX(calculations!D:D, MATCH(A283, calculations!A:A, 0)), "No Match"),"")</f>
        <v>212298356923</v>
      </c>
      <c r="D283" s="43">
        <f t="shared" ca="1" si="30"/>
        <v>4.244570858552503E-2</v>
      </c>
      <c r="E283" s="43">
        <f t="shared" ca="1" si="22"/>
        <v>8.8185153862413521E-4</v>
      </c>
      <c r="F283" s="43">
        <f t="shared" ca="1" si="33"/>
        <v>6.1271117802985886E-2</v>
      </c>
      <c r="G283" s="42">
        <f t="shared" ca="1" si="23"/>
        <v>1970088415557624.5</v>
      </c>
      <c r="H283" s="41">
        <f t="shared" ca="1" si="34"/>
        <v>8104.8002726426912</v>
      </c>
      <c r="I283" s="3"/>
      <c r="J283" s="43">
        <f t="shared" ca="1" si="32"/>
        <v>-0.25123915014042086</v>
      </c>
      <c r="K283" s="44">
        <f t="shared" ca="1" si="31"/>
        <v>-2</v>
      </c>
      <c r="L283" s="3"/>
      <c r="M283" s="45">
        <f t="shared" ca="1" si="24"/>
        <v>7111.619928093166</v>
      </c>
      <c r="N283" s="47">
        <f t="shared" ca="1" si="25"/>
        <v>9097.9806171922155</v>
      </c>
      <c r="O283" s="45">
        <f t="shared" ca="1" si="26"/>
        <v>6615.0297558184038</v>
      </c>
      <c r="P283" s="47">
        <f t="shared" ca="1" si="27"/>
        <v>9594.5707894669795</v>
      </c>
      <c r="Q283" s="45">
        <f t="shared" ca="1" si="28"/>
        <v>6118.4395835436417</v>
      </c>
      <c r="R283" s="47">
        <f t="shared" ca="1" si="29"/>
        <v>10091.160961741742</v>
      </c>
      <c r="S283" s="73">
        <f t="shared" ca="1" si="21"/>
        <v>-0.25123915014042086</v>
      </c>
      <c r="T283" s="73"/>
      <c r="U283" s="3"/>
      <c r="V283" s="3"/>
      <c r="W283" s="3"/>
      <c r="X283" s="3"/>
    </row>
    <row r="284" spans="1:24" ht="14" thickBot="1">
      <c r="A284" s="40">
        <v>43871</v>
      </c>
      <c r="B284" s="41">
        <f t="array" aca="1" ref="B284" ca="1">IF(AND(A284 &gt; TODAY(), A284 &lt;= TODAY() + 7),
   INDEX(calculations!B:B, MATCH(143^143, calculations!B:B)),
   IF(ISNUMBER(MATCH(A284, calculations!A:A, 0)),
      INDEX(calculations!B:B, MATCH(A284, calculations!A:A, 0)),
      ""
   )
)</f>
        <v>9872.36</v>
      </c>
      <c r="C284" s="42">
        <f t="array" aca="1" ref="C284" ca="1">IF(B284&lt;&gt;"", IF(MATCH(A284, calculations!A:A, 0), INDEX(calculations!D:D, MATCH(A284, calculations!A:A, 0)), "No Match"),"")</f>
        <v>239180811399</v>
      </c>
      <c r="D284" s="43">
        <f t="shared" ca="1" si="30"/>
        <v>6.3853678038666858E-2</v>
      </c>
      <c r="E284" s="43">
        <f t="shared" ca="1" si="22"/>
        <v>2.6116141839877343E-3</v>
      </c>
      <c r="F284" s="43">
        <f t="shared" ca="1" si="33"/>
        <v>6.3492495165255208E-2</v>
      </c>
      <c r="G284" s="42">
        <f t="shared" ca="1" si="23"/>
        <v>2361279075223032</v>
      </c>
      <c r="H284" s="41">
        <f t="shared" ca="1" si="34"/>
        <v>8182.4685842006356</v>
      </c>
      <c r="I284" s="3"/>
      <c r="J284" s="43">
        <f t="shared" ca="1" si="32"/>
        <v>-0.36013014444764069</v>
      </c>
      <c r="K284" s="44">
        <f t="shared" ca="1" si="31"/>
        <v>-3</v>
      </c>
      <c r="L284" s="3"/>
      <c r="M284" s="45">
        <f t="shared" ca="1" si="24"/>
        <v>7143.4178901562118</v>
      </c>
      <c r="N284" s="47">
        <f t="shared" ca="1" si="25"/>
        <v>9221.5192782450595</v>
      </c>
      <c r="O284" s="45">
        <f t="shared" ca="1" si="26"/>
        <v>6623.8925431340012</v>
      </c>
      <c r="P284" s="47">
        <f t="shared" ca="1" si="27"/>
        <v>9741.04462526727</v>
      </c>
      <c r="Q284" s="45">
        <f t="shared" ca="1" si="28"/>
        <v>6104.3671961117898</v>
      </c>
      <c r="R284" s="47">
        <f t="shared" ca="1" si="29"/>
        <v>10260.569972289482</v>
      </c>
      <c r="S284" s="73">
        <f t="shared" ca="1" si="21"/>
        <v>-0.36013014444764069</v>
      </c>
      <c r="T284" s="73"/>
      <c r="U284" s="3"/>
      <c r="V284" s="3"/>
      <c r="W284" s="3"/>
      <c r="X284" s="3"/>
    </row>
    <row r="285" spans="1:24" ht="14" thickBot="1">
      <c r="A285" s="40">
        <v>43878</v>
      </c>
      <c r="B285" s="41">
        <f t="array" aca="1" ref="B285" ca="1">IF(AND(A285 &gt; TODAY(), A285 &lt;= TODAY() + 7),
   INDEX(calculations!B:B, MATCH(143^143, calculations!B:B)),
   IF(ISNUMBER(MATCH(A285, calculations!A:A, 0)),
      INDEX(calculations!B:B, MATCH(A285, calculations!A:A, 0)),
      ""
   )
)</f>
        <v>9683.08</v>
      </c>
      <c r="C285" s="42">
        <f t="array" aca="1" ref="C285" ca="1">IF(B285&lt;&gt;"", IF(MATCH(A285, calculations!A:A, 0), INDEX(calculations!D:D, MATCH(A285, calculations!A:A, 0)), "No Match"),"")</f>
        <v>300413081965</v>
      </c>
      <c r="D285" s="43">
        <f t="shared" ca="1" si="30"/>
        <v>-1.9172720605812658E-2</v>
      </c>
      <c r="E285" s="43">
        <f t="shared" ca="1" si="22"/>
        <v>1.019042428632702E-3</v>
      </c>
      <c r="F285" s="43">
        <f t="shared" ca="1" si="33"/>
        <v>5.9715811699231812E-2</v>
      </c>
      <c r="G285" s="42">
        <f t="shared" ca="1" si="23"/>
        <v>2908923905713652</v>
      </c>
      <c r="H285" s="41">
        <f t="shared" ca="1" si="34"/>
        <v>8326.7951707996417</v>
      </c>
      <c r="I285" s="3"/>
      <c r="J285" s="43">
        <f t="shared" ca="1" si="32"/>
        <v>-0.20313786807724202</v>
      </c>
      <c r="K285" s="44">
        <f t="shared" ca="1" si="31"/>
        <v>-2</v>
      </c>
      <c r="L285" s="3"/>
      <c r="M285" s="45">
        <f t="shared" ca="1" si="24"/>
        <v>7332.3125058445539</v>
      </c>
      <c r="N285" s="47">
        <f t="shared" ca="1" si="25"/>
        <v>9321.2778357547304</v>
      </c>
      <c r="O285" s="45">
        <f t="shared" ca="1" si="26"/>
        <v>6835.0711733670096</v>
      </c>
      <c r="P285" s="47">
        <f t="shared" ca="1" si="27"/>
        <v>9818.5191682322729</v>
      </c>
      <c r="Q285" s="45">
        <f t="shared" ca="1" si="28"/>
        <v>6337.8298408894643</v>
      </c>
      <c r="R285" s="47">
        <f t="shared" ca="1" si="29"/>
        <v>10315.760500709817</v>
      </c>
      <c r="S285" s="73">
        <f t="shared" ref="S285:S348" ca="1" si="35">IF(B285="","",
 IF(B285&lt;Q285, 1+(4*ABS(D285))+(1+$X$2)+F285,
 IF(B285&lt;O285, 1+(3*ABS(D285))+(1+$X$2)+F285,
 IF(B285&lt;M285, 1+(2*ABS(D285))+(1+$X$2)+F285,
 IF(B285&gt;R285, 1-(4*ABS(D285))-(1+$X$2)-F285,
 IF(B285&gt;P285, 1-(3*ABS(D285))-(1+$X$2)-F285,
 IF(B285&gt;N285, 1-(2*ABS(D285))-(1+$X$2)-F285,
 1)))))))</f>
        <v>-0.20313786807724202</v>
      </c>
      <c r="T285" s="73"/>
      <c r="U285" s="3"/>
      <c r="V285" s="3"/>
      <c r="W285" s="3"/>
      <c r="X285" s="3"/>
    </row>
    <row r="286" spans="1:24" ht="14" thickBot="1">
      <c r="A286" s="40">
        <v>43885</v>
      </c>
      <c r="B286" s="41">
        <f t="array" aca="1" ref="B286" ca="1">IF(AND(A286 &gt; TODAY(), A286 &lt;= TODAY() + 7),
   INDEX(calculations!B:B, MATCH(143^143, calculations!B:B)),
   IF(ISNUMBER(MATCH(A286, calculations!A:A, 0)),
      INDEX(calculations!B:B, MATCH(A286, calculations!A:A, 0)),
      ""
   )
)</f>
        <v>9648.01</v>
      </c>
      <c r="C286" s="42">
        <f t="array" aca="1" ref="C286" ca="1">IF(B286&lt;&gt;"", IF(MATCH(A286, calculations!A:A, 0), INDEX(calculations!D:D, MATCH(A286, calculations!A:A, 0)), "No Match"),"")</f>
        <v>303140360741</v>
      </c>
      <c r="D286" s="43">
        <f t="shared" ca="1" si="30"/>
        <v>-3.6217814992749939E-3</v>
      </c>
      <c r="E286" s="43">
        <f t="shared" ca="1" si="22"/>
        <v>2.6802617129687809E-4</v>
      </c>
      <c r="F286" s="43">
        <f t="shared" ca="1" si="33"/>
        <v>5.641997187236808E-2</v>
      </c>
      <c r="G286" s="42">
        <f t="shared" ca="1" si="23"/>
        <v>2924701231832775.5</v>
      </c>
      <c r="H286" s="41">
        <f t="shared" ca="1" si="34"/>
        <v>8482.165912230088</v>
      </c>
      <c r="I286" s="3"/>
      <c r="J286" s="43">
        <f t="shared" ca="1" si="32"/>
        <v>-0.16874015003730297</v>
      </c>
      <c r="K286" s="44">
        <f t="shared" ca="1" si="31"/>
        <v>-2</v>
      </c>
      <c r="L286" s="3"/>
      <c r="M286" s="45">
        <f t="shared" ca="1" si="24"/>
        <v>7525.0387878605261</v>
      </c>
      <c r="N286" s="47">
        <f t="shared" ca="1" si="25"/>
        <v>9439.2930365996508</v>
      </c>
      <c r="O286" s="45">
        <f t="shared" ca="1" si="26"/>
        <v>7046.4752256757456</v>
      </c>
      <c r="P286" s="47">
        <f t="shared" ca="1" si="27"/>
        <v>9917.8565987844304</v>
      </c>
      <c r="Q286" s="45">
        <f t="shared" ca="1" si="28"/>
        <v>6567.9116634909642</v>
      </c>
      <c r="R286" s="47">
        <f t="shared" ca="1" si="29"/>
        <v>10396.420160969212</v>
      </c>
      <c r="S286" s="73">
        <f t="shared" ca="1" si="35"/>
        <v>-0.16874015003730297</v>
      </c>
      <c r="T286" s="73"/>
      <c r="U286" s="3"/>
      <c r="V286" s="3"/>
      <c r="W286" s="3"/>
      <c r="X286" s="3"/>
    </row>
    <row r="287" spans="1:24" ht="14" thickBot="1">
      <c r="A287" s="40">
        <v>43892</v>
      </c>
      <c r="B287" s="41">
        <f t="array" aca="1" ref="B287" ca="1">IF(AND(A287 &gt; TODAY(), A287 &lt;= TODAY() + 7),
   INDEX(calculations!B:B, MATCH(143^143, calculations!B:B)),
   IF(ISNUMBER(MATCH(A287, calculations!A:A, 0)),
      INDEX(calculations!B:B, MATCH(A287, calculations!A:A, 0)),
      ""
   )
)</f>
        <v>8906.2099999999991</v>
      </c>
      <c r="C287" s="42">
        <f t="array" aca="1" ref="C287" ca="1">IF(B287&lt;&gt;"", IF(MATCH(A287, calculations!A:A, 0), INDEX(calculations!D:D, MATCH(A287, calculations!A:A, 0)), "No Match"),"")</f>
        <v>299233009521</v>
      </c>
      <c r="D287" s="43">
        <f t="shared" ca="1" si="30"/>
        <v>-7.6886321635238883E-2</v>
      </c>
      <c r="E287" s="43">
        <f t="shared" ca="1" si="22"/>
        <v>8.0346205620578631E-3</v>
      </c>
      <c r="F287" s="43">
        <f t="shared" ca="1" si="33"/>
        <v>4.7607050174788307E-2</v>
      </c>
      <c r="G287" s="42">
        <f t="shared" ca="1" si="23"/>
        <v>2665032021726025</v>
      </c>
      <c r="H287" s="41">
        <f t="shared" ca="1" si="34"/>
        <v>8608.4966438712672</v>
      </c>
      <c r="I287" s="3"/>
      <c r="J287" s="43">
        <f t="shared" ca="1" si="32"/>
        <v>1</v>
      </c>
      <c r="K287" s="44" t="str">
        <f t="shared" ca="1" si="31"/>
        <v/>
      </c>
      <c r="L287" s="3"/>
      <c r="M287" s="45">
        <f t="shared" ca="1" si="24"/>
        <v>7788.8463805627152</v>
      </c>
      <c r="N287" s="47">
        <f t="shared" ca="1" si="25"/>
        <v>9428.1469071798183</v>
      </c>
      <c r="O287" s="45">
        <f t="shared" ca="1" si="26"/>
        <v>7379.0212489084388</v>
      </c>
      <c r="P287" s="47">
        <f t="shared" ca="1" si="27"/>
        <v>9837.9720388340957</v>
      </c>
      <c r="Q287" s="45">
        <f t="shared" ca="1" si="28"/>
        <v>6969.1961172541623</v>
      </c>
      <c r="R287" s="47">
        <f t="shared" ca="1" si="29"/>
        <v>10247.797170488371</v>
      </c>
      <c r="S287" s="73">
        <f t="shared" ca="1" si="35"/>
        <v>1</v>
      </c>
      <c r="T287" s="73"/>
      <c r="U287" s="3"/>
      <c r="V287" s="3"/>
      <c r="W287" s="3"/>
      <c r="X287" s="3"/>
    </row>
    <row r="288" spans="1:24" ht="14" thickBot="1">
      <c r="A288" s="40">
        <v>43899</v>
      </c>
      <c r="B288" s="41">
        <f t="array" aca="1" ref="B288" ca="1">IF(AND(A288 &gt; TODAY(), A288 &lt;= TODAY() + 7),
   INDEX(calculations!B:B, MATCH(143^143, calculations!B:B)),
   IF(ISNUMBER(MATCH(A288, calculations!A:A, 0)),
      INDEX(calculations!B:B, MATCH(A288, calculations!A:A, 0)),
      ""
   )
)</f>
        <v>7896.39</v>
      </c>
      <c r="C288" s="42">
        <f t="array" aca="1" ref="C288" ca="1">IF(B288&lt;&gt;"", IF(MATCH(A288, calculations!A:A, 0), INDEX(calculations!D:D, MATCH(A288, calculations!A:A, 0)), "No Match"),"")</f>
        <v>276706069337</v>
      </c>
      <c r="D288" s="43">
        <f t="shared" ca="1" si="30"/>
        <v>-0.11338380747815276</v>
      </c>
      <c r="E288" s="43">
        <f t="shared" ca="1" si="22"/>
        <v>1.5909667601233985E-2</v>
      </c>
      <c r="F288" s="43">
        <f t="shared" ca="1" si="33"/>
        <v>5.884936275784805E-2</v>
      </c>
      <c r="G288" s="42">
        <f t="shared" ca="1" si="23"/>
        <v>2184979038851993.5</v>
      </c>
      <c r="H288" s="41">
        <f t="shared" ca="1" si="34"/>
        <v>8612.7570493499461</v>
      </c>
      <c r="I288" s="3"/>
      <c r="J288" s="43">
        <f t="shared" ca="1" si="32"/>
        <v>1</v>
      </c>
      <c r="K288" s="44" t="str">
        <f t="shared" ca="1" si="31"/>
        <v/>
      </c>
      <c r="L288" s="3"/>
      <c r="M288" s="45">
        <f t="shared" ca="1" si="24"/>
        <v>7599.0465214651304</v>
      </c>
      <c r="N288" s="47">
        <f t="shared" ca="1" si="25"/>
        <v>9626.4675772347618</v>
      </c>
      <c r="O288" s="45">
        <f t="shared" ca="1" si="26"/>
        <v>7092.1912575227216</v>
      </c>
      <c r="P288" s="47">
        <f t="shared" ca="1" si="27"/>
        <v>10133.322841177171</v>
      </c>
      <c r="Q288" s="45">
        <f t="shared" ca="1" si="28"/>
        <v>6585.3359935803146</v>
      </c>
      <c r="R288" s="47">
        <f t="shared" ca="1" si="29"/>
        <v>10640.178105119578</v>
      </c>
      <c r="S288" s="73">
        <f t="shared" ca="1" si="35"/>
        <v>1</v>
      </c>
      <c r="T288" s="73"/>
      <c r="U288" s="3"/>
      <c r="V288" s="3"/>
      <c r="W288" s="3"/>
      <c r="X288" s="3"/>
    </row>
    <row r="289" spans="1:24" ht="14" thickBot="1">
      <c r="A289" s="40">
        <v>43906</v>
      </c>
      <c r="B289" s="41">
        <f t="array" aca="1" ref="B289" ca="1">IF(AND(A289 &gt; TODAY(), A289 &lt;= TODAY() + 7),
   INDEX(calculations!B:B, MATCH(143^143, calculations!B:B)),
   IF(ISNUMBER(MATCH(A289, calculations!A:A, 0)),
      INDEX(calculations!B:B, MATCH(A289, calculations!A:A, 0)),
      ""
   )
)</f>
        <v>5012.93</v>
      </c>
      <c r="C289" s="42">
        <f t="array" aca="1" ref="C289" ca="1">IF(B289&lt;&gt;"", IF(MATCH(A289, calculations!A:A, 0), INDEX(calculations!D:D, MATCH(A289, calculations!A:A, 0)), "No Match"),"")</f>
        <v>326123224372</v>
      </c>
      <c r="D289" s="43">
        <f t="shared" ca="1" si="30"/>
        <v>-0.36516180178537277</v>
      </c>
      <c r="E289" s="43">
        <f t="shared" ca="1" si="22"/>
        <v>0.14281712083630776</v>
      </c>
      <c r="F289" s="43">
        <f t="shared" ca="1" si="33"/>
        <v>0.11565658505099327</v>
      </c>
      <c r="G289" s="42">
        <f t="shared" ca="1" si="23"/>
        <v>1634832895151130</v>
      </c>
      <c r="H289" s="41">
        <f t="shared" ca="1" si="34"/>
        <v>8288.8880480111329</v>
      </c>
      <c r="I289" s="3"/>
      <c r="J289" s="43">
        <f t="shared" ca="1" si="32"/>
        <v>3.3162186055734968</v>
      </c>
      <c r="K289" s="44">
        <f t="shared" ca="1" si="31"/>
        <v>3</v>
      </c>
      <c r="L289" s="3"/>
      <c r="M289" s="45">
        <f t="shared" ca="1" si="24"/>
        <v>6371.5590770052104</v>
      </c>
      <c r="N289" s="47">
        <f t="shared" ca="1" si="25"/>
        <v>10206.217019017056</v>
      </c>
      <c r="O289" s="45">
        <f t="shared" ca="1" si="26"/>
        <v>5412.8945915022496</v>
      </c>
      <c r="P289" s="47">
        <f t="shared" ca="1" si="27"/>
        <v>11164.881504520015</v>
      </c>
      <c r="Q289" s="45">
        <f t="shared" ca="1" si="28"/>
        <v>4454.2301059992878</v>
      </c>
      <c r="R289" s="47">
        <f t="shared" ca="1" si="29"/>
        <v>12123.545990022978</v>
      </c>
      <c r="S289" s="73">
        <f t="shared" ca="1" si="35"/>
        <v>3.3162186055734968</v>
      </c>
      <c r="T289" s="73"/>
      <c r="U289" s="3"/>
      <c r="V289" s="3"/>
      <c r="W289" s="3"/>
      <c r="X289" s="3"/>
    </row>
    <row r="290" spans="1:24" ht="14" thickBot="1">
      <c r="A290" s="40">
        <v>43913</v>
      </c>
      <c r="B290" s="41">
        <f t="array" aca="1" ref="B290" ca="1">IF(AND(A290 &gt; TODAY(), A290 &lt;= TODAY() + 7),
   INDEX(calculations!B:B, MATCH(143^143, calculations!B:B)),
   IF(ISNUMBER(MATCH(A290, calculations!A:A, 0)),
      INDEX(calculations!B:B, MATCH(A290, calculations!A:A, 0)),
      ""
   )
)</f>
        <v>6486.41</v>
      </c>
      <c r="C290" s="42">
        <f t="array" aca="1" ref="C290" ca="1">IF(B290&lt;&gt;"", IF(MATCH(A290, calculations!A:A, 0), INDEX(calculations!D:D, MATCH(A290, calculations!A:A, 0)), "No Match"),"")</f>
        <v>309907233901</v>
      </c>
      <c r="D290" s="43">
        <f t="shared" ca="1" si="30"/>
        <v>0.29393588180964014</v>
      </c>
      <c r="E290" s="43">
        <f t="shared" ca="1" si="22"/>
        <v>7.9065655704703308E-2</v>
      </c>
      <c r="F290" s="43">
        <f t="shared" ca="1" si="33"/>
        <v>0.14169910313282144</v>
      </c>
      <c r="G290" s="42">
        <f t="shared" ca="1" si="23"/>
        <v>2010185381047785.2</v>
      </c>
      <c r="H290" s="41">
        <f t="shared" ca="1" si="34"/>
        <v>8173.0905701095762</v>
      </c>
      <c r="I290" s="3"/>
      <c r="J290" s="43">
        <f t="shared" ca="1" si="32"/>
        <v>1</v>
      </c>
      <c r="K290" s="44" t="str">
        <f t="shared" ca="1" si="31"/>
        <v/>
      </c>
      <c r="L290" s="3"/>
      <c r="M290" s="45">
        <f t="shared" ca="1" si="24"/>
        <v>5856.8513628938827</v>
      </c>
      <c r="N290" s="47">
        <f t="shared" ca="1" si="25"/>
        <v>10489.329777325271</v>
      </c>
      <c r="O290" s="45">
        <f t="shared" ca="1" si="26"/>
        <v>4698.7317592860345</v>
      </c>
      <c r="P290" s="47">
        <f t="shared" ca="1" si="27"/>
        <v>11647.449380933118</v>
      </c>
      <c r="Q290" s="45">
        <f t="shared" ca="1" si="28"/>
        <v>3540.6121556781873</v>
      </c>
      <c r="R290" s="47">
        <f t="shared" ca="1" si="29"/>
        <v>12805.568984540963</v>
      </c>
      <c r="S290" s="73">
        <f t="shared" ca="1" si="35"/>
        <v>1</v>
      </c>
      <c r="T290" s="73"/>
      <c r="U290" s="3"/>
      <c r="V290" s="3"/>
      <c r="W290" s="3"/>
      <c r="X290" s="3"/>
    </row>
    <row r="291" spans="1:24" ht="14" thickBot="1">
      <c r="A291" s="40">
        <v>43920</v>
      </c>
      <c r="B291" s="41">
        <f t="array" aca="1" ref="B291" ca="1">IF(AND(A291 &gt; TODAY(), A291 &lt;= TODAY() + 7),
   INDEX(calculations!B:B, MATCH(143^143, calculations!B:B)),
   IF(ISNUMBER(MATCH(A291, calculations!A:A, 0)),
      INDEX(calculations!B:B, MATCH(A291, calculations!A:A, 0)),
      ""
   )
)</f>
        <v>6436.91</v>
      </c>
      <c r="C291" s="42">
        <f t="array" aca="1" ref="C291" ca="1">IF(B291&lt;&gt;"", IF(MATCH(A291, calculations!A:A, 0), INDEX(calculations!D:D, MATCH(A291, calculations!A:A, 0)), "No Match"),"")</f>
        <v>272468247401</v>
      </c>
      <c r="D291" s="43">
        <f t="shared" ca="1" si="30"/>
        <v>-7.6313399862173378E-3</v>
      </c>
      <c r="E291" s="43">
        <f t="shared" ca="1" si="22"/>
        <v>4.1538774304734785E-4</v>
      </c>
      <c r="F291" s="43">
        <f t="shared" ca="1" si="33"/>
        <v>0.14074872981246922</v>
      </c>
      <c r="G291" s="42">
        <f t="shared" ca="1" si="23"/>
        <v>1753853586377970.8</v>
      </c>
      <c r="H291" s="41">
        <f t="shared" ca="1" si="34"/>
        <v>8076.5812949286601</v>
      </c>
      <c r="I291" s="3"/>
      <c r="J291" s="43">
        <f t="shared" ca="1" si="32"/>
        <v>1</v>
      </c>
      <c r="K291" s="44" t="str">
        <f t="shared" ca="1" si="31"/>
        <v/>
      </c>
      <c r="L291" s="3"/>
      <c r="M291" s="45">
        <f t="shared" ca="1" si="24"/>
        <v>5803.0441779519469</v>
      </c>
      <c r="N291" s="47">
        <f t="shared" ca="1" si="25"/>
        <v>10350.118411905374</v>
      </c>
      <c r="O291" s="45">
        <f t="shared" ca="1" si="26"/>
        <v>4666.2756194635895</v>
      </c>
      <c r="P291" s="47">
        <f t="shared" ca="1" si="27"/>
        <v>11486.886970393731</v>
      </c>
      <c r="Q291" s="45">
        <f t="shared" ca="1" si="28"/>
        <v>3529.5070609752329</v>
      </c>
      <c r="R291" s="47">
        <f t="shared" ca="1" si="29"/>
        <v>12623.655528882087</v>
      </c>
      <c r="S291" s="73">
        <f t="shared" ca="1" si="35"/>
        <v>1</v>
      </c>
      <c r="T291" s="73"/>
      <c r="U291" s="3"/>
      <c r="V291" s="3"/>
      <c r="W291" s="3"/>
      <c r="X291" s="3"/>
    </row>
    <row r="292" spans="1:24" ht="14" thickBot="1">
      <c r="A292" s="40">
        <v>43927</v>
      </c>
      <c r="B292" s="41">
        <f t="array" aca="1" ref="B292" ca="1">IF(AND(A292 &gt; TODAY(), A292 &lt;= TODAY() + 7),
   INDEX(calculations!B:B, MATCH(143^143, calculations!B:B)),
   IF(ISNUMBER(MATCH(A292, calculations!A:A, 0)),
      INDEX(calculations!B:B, MATCH(A292, calculations!A:A, 0)),
      ""
   )
)</f>
        <v>7298.17</v>
      </c>
      <c r="C292" s="42">
        <f t="array" aca="1" ref="C292" ca="1">IF(B292&lt;&gt;"", IF(MATCH(A292, calculations!A:A, 0), INDEX(calculations!D:D, MATCH(A292, calculations!A:A, 0)), "No Match"),"")</f>
        <v>259568096070</v>
      </c>
      <c r="D292" s="43">
        <f t="shared" ca="1" si="30"/>
        <v>0.13380022402053163</v>
      </c>
      <c r="E292" s="43">
        <f t="shared" ca="1" si="22"/>
        <v>1.4653223710611868E-2</v>
      </c>
      <c r="F292" s="43">
        <f t="shared" ca="1" si="33"/>
        <v>0.14502308914995238</v>
      </c>
      <c r="G292" s="42">
        <f t="shared" ca="1" si="23"/>
        <v>1894372091695192</v>
      </c>
      <c r="H292" s="41">
        <f t="shared" ca="1" si="34"/>
        <v>8058.2184073142334</v>
      </c>
      <c r="I292" s="3"/>
      <c r="J292" s="43">
        <f t="shared" ca="1" si="32"/>
        <v>1</v>
      </c>
      <c r="K292" s="44" t="str">
        <f t="shared" ca="1" si="31"/>
        <v/>
      </c>
      <c r="L292" s="3"/>
      <c r="M292" s="45">
        <f t="shared" ca="1" si="24"/>
        <v>5720.9629543667952</v>
      </c>
      <c r="N292" s="47">
        <f t="shared" ca="1" si="25"/>
        <v>10395.473860261673</v>
      </c>
      <c r="O292" s="45">
        <f t="shared" ca="1" si="26"/>
        <v>4552.3352278930761</v>
      </c>
      <c r="P292" s="47">
        <f t="shared" ca="1" si="27"/>
        <v>11564.101586735391</v>
      </c>
      <c r="Q292" s="45">
        <f t="shared" ca="1" si="28"/>
        <v>3383.707501419356</v>
      </c>
      <c r="R292" s="47">
        <f t="shared" ca="1" si="29"/>
        <v>12732.729313209111</v>
      </c>
      <c r="S292" s="73">
        <f t="shared" ca="1" si="35"/>
        <v>1</v>
      </c>
      <c r="T292" s="73"/>
      <c r="U292" s="3"/>
      <c r="V292" s="3"/>
      <c r="W292" s="3"/>
      <c r="X292" s="3"/>
    </row>
    <row r="293" spans="1:24" ht="14" thickBot="1">
      <c r="A293" s="40">
        <v>43934</v>
      </c>
      <c r="B293" s="41">
        <f t="array" aca="1" ref="B293" ca="1">IF(AND(A293 &gt; TODAY(), A293 &lt;= TODAY() + 7),
   INDEX(calculations!B:B, MATCH(143^143, calculations!B:B)),
   IF(ISNUMBER(MATCH(A293, calculations!A:A, 0)),
      INDEX(calculations!B:B, MATCH(A293, calculations!A:A, 0)),
      ""
   )
)</f>
        <v>6863.58</v>
      </c>
      <c r="C293" s="42">
        <f t="array" aca="1" ref="C293" ca="1">IF(B293&lt;&gt;"", IF(MATCH(A293, calculations!A:A, 0), INDEX(calculations!D:D, MATCH(A293, calculations!A:A, 0)), "No Match"),"")</f>
        <v>274123270580</v>
      </c>
      <c r="D293" s="43">
        <f t="shared" ca="1" si="30"/>
        <v>-5.9547804449608617E-2</v>
      </c>
      <c r="E293" s="43">
        <f t="shared" ca="1" si="22"/>
        <v>5.2269325271144607E-3</v>
      </c>
      <c r="F293" s="43">
        <f t="shared" ca="1" si="33"/>
        <v>0.14498714929624937</v>
      </c>
      <c r="G293" s="42">
        <f t="shared" ca="1" si="23"/>
        <v>1881466997487476.5</v>
      </c>
      <c r="H293" s="41">
        <f t="shared" ca="1" si="34"/>
        <v>7980.805623336174</v>
      </c>
      <c r="I293" s="3"/>
      <c r="J293" s="43">
        <f t="shared" ca="1" si="32"/>
        <v>1</v>
      </c>
      <c r="K293" s="44" t="str">
        <f t="shared" ca="1" si="31"/>
        <v/>
      </c>
      <c r="L293" s="3"/>
      <c r="M293" s="45">
        <f t="shared" ca="1" si="24"/>
        <v>5666.5771105061976</v>
      </c>
      <c r="N293" s="47">
        <f t="shared" ca="1" si="25"/>
        <v>10295.03413616615</v>
      </c>
      <c r="O293" s="45">
        <f t="shared" ca="1" si="26"/>
        <v>4509.462854091209</v>
      </c>
      <c r="P293" s="47">
        <f t="shared" ca="1" si="27"/>
        <v>11452.148392581141</v>
      </c>
      <c r="Q293" s="45">
        <f t="shared" ca="1" si="28"/>
        <v>3352.3485976762204</v>
      </c>
      <c r="R293" s="47">
        <f t="shared" ca="1" si="29"/>
        <v>12609.262648996126</v>
      </c>
      <c r="S293" s="73">
        <f t="shared" ca="1" si="35"/>
        <v>1</v>
      </c>
      <c r="T293" s="73"/>
      <c r="U293" s="3"/>
      <c r="V293" s="3"/>
      <c r="W293" s="3"/>
      <c r="X293" s="3"/>
    </row>
    <row r="294" spans="1:24" ht="14" thickBot="1">
      <c r="A294" s="40">
        <v>43941</v>
      </c>
      <c r="B294" s="41">
        <f t="array" aca="1" ref="B294" ca="1">IF(AND(A294 &gt; TODAY(), A294 &lt;= TODAY() + 7),
   INDEX(calculations!B:B, MATCH(143^143, calculations!B:B)),
   IF(ISNUMBER(MATCH(A294, calculations!A:A, 0)),
      INDEX(calculations!B:B, MATCH(A294, calculations!A:A, 0)),
      ""
   )
)</f>
        <v>6853.27</v>
      </c>
      <c r="C294" s="42">
        <f t="array" aca="1" ref="C294" ca="1">IF(B294&lt;&gt;"", IF(MATCH(A294, calculations!A:A, 0), INDEX(calculations!D:D, MATCH(A294, calculations!A:A, 0)), "No Match"),"")</f>
        <v>248073118275</v>
      </c>
      <c r="D294" s="43">
        <f t="shared" ca="1" si="30"/>
        <v>-1.5021315406827764E-3</v>
      </c>
      <c r="E294" s="43">
        <f t="shared" ca="1" si="22"/>
        <v>2.0311536805754733E-4</v>
      </c>
      <c r="F294" s="43">
        <f t="shared" ca="1" si="33"/>
        <v>0.14443761956500475</v>
      </c>
      <c r="G294" s="42">
        <f t="shared" ca="1" si="23"/>
        <v>1700112059280509.2</v>
      </c>
      <c r="H294" s="41">
        <f t="shared" ca="1" si="34"/>
        <v>7898.776668332901</v>
      </c>
      <c r="I294" s="3"/>
      <c r="J294" s="43">
        <f t="shared" ca="1" si="32"/>
        <v>1</v>
      </c>
      <c r="K294" s="44" t="str">
        <f t="shared" ca="1" si="31"/>
        <v/>
      </c>
      <c r="L294" s="3"/>
      <c r="M294" s="45">
        <f t="shared" ca="1" si="24"/>
        <v>5617.0156694336938</v>
      </c>
      <c r="N294" s="47">
        <f t="shared" ca="1" si="25"/>
        <v>10180.537667232107</v>
      </c>
      <c r="O294" s="45">
        <f t="shared" ca="1" si="26"/>
        <v>4476.1351699840916</v>
      </c>
      <c r="P294" s="47">
        <f t="shared" ca="1" si="27"/>
        <v>11321.418166681709</v>
      </c>
      <c r="Q294" s="45">
        <f t="shared" ca="1" si="28"/>
        <v>3335.254670534488</v>
      </c>
      <c r="R294" s="47">
        <f t="shared" ca="1" si="29"/>
        <v>12462.298666131315</v>
      </c>
      <c r="S294" s="73">
        <f t="shared" ca="1" si="35"/>
        <v>1</v>
      </c>
      <c r="T294" s="73"/>
      <c r="U294" s="3"/>
      <c r="V294" s="3"/>
      <c r="W294" s="3"/>
      <c r="X294" s="3"/>
    </row>
    <row r="295" spans="1:24" ht="14" thickBot="1">
      <c r="A295" s="40">
        <v>43948</v>
      </c>
      <c r="B295" s="41">
        <f t="array" aca="1" ref="B295" ca="1">IF(AND(A295 &gt; TODAY(), A295 &lt;= TODAY() + 7),
   INDEX(calculations!B:B, MATCH(143^143, calculations!B:B)),
   IF(ISNUMBER(MATCH(A295, calculations!A:A, 0)),
      INDEX(calculations!B:B, MATCH(A295, calculations!A:A, 0)),
      ""
   )
)</f>
        <v>7777.49</v>
      </c>
      <c r="C295" s="42">
        <f t="array" aca="1" ref="C295" ca="1">IF(B295&lt;&gt;"", IF(MATCH(A295, calculations!A:A, 0), INDEX(calculations!D:D, MATCH(A295, calculations!A:A, 0)), "No Match"),"")</f>
        <v>247735013853</v>
      </c>
      <c r="D295" s="43">
        <f t="shared" ca="1" si="30"/>
        <v>0.13485825014919875</v>
      </c>
      <c r="E295" s="43">
        <f t="shared" ca="1" si="22"/>
        <v>1.491049231507887E-2</v>
      </c>
      <c r="F295" s="43">
        <f t="shared" ca="1" si="33"/>
        <v>0.14811947327028799</v>
      </c>
      <c r="G295" s="42">
        <f t="shared" ca="1" si="23"/>
        <v>1926756592891569</v>
      </c>
      <c r="H295" s="41">
        <f t="shared" ca="1" si="34"/>
        <v>7843.0002977790327</v>
      </c>
      <c r="I295" s="3"/>
      <c r="J295" s="43">
        <f t="shared" ca="1" si="32"/>
        <v>1</v>
      </c>
      <c r="K295" s="44" t="str">
        <f t="shared" ca="1" si="31"/>
        <v/>
      </c>
      <c r="L295" s="3"/>
      <c r="M295" s="45">
        <f t="shared" ca="1" si="24"/>
        <v>5519.5981518475492</v>
      </c>
      <c r="N295" s="47">
        <f t="shared" ca="1" si="25"/>
        <v>10166.402443710516</v>
      </c>
      <c r="O295" s="45">
        <f t="shared" ca="1" si="26"/>
        <v>4357.897078881806</v>
      </c>
      <c r="P295" s="47">
        <f t="shared" ca="1" si="27"/>
        <v>11328.103516676259</v>
      </c>
      <c r="Q295" s="45">
        <f t="shared" ca="1" si="28"/>
        <v>3196.1960059160642</v>
      </c>
      <c r="R295" s="47">
        <f t="shared" ca="1" si="29"/>
        <v>12489.804589642001</v>
      </c>
      <c r="S295" s="73">
        <f t="shared" ca="1" si="35"/>
        <v>1</v>
      </c>
      <c r="T295" s="73"/>
      <c r="U295" s="3"/>
      <c r="V295" s="3"/>
      <c r="W295" s="3"/>
      <c r="X295" s="3"/>
    </row>
    <row r="296" spans="1:24" ht="14" thickBot="1">
      <c r="A296" s="40">
        <v>43955</v>
      </c>
      <c r="B296" s="41">
        <f t="array" aca="1" ref="B296" ca="1">IF(AND(A296 &gt; TODAY(), A296 &lt;= TODAY() + 7),
   INDEX(calculations!B:B, MATCH(143^143, calculations!B:B)),
   IF(ISNUMBER(MATCH(A296, calculations!A:A, 0)),
      INDEX(calculations!B:B, MATCH(A296, calculations!A:A, 0)),
      ""
   )
)</f>
        <v>8881.9500000000007</v>
      </c>
      <c r="C296" s="42">
        <f t="array" aca="1" ref="C296" ca="1">IF(B296&lt;&gt;"", IF(MATCH(A296, calculations!A:A, 0), INDEX(calculations!D:D, MATCH(A296, calculations!A:A, 0)), "No Match"),"")</f>
        <v>327820350244</v>
      </c>
      <c r="D296" s="43">
        <f t="shared" ca="1" si="30"/>
        <v>0.14200725426840805</v>
      </c>
      <c r="E296" s="43">
        <f t="shared" ca="1" si="22"/>
        <v>1.6707509297014828E-2</v>
      </c>
      <c r="F296" s="43">
        <f t="shared" ca="1" si="33"/>
        <v>0.15259530092800547</v>
      </c>
      <c r="G296" s="42">
        <f t="shared" ca="1" si="23"/>
        <v>2911683959849696</v>
      </c>
      <c r="H296" s="41">
        <f t="shared" ca="1" si="34"/>
        <v>7885.5327908424742</v>
      </c>
      <c r="I296" s="3"/>
      <c r="J296" s="43">
        <f t="shared" ca="1" si="32"/>
        <v>1</v>
      </c>
      <c r="K296" s="44" t="str">
        <f t="shared" ca="1" si="31"/>
        <v/>
      </c>
      <c r="L296" s="3"/>
      <c r="M296" s="45">
        <f t="shared" ca="1" si="24"/>
        <v>5478.9422924499504</v>
      </c>
      <c r="N296" s="47">
        <f t="shared" ca="1" si="25"/>
        <v>10292.123289234998</v>
      </c>
      <c r="O296" s="45">
        <f t="shared" ca="1" si="26"/>
        <v>4275.6470432536871</v>
      </c>
      <c r="P296" s="47">
        <f t="shared" ca="1" si="27"/>
        <v>11495.41853843126</v>
      </c>
      <c r="Q296" s="45">
        <f t="shared" ca="1" si="28"/>
        <v>3072.3517940574256</v>
      </c>
      <c r="R296" s="47">
        <f t="shared" ca="1" si="29"/>
        <v>12698.713787627523</v>
      </c>
      <c r="S296" s="73">
        <f t="shared" ca="1" si="35"/>
        <v>1</v>
      </c>
      <c r="T296" s="73"/>
      <c r="U296" s="3"/>
      <c r="V296" s="3"/>
      <c r="W296" s="3"/>
      <c r="X296" s="3"/>
    </row>
    <row r="297" spans="1:24" ht="14" thickBot="1">
      <c r="A297" s="40">
        <v>43962</v>
      </c>
      <c r="B297" s="41">
        <f t="array" aca="1" ref="B297" ca="1">IF(AND(A297 &gt; TODAY(), A297 &lt;= TODAY() + 7),
   INDEX(calculations!B:B, MATCH(143^143, calculations!B:B)),
   IF(ISNUMBER(MATCH(A297, calculations!A:A, 0)),
      INDEX(calculations!B:B, MATCH(A297, calculations!A:A, 0)),
      ""
   )
)</f>
        <v>8591.65</v>
      </c>
      <c r="C297" s="42">
        <f t="array" aca="1" ref="C297" ca="1">IF(B297&lt;&gt;"", IF(MATCH(A297, calculations!A:A, 0), INDEX(calculations!D:D, MATCH(A297, calculations!A:A, 0)), "No Match"),"")</f>
        <v>361023995652</v>
      </c>
      <c r="D297" s="43">
        <f t="shared" ca="1" si="30"/>
        <v>-3.2684264153705109E-2</v>
      </c>
      <c r="E297" s="43">
        <f t="shared" ca="1" si="22"/>
        <v>2.0642472212279274E-3</v>
      </c>
      <c r="F297" s="43">
        <f t="shared" ca="1" si="33"/>
        <v>0.1527523877697399</v>
      </c>
      <c r="G297" s="42">
        <f t="shared" ca="1" si="23"/>
        <v>3101791812243505.5</v>
      </c>
      <c r="H297" s="41">
        <f t="shared" ca="1" si="34"/>
        <v>7875.3789549571438</v>
      </c>
      <c r="I297" s="3"/>
      <c r="J297" s="43">
        <f t="shared" ca="1" si="32"/>
        <v>1</v>
      </c>
      <c r="K297" s="44" t="str">
        <f t="shared" ca="1" si="31"/>
        <v/>
      </c>
      <c r="L297" s="3"/>
      <c r="M297" s="45">
        <f t="shared" ca="1" si="24"/>
        <v>5469.4130750346194</v>
      </c>
      <c r="N297" s="47">
        <f t="shared" ca="1" si="25"/>
        <v>10281.344834879668</v>
      </c>
      <c r="O297" s="45">
        <f t="shared" ca="1" si="26"/>
        <v>4266.4301350733558</v>
      </c>
      <c r="P297" s="47">
        <f t="shared" ca="1" si="27"/>
        <v>11484.327774840931</v>
      </c>
      <c r="Q297" s="45">
        <f t="shared" ca="1" si="28"/>
        <v>3063.4471951120936</v>
      </c>
      <c r="R297" s="47">
        <f t="shared" ca="1" si="29"/>
        <v>12687.310714802194</v>
      </c>
      <c r="S297" s="73">
        <f t="shared" ca="1" si="35"/>
        <v>1</v>
      </c>
      <c r="T297" s="73"/>
      <c r="U297" s="3"/>
      <c r="V297" s="3"/>
      <c r="W297" s="3"/>
      <c r="X297" s="3"/>
    </row>
    <row r="298" spans="1:24" ht="14" thickBot="1">
      <c r="A298" s="40">
        <v>43969</v>
      </c>
      <c r="B298" s="41">
        <f t="array" aca="1" ref="B298" ca="1">IF(AND(A298 &gt; TODAY(), A298 &lt;= TODAY() + 7),
   INDEX(calculations!B:B, MATCH(143^143, calculations!B:B)),
   IF(ISNUMBER(MATCH(A298, calculations!A:A, 0)),
      INDEX(calculations!B:B, MATCH(A298, calculations!A:A, 0)),
      ""
   )
)</f>
        <v>9726.85</v>
      </c>
      <c r="C298" s="42">
        <f t="array" aca="1" ref="C298" ca="1">IF(B298&lt;&gt;"", IF(MATCH(A298, calculations!A:A, 0), INDEX(calculations!D:D, MATCH(A298, calculations!A:A, 0)), "No Match"),"")</f>
        <v>325655447393</v>
      </c>
      <c r="D298" s="43">
        <f t="shared" ca="1" si="30"/>
        <v>0.13212828734876314</v>
      </c>
      <c r="E298" s="43">
        <f t="shared" ca="1" si="22"/>
        <v>1.4251241540459548E-2</v>
      </c>
      <c r="F298" s="43">
        <f t="shared" ca="1" si="33"/>
        <v>0.15578923120042579</v>
      </c>
      <c r="G298" s="42">
        <f t="shared" ca="1" si="23"/>
        <v>3167601688474602</v>
      </c>
      <c r="H298" s="41">
        <f t="shared" ca="1" si="34"/>
        <v>7905.7038272484579</v>
      </c>
      <c r="I298" s="3"/>
      <c r="J298" s="43">
        <f t="shared" ca="1" si="32"/>
        <v>1</v>
      </c>
      <c r="K298" s="44" t="str">
        <f t="shared" ca="1" si="31"/>
        <v/>
      </c>
      <c r="L298" s="3"/>
      <c r="M298" s="45">
        <f t="shared" ca="1" si="24"/>
        <v>5442.4567845578558</v>
      </c>
      <c r="N298" s="47">
        <f t="shared" ca="1" si="25"/>
        <v>10368.950869939059</v>
      </c>
      <c r="O298" s="45">
        <f t="shared" ca="1" si="26"/>
        <v>4210.8332632125548</v>
      </c>
      <c r="P298" s="47">
        <f t="shared" ca="1" si="27"/>
        <v>11600.574391284361</v>
      </c>
      <c r="Q298" s="45">
        <f t="shared" ca="1" si="28"/>
        <v>2979.2097418672538</v>
      </c>
      <c r="R298" s="47">
        <f t="shared" ca="1" si="29"/>
        <v>12832.197912629661</v>
      </c>
      <c r="S298" s="73">
        <f t="shared" ca="1" si="35"/>
        <v>1</v>
      </c>
      <c r="T298" s="73"/>
      <c r="U298" s="3"/>
      <c r="V298" s="3"/>
      <c r="W298" s="3"/>
      <c r="X298" s="3"/>
    </row>
    <row r="299" spans="1:24" ht="14" thickBot="1">
      <c r="A299" s="40">
        <v>43976</v>
      </c>
      <c r="B299" s="41">
        <f t="array" aca="1" ref="B299" ca="1">IF(AND(A299 &gt; TODAY(), A299 &lt;= TODAY() + 7),
   INDEX(calculations!B:B, MATCH(143^143, calculations!B:B)),
   IF(ISNUMBER(MATCH(A299, calculations!A:A, 0)),
      INDEX(calculations!B:B, MATCH(A299, calculations!A:A, 0)),
      ""
   )
)</f>
        <v>8909.19</v>
      </c>
      <c r="C299" s="42">
        <f t="array" aca="1" ref="C299" ca="1">IF(B299&lt;&gt;"", IF(MATCH(A299, calculations!A:A, 0), INDEX(calculations!D:D, MATCH(A299, calculations!A:A, 0)), "No Match"),"")</f>
        <v>247011272897</v>
      </c>
      <c r="D299" s="43">
        <f t="shared" ca="1" si="30"/>
        <v>-8.4062157841438889E-2</v>
      </c>
      <c r="E299" s="43">
        <f t="shared" ca="1" si="22"/>
        <v>9.3725403414044225E-3</v>
      </c>
      <c r="F299" s="43">
        <f t="shared" ca="1" si="33"/>
        <v>0.1577165052611483</v>
      </c>
      <c r="G299" s="42">
        <f t="shared" ca="1" si="23"/>
        <v>2200670362381223.5</v>
      </c>
      <c r="H299" s="41">
        <f t="shared" ca="1" si="34"/>
        <v>7835.5632278093617</v>
      </c>
      <c r="I299" s="3"/>
      <c r="J299" s="43">
        <f t="shared" ca="1" si="32"/>
        <v>1</v>
      </c>
      <c r="K299" s="44" t="str">
        <f t="shared" ca="1" si="31"/>
        <v/>
      </c>
      <c r="L299" s="3"/>
      <c r="M299" s="45">
        <f t="shared" ca="1" si="24"/>
        <v>5363.9679297236507</v>
      </c>
      <c r="N299" s="47">
        <f t="shared" ca="1" si="25"/>
        <v>10307.158525895073</v>
      </c>
      <c r="O299" s="45">
        <f t="shared" ca="1" si="26"/>
        <v>4128.1702806807962</v>
      </c>
      <c r="P299" s="47">
        <f t="shared" ca="1" si="27"/>
        <v>11542.956174937928</v>
      </c>
      <c r="Q299" s="45">
        <f t="shared" ca="1" si="28"/>
        <v>2892.3726316379402</v>
      </c>
      <c r="R299" s="47">
        <f t="shared" ca="1" si="29"/>
        <v>12778.753823980784</v>
      </c>
      <c r="S299" s="73">
        <f t="shared" ca="1" si="35"/>
        <v>1</v>
      </c>
      <c r="T299" s="73"/>
      <c r="U299" s="3"/>
      <c r="V299" s="3"/>
      <c r="W299" s="3"/>
      <c r="X299" s="3"/>
    </row>
    <row r="300" spans="1:24" ht="14" thickBot="1">
      <c r="A300" s="40">
        <v>43983</v>
      </c>
      <c r="B300" s="41">
        <f t="array" aca="1" ref="B300" ca="1">IF(AND(A300 &gt; TODAY(), A300 &lt;= TODAY() + 7),
   INDEX(calculations!B:B, MATCH(143^143, calculations!B:B)),
   IF(ISNUMBER(MATCH(A300, calculations!A:A, 0)),
      INDEX(calculations!B:B, MATCH(A300, calculations!A:A, 0)),
      ""
   )
)</f>
        <v>10199.14</v>
      </c>
      <c r="C300" s="42">
        <f t="array" aca="1" ref="C300" ca="1">IF(B300&lt;&gt;"", IF(MATCH(A300, calculations!A:A, 0), INDEX(calculations!D:D, MATCH(A300, calculations!A:A, 0)), "No Match"),"")</f>
        <v>221372861711</v>
      </c>
      <c r="D300" s="43">
        <f t="shared" ca="1" si="30"/>
        <v>0.14478869571756792</v>
      </c>
      <c r="E300" s="43">
        <f t="shared" ca="1" si="22"/>
        <v>1.7434290221729612E-2</v>
      </c>
      <c r="F300" s="43">
        <f t="shared" ca="1" si="33"/>
        <v>0.16190928832412024</v>
      </c>
      <c r="G300" s="42">
        <f t="shared" ca="1" si="23"/>
        <v>2257812808791128.5</v>
      </c>
      <c r="H300" s="41">
        <f t="shared" ca="1" si="34"/>
        <v>7829.0095159898819</v>
      </c>
      <c r="I300" s="3"/>
      <c r="J300" s="43">
        <f t="shared" ca="1" si="32"/>
        <v>1</v>
      </c>
      <c r="K300" s="44" t="str">
        <f t="shared" ca="1" si="31"/>
        <v/>
      </c>
      <c r="L300" s="3"/>
      <c r="M300" s="45">
        <f t="shared" ca="1" si="24"/>
        <v>5293.8307979565088</v>
      </c>
      <c r="N300" s="47">
        <f t="shared" ca="1" si="25"/>
        <v>10364.188234023255</v>
      </c>
      <c r="O300" s="45">
        <f t="shared" ca="1" si="26"/>
        <v>4026.2414389398209</v>
      </c>
      <c r="P300" s="47">
        <f t="shared" ca="1" si="27"/>
        <v>11631.777593039942</v>
      </c>
      <c r="Q300" s="45">
        <f t="shared" ca="1" si="28"/>
        <v>2758.6520799231344</v>
      </c>
      <c r="R300" s="47">
        <f t="shared" ca="1" si="29"/>
        <v>12899.366952056629</v>
      </c>
      <c r="S300" s="73">
        <f t="shared" ca="1" si="35"/>
        <v>1</v>
      </c>
      <c r="T300" s="73"/>
      <c r="U300" s="3"/>
      <c r="V300" s="3"/>
      <c r="W300" s="3"/>
      <c r="X300" s="3"/>
    </row>
    <row r="301" spans="1:24" ht="14" thickBot="1">
      <c r="A301" s="40">
        <v>43990</v>
      </c>
      <c r="B301" s="41">
        <f t="array" aca="1" ref="B301" ca="1">IF(AND(A301 &gt; TODAY(), A301 &lt;= TODAY() + 7),
   INDEX(calculations!B:B, MATCH(143^143, calculations!B:B)),
   IF(ISNUMBER(MATCH(A301, calculations!A:A, 0)),
      INDEX(calculations!B:B, MATCH(A301, calculations!A:A, 0)),
      ""
   )
)</f>
        <v>9769.34</v>
      </c>
      <c r="C301" s="42">
        <f t="array" aca="1" ref="C301" ca="1">IF(B301&lt;&gt;"", IF(MATCH(A301, calculations!A:A, 0), INDEX(calculations!D:D, MATCH(A301, calculations!A:A, 0)), "No Match"),"")</f>
        <v>194228716225</v>
      </c>
      <c r="D301" s="43">
        <f t="shared" ca="1" si="30"/>
        <v>-4.2140807950474188E-2</v>
      </c>
      <c r="E301" s="43">
        <f t="shared" ca="1" si="22"/>
        <v>3.0129704273436824E-3</v>
      </c>
      <c r="F301" s="43">
        <f t="shared" ca="1" si="33"/>
        <v>0.16061746068950966</v>
      </c>
      <c r="G301" s="42">
        <f t="shared" ca="1" si="23"/>
        <v>1897486366565541.5</v>
      </c>
      <c r="H301" s="41">
        <f t="shared" ca="1" si="34"/>
        <v>7843.0219830262204</v>
      </c>
      <c r="I301" s="3"/>
      <c r="J301" s="43">
        <f t="shared" ca="1" si="32"/>
        <v>1</v>
      </c>
      <c r="K301" s="44" t="str">
        <f t="shared" ca="1" si="31"/>
        <v/>
      </c>
      <c r="L301" s="3"/>
      <c r="M301" s="45">
        <f t="shared" ca="1" si="24"/>
        <v>5323.5694329348726</v>
      </c>
      <c r="N301" s="47">
        <f t="shared" ca="1" si="25"/>
        <v>10362.474533117569</v>
      </c>
      <c r="O301" s="45">
        <f t="shared" ca="1" si="26"/>
        <v>4063.8431578891982</v>
      </c>
      <c r="P301" s="47">
        <f t="shared" ca="1" si="27"/>
        <v>11622.200808163243</v>
      </c>
      <c r="Q301" s="45">
        <f t="shared" ca="1" si="28"/>
        <v>2804.1168828435243</v>
      </c>
      <c r="R301" s="47">
        <f t="shared" ca="1" si="29"/>
        <v>12881.927083208917</v>
      </c>
      <c r="S301" s="73">
        <f t="shared" ca="1" si="35"/>
        <v>1</v>
      </c>
      <c r="T301" s="73"/>
      <c r="U301" s="3"/>
      <c r="V301" s="3"/>
      <c r="W301" s="3"/>
      <c r="X301" s="3"/>
    </row>
    <row r="302" spans="1:24" ht="14" thickBot="1">
      <c r="A302" s="40">
        <v>43997</v>
      </c>
      <c r="B302" s="41">
        <f t="array" aca="1" ref="B302" ca="1">IF(AND(A302 &gt; TODAY(), A302 &lt;= TODAY() + 7),
   INDEX(calculations!B:B, MATCH(143^143, calculations!B:B)),
   IF(ISNUMBER(MATCH(A302, calculations!A:A, 0)),
      INDEX(calculations!B:B, MATCH(A302, calculations!A:A, 0)),
      ""
   )
)</f>
        <v>9441.3799999999992</v>
      </c>
      <c r="C302" s="42">
        <f t="array" aca="1" ref="C302" ca="1">IF(B302&lt;&gt;"", IF(MATCH(A302, calculations!A:A, 0), INDEX(calculations!D:D, MATCH(A302, calculations!A:A, 0)), "No Match"),"")</f>
        <v>160324519712</v>
      </c>
      <c r="D302" s="43">
        <f t="shared" ca="1" si="30"/>
        <v>-3.3570333308084371E-2</v>
      </c>
      <c r="E302" s="43">
        <f t="shared" ca="1" si="22"/>
        <v>2.1455476495636948E-3</v>
      </c>
      <c r="F302" s="43">
        <f t="shared" ca="1" si="33"/>
        <v>0.1569050466189747</v>
      </c>
      <c r="G302" s="42">
        <f t="shared" ca="1" si="23"/>
        <v>1513684713918482.5</v>
      </c>
      <c r="H302" s="41">
        <f t="shared" ca="1" si="34"/>
        <v>7906.9851299582388</v>
      </c>
      <c r="I302" s="3"/>
      <c r="J302" s="43">
        <f t="shared" ca="1" si="32"/>
        <v>1</v>
      </c>
      <c r="K302" s="44" t="str">
        <f t="shared" ca="1" si="31"/>
        <v/>
      </c>
      <c r="L302" s="3"/>
      <c r="M302" s="45">
        <f t="shared" ca="1" si="24"/>
        <v>5425.693389094964</v>
      </c>
      <c r="N302" s="47">
        <f t="shared" ca="1" si="25"/>
        <v>10388.276870821514</v>
      </c>
      <c r="O302" s="45">
        <f t="shared" ca="1" si="26"/>
        <v>4185.0475186633275</v>
      </c>
      <c r="P302" s="47">
        <f t="shared" ca="1" si="27"/>
        <v>11628.922741253149</v>
      </c>
      <c r="Q302" s="45">
        <f t="shared" ca="1" si="28"/>
        <v>2944.4016482316902</v>
      </c>
      <c r="R302" s="47">
        <f t="shared" ca="1" si="29"/>
        <v>12869.568611684788</v>
      </c>
      <c r="S302" s="73">
        <f t="shared" ca="1" si="35"/>
        <v>1</v>
      </c>
      <c r="T302" s="73"/>
      <c r="U302" s="3"/>
      <c r="V302" s="3"/>
      <c r="W302" s="3"/>
      <c r="X302" s="3"/>
    </row>
    <row r="303" spans="1:24" ht="14" thickBot="1">
      <c r="A303" s="40">
        <v>44004</v>
      </c>
      <c r="B303" s="41">
        <f t="array" aca="1" ref="B303" ca="1">IF(AND(A303 &gt; TODAY(), A303 &lt;= TODAY() + 7),
   INDEX(calculations!B:B, MATCH(143^143, calculations!B:B)),
   IF(ISNUMBER(MATCH(A303, calculations!A:A, 0)),
      INDEX(calculations!B:B, MATCH(A303, calculations!A:A, 0)),
      ""
   )
)</f>
        <v>9684.6200000000008</v>
      </c>
      <c r="C303" s="42">
        <f t="array" aca="1" ref="C303" ca="1">IF(B303&lt;&gt;"", IF(MATCH(A303, calculations!A:A, 0), INDEX(calculations!D:D, MATCH(A303, calculations!A:A, 0)), "No Match"),"")</f>
        <v>138300100692</v>
      </c>
      <c r="D303" s="43">
        <f t="shared" ca="1" si="30"/>
        <v>2.5763182924530271E-2</v>
      </c>
      <c r="E303" s="43">
        <f t="shared" ca="1" si="22"/>
        <v>1.6935012988566488E-4</v>
      </c>
      <c r="F303" s="43">
        <f t="shared" ca="1" si="33"/>
        <v>0.10976078279065489</v>
      </c>
      <c r="G303" s="42">
        <f t="shared" ca="1" si="23"/>
        <v>1339383921163757.2</v>
      </c>
      <c r="H303" s="41">
        <f t="shared" ca="1" si="34"/>
        <v>8238.5888794440889</v>
      </c>
      <c r="I303" s="3"/>
      <c r="J303" s="43">
        <f t="shared" ca="1" si="32"/>
        <v>1</v>
      </c>
      <c r="K303" s="44" t="str">
        <f t="shared" ca="1" si="31"/>
        <v/>
      </c>
      <c r="L303" s="3"/>
      <c r="M303" s="45">
        <f t="shared" ca="1" si="24"/>
        <v>6430.0409504477539</v>
      </c>
      <c r="N303" s="47">
        <f t="shared" ca="1" si="25"/>
        <v>10047.136808440424</v>
      </c>
      <c r="O303" s="45">
        <f t="shared" ca="1" si="26"/>
        <v>5525.7669859495863</v>
      </c>
      <c r="P303" s="47">
        <f t="shared" ca="1" si="27"/>
        <v>10951.410772938592</v>
      </c>
      <c r="Q303" s="45">
        <f t="shared" ca="1" si="28"/>
        <v>4621.4930214514197</v>
      </c>
      <c r="R303" s="47">
        <f t="shared" ca="1" si="29"/>
        <v>11855.684737436759</v>
      </c>
      <c r="S303" s="73">
        <f t="shared" ca="1" si="35"/>
        <v>1</v>
      </c>
      <c r="T303" s="73"/>
      <c r="U303" s="3"/>
      <c r="V303" s="3"/>
      <c r="W303" s="3"/>
      <c r="X303" s="3"/>
    </row>
    <row r="304" spans="1:24" ht="14" thickBot="1">
      <c r="A304" s="40">
        <v>44011</v>
      </c>
      <c r="B304" s="41">
        <f t="array" aca="1" ref="B304" ca="1">IF(AND(A304 &gt; TODAY(), A304 &lt;= TODAY() + 7),
   INDEX(calculations!B:B, MATCH(143^143, calculations!B:B)),
   IF(ISNUMBER(MATCH(A304, calculations!A:A, 0)),
      INDEX(calculations!B:B, MATCH(A304, calculations!A:A, 0)),
      ""
   )
)</f>
        <v>9184.25</v>
      </c>
      <c r="C304" s="42">
        <f t="array" aca="1" ref="C304" ca="1">IF(B304&lt;&gt;"", IF(MATCH(A304, calculations!A:A, 0), INDEX(calculations!D:D, MATCH(A304, calculations!A:A, 0)), "No Match"),"")</f>
        <v>125863637229</v>
      </c>
      <c r="D304" s="43">
        <f t="shared" ca="1" si="30"/>
        <v>-5.1666456711776068E-2</v>
      </c>
      <c r="E304" s="43">
        <f t="shared" ca="1" si="22"/>
        <v>4.1494442548018788E-3</v>
      </c>
      <c r="F304" s="43">
        <f t="shared" ca="1" si="33"/>
        <v>8.8228111912244916E-2</v>
      </c>
      <c r="G304" s="42">
        <f t="shared" ca="1" si="23"/>
        <v>1155963110220443.2</v>
      </c>
      <c r="H304" s="41">
        <f t="shared" ca="1" si="34"/>
        <v>8433.1015590838415</v>
      </c>
      <c r="I304" s="3"/>
      <c r="J304" s="43">
        <f t="shared" ca="1" si="32"/>
        <v>1</v>
      </c>
      <c r="K304" s="44" t="str">
        <f t="shared" ca="1" si="31"/>
        <v/>
      </c>
      <c r="L304" s="3"/>
      <c r="M304" s="45">
        <f t="shared" ca="1" si="24"/>
        <v>6945.0283028394897</v>
      </c>
      <c r="N304" s="47">
        <f t="shared" ca="1" si="25"/>
        <v>9921.1748153281933</v>
      </c>
      <c r="O304" s="45">
        <f t="shared" ca="1" si="26"/>
        <v>6200.9916747173129</v>
      </c>
      <c r="P304" s="47">
        <f t="shared" ca="1" si="27"/>
        <v>10665.211443450371</v>
      </c>
      <c r="Q304" s="45">
        <f t="shared" ca="1" si="28"/>
        <v>5456.9550465951361</v>
      </c>
      <c r="R304" s="47">
        <f t="shared" ca="1" si="29"/>
        <v>11409.248071572545</v>
      </c>
      <c r="S304" s="73">
        <f t="shared" ca="1" si="35"/>
        <v>1</v>
      </c>
      <c r="T304" s="73"/>
      <c r="U304" s="3"/>
      <c r="V304" s="3"/>
      <c r="W304" s="3"/>
      <c r="X304" s="3"/>
    </row>
    <row r="305" spans="1:24" ht="14" thickBot="1">
      <c r="A305" s="40">
        <v>44018</v>
      </c>
      <c r="B305" s="41">
        <f t="array" aca="1" ref="B305" ca="1">IF(AND(A305 &gt; TODAY(), A305 &lt;= TODAY() + 7),
   INDEX(calculations!B:B, MATCH(143^143, calculations!B:B)),
   IF(ISNUMBER(MATCH(A305, calculations!A:A, 0)),
      INDEX(calculations!B:B, MATCH(A305, calculations!A:A, 0)),
      ""
   )
)</f>
        <v>9338.94</v>
      </c>
      <c r="C305" s="42">
        <f t="array" aca="1" ref="C305" ca="1">IF(B305&lt;&gt;"", IF(MATCH(A305, calculations!A:A, 0), INDEX(calculations!D:D, MATCH(A305, calculations!A:A, 0)), "No Match"),"")</f>
        <v>102779717630</v>
      </c>
      <c r="D305" s="43">
        <f t="shared" ca="1" si="30"/>
        <v>1.6842964858317284E-2</v>
      </c>
      <c r="E305" s="43">
        <f t="shared" ca="1" si="22"/>
        <v>1.6754625978644749E-5</v>
      </c>
      <c r="F305" s="43">
        <f t="shared" ca="1" si="33"/>
        <v>8.7695644000319636E-2</v>
      </c>
      <c r="G305" s="42">
        <f t="shared" ca="1" si="23"/>
        <v>959853616163512.25</v>
      </c>
      <c r="H305" s="41">
        <f t="shared" ca="1" si="34"/>
        <v>8630.0787541190912</v>
      </c>
      <c r="I305" s="3"/>
      <c r="J305" s="43">
        <f t="shared" ca="1" si="32"/>
        <v>1</v>
      </c>
      <c r="K305" s="44" t="str">
        <f t="shared" ca="1" si="31"/>
        <v/>
      </c>
      <c r="L305" s="3"/>
      <c r="M305" s="45">
        <f t="shared" ca="1" si="24"/>
        <v>7116.4381258871908</v>
      </c>
      <c r="N305" s="47">
        <f t="shared" ca="1" si="25"/>
        <v>10143.71938235099</v>
      </c>
      <c r="O305" s="45">
        <f t="shared" ca="1" si="26"/>
        <v>6359.6178117712416</v>
      </c>
      <c r="P305" s="47">
        <f t="shared" ca="1" si="27"/>
        <v>10900.539696466942</v>
      </c>
      <c r="Q305" s="45">
        <f t="shared" ca="1" si="28"/>
        <v>5602.7974976552914</v>
      </c>
      <c r="R305" s="47">
        <f t="shared" ca="1" si="29"/>
        <v>11657.360010582892</v>
      </c>
      <c r="S305" s="73">
        <f t="shared" ca="1" si="35"/>
        <v>1</v>
      </c>
      <c r="T305" s="73"/>
      <c r="U305" s="3"/>
      <c r="V305" s="3"/>
      <c r="W305" s="3"/>
      <c r="X305" s="3"/>
    </row>
    <row r="306" spans="1:24" ht="14" thickBot="1">
      <c r="A306" s="40">
        <v>44025</v>
      </c>
      <c r="B306" s="41">
        <f t="array" aca="1" ref="B306" ca="1">IF(AND(A306 &gt; TODAY(), A306 &lt;= TODAY() + 7),
   INDEX(calculations!B:B, MATCH(143^143, calculations!B:B)),
   IF(ISNUMBER(MATCH(A306, calculations!A:A, 0)),
      INDEX(calculations!B:B, MATCH(A306, calculations!A:A, 0)),
      ""
   )
)</f>
        <v>9236.6200000000008</v>
      </c>
      <c r="C306" s="42">
        <f t="array" aca="1" ref="C306" ca="1">IF(B306&lt;&gt;"", IF(MATCH(A306, calculations!A:A, 0), INDEX(calculations!D:D, MATCH(A306, calculations!A:A, 0)), "No Match"),"")</f>
        <v>113994286210</v>
      </c>
      <c r="D306" s="43">
        <f t="shared" ca="1" si="30"/>
        <v>-1.0956275551615035E-2</v>
      </c>
      <c r="E306" s="43">
        <f t="shared" ca="1" si="22"/>
        <v>5.6197438431005299E-4</v>
      </c>
      <c r="F306" s="43">
        <f t="shared" ca="1" si="33"/>
        <v>8.2967429836448767E-2</v>
      </c>
      <c r="G306" s="42">
        <f t="shared" ca="1" si="23"/>
        <v>1052921903893010.2</v>
      </c>
      <c r="H306" s="41">
        <f t="shared" ca="1" si="34"/>
        <v>8764.4123384243157</v>
      </c>
      <c r="I306" s="3"/>
      <c r="J306" s="43">
        <f t="shared" ca="1" si="32"/>
        <v>1</v>
      </c>
      <c r="K306" s="44" t="str">
        <f t="shared" ca="1" si="31"/>
        <v/>
      </c>
      <c r="L306" s="3"/>
      <c r="M306" s="45">
        <f t="shared" ca="1" si="24"/>
        <v>7310.0908069324651</v>
      </c>
      <c r="N306" s="47">
        <f t="shared" ca="1" si="25"/>
        <v>10218.733869916166</v>
      </c>
      <c r="O306" s="45">
        <f t="shared" ca="1" si="26"/>
        <v>6582.9300411865406</v>
      </c>
      <c r="P306" s="47">
        <f t="shared" ca="1" si="27"/>
        <v>10945.894635662091</v>
      </c>
      <c r="Q306" s="45">
        <f t="shared" ca="1" si="28"/>
        <v>5855.7692754406144</v>
      </c>
      <c r="R306" s="47">
        <f t="shared" ca="1" si="29"/>
        <v>11673.055401408017</v>
      </c>
      <c r="S306" s="73">
        <f t="shared" ca="1" si="35"/>
        <v>1</v>
      </c>
      <c r="T306" s="73"/>
      <c r="U306" s="3"/>
      <c r="V306" s="3"/>
      <c r="W306" s="3"/>
      <c r="X306" s="3"/>
    </row>
    <row r="307" spans="1:24" ht="14" thickBot="1">
      <c r="A307" s="40">
        <v>44032</v>
      </c>
      <c r="B307" s="41">
        <f t="array" aca="1" ref="B307" ca="1">IF(AND(A307 &gt; TODAY(), A307 &lt;= TODAY() + 7),
   INDEX(calculations!B:B, MATCH(143^143, calculations!B:B)),
   IF(ISNUMBER(MATCH(A307, calculations!A:A, 0)),
      INDEX(calculations!B:B, MATCH(A307, calculations!A:A, 0)),
      ""
   )
)</f>
        <v>9167.19</v>
      </c>
      <c r="C307" s="42">
        <f t="array" aca="1" ref="C307" ca="1">IF(B307&lt;&gt;"", IF(MATCH(A307, calculations!A:A, 0), INDEX(calculations!D:D, MATCH(A307, calculations!A:A, 0)), "No Match"),"")</f>
        <v>106299733734</v>
      </c>
      <c r="D307" s="43">
        <f t="shared" ca="1" si="30"/>
        <v>-7.5168189229393749E-3</v>
      </c>
      <c r="E307" s="43">
        <f t="shared" ca="1" si="22"/>
        <v>4.107327360314158E-4</v>
      </c>
      <c r="F307" s="43">
        <f t="shared" ca="1" si="33"/>
        <v>8.0249972772587858E-2</v>
      </c>
      <c r="G307" s="42">
        <f t="shared" ca="1" si="23"/>
        <v>974469856088987.5</v>
      </c>
      <c r="H307" s="41">
        <f t="shared" ca="1" si="34"/>
        <v>8957.489161586429</v>
      </c>
      <c r="I307" s="3"/>
      <c r="J307" s="43">
        <f t="shared" ca="1" si="32"/>
        <v>1</v>
      </c>
      <c r="K307" s="44" t="str">
        <f t="shared" ca="1" si="31"/>
        <v/>
      </c>
      <c r="L307" s="3"/>
      <c r="M307" s="45">
        <f t="shared" ca="1" si="24"/>
        <v>7519.8126389303061</v>
      </c>
      <c r="N307" s="47">
        <f t="shared" ca="1" si="25"/>
        <v>10395.165684242553</v>
      </c>
      <c r="O307" s="45">
        <f t="shared" ca="1" si="26"/>
        <v>6800.9743776022433</v>
      </c>
      <c r="P307" s="47">
        <f t="shared" ca="1" si="27"/>
        <v>11114.003945570614</v>
      </c>
      <c r="Q307" s="45">
        <f t="shared" ca="1" si="28"/>
        <v>6082.1361162741823</v>
      </c>
      <c r="R307" s="47">
        <f t="shared" ca="1" si="29"/>
        <v>11832.842206898675</v>
      </c>
      <c r="S307" s="73">
        <f t="shared" ca="1" si="35"/>
        <v>1</v>
      </c>
      <c r="T307" s="73"/>
      <c r="U307" s="3"/>
      <c r="V307" s="3"/>
      <c r="W307" s="3"/>
      <c r="X307" s="3"/>
    </row>
    <row r="308" spans="1:24" ht="14" thickBot="1">
      <c r="A308" s="40">
        <v>44039</v>
      </c>
      <c r="B308" s="41">
        <f t="array" aca="1" ref="B308" ca="1">IF(AND(A308 &gt; TODAY(), A308 &lt;= TODAY() + 7),
   INDEX(calculations!B:B, MATCH(143^143, calculations!B:B)),
   IF(ISNUMBER(MATCH(A308, calculations!A:A, 0)),
      INDEX(calculations!B:B, MATCH(A308, calculations!A:A, 0)),
      ""
   )
)</f>
        <v>11046.51</v>
      </c>
      <c r="C308" s="42">
        <f t="array" aca="1" ref="C308" ca="1">IF(B308&lt;&gt;"", IF(MATCH(A308, calculations!A:A, 0), INDEX(calculations!D:D, MATCH(A308, calculations!A:A, 0)), "No Match"),"")</f>
        <v>120174678243</v>
      </c>
      <c r="D308" s="43">
        <f t="shared" ca="1" si="30"/>
        <v>0.20500502334957599</v>
      </c>
      <c r="E308" s="43">
        <f t="shared" ca="1" si="22"/>
        <v>3.6962100374790995E-2</v>
      </c>
      <c r="F308" s="43">
        <f t="shared" ca="1" si="33"/>
        <v>9.3189879027274297E-2</v>
      </c>
      <c r="G308" s="42">
        <f t="shared" ca="1" si="23"/>
        <v>1327510784958082</v>
      </c>
      <c r="H308" s="41">
        <f t="shared" ca="1" si="34"/>
        <v>9234.31074485928</v>
      </c>
      <c r="I308" s="3"/>
      <c r="J308" s="43">
        <f t="shared" ca="1" si="32"/>
        <v>-0.60827654089281114</v>
      </c>
      <c r="K308" s="44">
        <f t="shared" ca="1" si="31"/>
        <v>-2</v>
      </c>
      <c r="L308" s="3"/>
      <c r="M308" s="45">
        <f t="shared" ca="1" si="24"/>
        <v>7513.2221424318896</v>
      </c>
      <c r="N308" s="47">
        <f t="shared" ca="1" si="25"/>
        <v>10955.399347286671</v>
      </c>
      <c r="O308" s="45">
        <f t="shared" ca="1" si="26"/>
        <v>6652.677841218193</v>
      </c>
      <c r="P308" s="47">
        <f t="shared" ca="1" si="27"/>
        <v>11815.943648500366</v>
      </c>
      <c r="Q308" s="45">
        <f t="shared" ca="1" si="28"/>
        <v>5792.1335400044982</v>
      </c>
      <c r="R308" s="47">
        <f t="shared" ca="1" si="29"/>
        <v>12676.487949714061</v>
      </c>
      <c r="S308" s="73">
        <f t="shared" ca="1" si="35"/>
        <v>-0.60827654089281114</v>
      </c>
      <c r="T308" s="73"/>
      <c r="U308" s="3"/>
      <c r="V308" s="3"/>
      <c r="W308" s="3"/>
      <c r="X308" s="3"/>
    </row>
    <row r="309" spans="1:24" ht="14" thickBot="1">
      <c r="A309" s="40">
        <v>44046</v>
      </c>
      <c r="B309" s="41">
        <f t="array" aca="1" ref="B309" ca="1">IF(AND(A309 &gt; TODAY(), A309 &lt;= TODAY() + 7),
   INDEX(calculations!B:B, MATCH(143^143, calculations!B:B)),
   IF(ISNUMBER(MATCH(A309, calculations!A:A, 0)),
      INDEX(calculations!B:B, MATCH(A309, calculations!A:A, 0)),
      ""
   )
)</f>
        <v>11236.1</v>
      </c>
      <c r="C309" s="42">
        <f t="array" aca="1" ref="C309" ca="1">IF(B309&lt;&gt;"", IF(MATCH(A309, calculations!A:A, 0), INDEX(calculations!D:D, MATCH(A309, calculations!A:A, 0)), "No Match"),"")</f>
        <v>188247005753</v>
      </c>
      <c r="D309" s="43">
        <f t="shared" ca="1" si="30"/>
        <v>1.716288673979385E-2</v>
      </c>
      <c r="E309" s="43">
        <f t="shared" ca="1" si="22"/>
        <v>1.9476011033031545E-5</v>
      </c>
      <c r="F309" s="43">
        <f t="shared" ca="1" si="33"/>
        <v>8.9043676679804756E-2</v>
      </c>
      <c r="G309" s="42">
        <f t="shared" ca="1" si="23"/>
        <v>2115162181341283.2</v>
      </c>
      <c r="H309" s="41">
        <f t="shared" ca="1" si="34"/>
        <v>9504.2376898197526</v>
      </c>
      <c r="I309" s="3"/>
      <c r="J309" s="43">
        <f t="shared" ca="1" si="32"/>
        <v>-0.2284460653257773</v>
      </c>
      <c r="K309" s="44">
        <f t="shared" ca="1" si="31"/>
        <v>-2</v>
      </c>
      <c r="L309" s="3"/>
      <c r="M309" s="45">
        <f t="shared" ca="1" si="24"/>
        <v>7811.6531539391044</v>
      </c>
      <c r="N309" s="47">
        <f t="shared" ca="1" si="25"/>
        <v>11196.822225700402</v>
      </c>
      <c r="O309" s="45">
        <f t="shared" ca="1" si="26"/>
        <v>6965.3608859987789</v>
      </c>
      <c r="P309" s="47">
        <f t="shared" ca="1" si="27"/>
        <v>12043.114493640727</v>
      </c>
      <c r="Q309" s="45">
        <f t="shared" ca="1" si="28"/>
        <v>6119.0686180584544</v>
      </c>
      <c r="R309" s="47">
        <f t="shared" ca="1" si="29"/>
        <v>12889.406761581049</v>
      </c>
      <c r="S309" s="73">
        <f t="shared" ca="1" si="35"/>
        <v>-0.2284460653257773</v>
      </c>
      <c r="T309" s="73"/>
      <c r="U309" s="3"/>
      <c r="V309" s="3"/>
      <c r="W309" s="3"/>
      <c r="X309" s="3"/>
    </row>
    <row r="310" spans="1:24" ht="14" thickBot="1">
      <c r="A310" s="40">
        <v>44053</v>
      </c>
      <c r="B310" s="41">
        <f t="array" aca="1" ref="B310" ca="1">IF(AND(A310 &gt; TODAY(), A310 &lt;= TODAY() + 7),
   INDEX(calculations!B:B, MATCH(143^143, calculations!B:B)),
   IF(ISNUMBER(MATCH(A310, calculations!A:A, 0)),
      INDEX(calculations!B:B, MATCH(A310, calculations!A:A, 0)),
      ""
   )
)</f>
        <v>11870.37</v>
      </c>
      <c r="C310" s="42">
        <f t="array" aca="1" ref="C310" ca="1">IF(B310&lt;&gt;"", IF(MATCH(A310, calculations!A:A, 0), INDEX(calculations!D:D, MATCH(A310, calculations!A:A, 0)), "No Match"),"")</f>
        <v>147527884833</v>
      </c>
      <c r="D310" s="43">
        <f t="shared" ca="1" si="30"/>
        <v>5.6449301804006764E-2</v>
      </c>
      <c r="E310" s="43">
        <f t="shared" ca="1" si="22"/>
        <v>1.9096531563450876E-3</v>
      </c>
      <c r="F310" s="43">
        <f t="shared" ca="1" si="33"/>
        <v>8.3536552867447628E-2</v>
      </c>
      <c r="G310" s="42">
        <f t="shared" ca="1" si="23"/>
        <v>1751210578285098.2</v>
      </c>
      <c r="H310" s="41">
        <f t="shared" ca="1" si="34"/>
        <v>9720.8892988615426</v>
      </c>
      <c r="I310" s="3"/>
      <c r="J310" s="43">
        <f t="shared" ca="1" si="32"/>
        <v>-0.30151177164184606</v>
      </c>
      <c r="K310" s="44">
        <f t="shared" ca="1" si="31"/>
        <v>-2</v>
      </c>
      <c r="L310" s="3"/>
      <c r="M310" s="45">
        <f t="shared" ca="1" si="24"/>
        <v>8096.7901331956355</v>
      </c>
      <c r="N310" s="47">
        <f t="shared" ca="1" si="25"/>
        <v>11344.988464527449</v>
      </c>
      <c r="O310" s="45">
        <f t="shared" ca="1" si="26"/>
        <v>7284.7405503626833</v>
      </c>
      <c r="P310" s="47">
        <f t="shared" ca="1" si="27"/>
        <v>12157.0380473604</v>
      </c>
      <c r="Q310" s="45">
        <f t="shared" ca="1" si="28"/>
        <v>6472.6909675297302</v>
      </c>
      <c r="R310" s="47">
        <f t="shared" ca="1" si="29"/>
        <v>12969.087630193357</v>
      </c>
      <c r="S310" s="73">
        <f t="shared" ca="1" si="35"/>
        <v>-0.30151177164184606</v>
      </c>
      <c r="T310" s="73"/>
      <c r="U310" s="3"/>
      <c r="V310" s="3"/>
      <c r="W310" s="3"/>
      <c r="X310" s="3"/>
    </row>
    <row r="311" spans="1:24" ht="14" thickBot="1">
      <c r="A311" s="40">
        <v>44060</v>
      </c>
      <c r="B311" s="41">
        <f t="array" aca="1" ref="B311" ca="1">IF(AND(A311 &gt; TODAY(), A311 &lt;= TODAY() + 7),
   INDEX(calculations!B:B, MATCH(143^143, calculations!B:B)),
   IF(ISNUMBER(MATCH(A311, calculations!A:A, 0)),
      INDEX(calculations!B:B, MATCH(A311, calculations!A:A, 0)),
      ""
   )
)</f>
        <v>12315.76</v>
      </c>
      <c r="C311" s="42">
        <f t="array" aca="1" ref="C311" ca="1">IF(B311&lt;&gt;"", IF(MATCH(A311, calculations!A:A, 0), INDEX(calculations!D:D, MATCH(A311, calculations!A:A, 0)), "No Match"),"")</f>
        <v>173916901671</v>
      </c>
      <c r="D311" s="43">
        <f t="shared" ca="1" si="30"/>
        <v>3.7521155616884676E-2</v>
      </c>
      <c r="E311" s="43">
        <f t="shared" ca="1" si="22"/>
        <v>6.136238561487966E-4</v>
      </c>
      <c r="F311" s="43">
        <f t="shared" ca="1" si="33"/>
        <v>8.196662707407644E-2</v>
      </c>
      <c r="G311" s="42">
        <f t="shared" ca="1" si="23"/>
        <v>2141918820923635</v>
      </c>
      <c r="H311" s="41">
        <f t="shared" ca="1" si="34"/>
        <v>10083.985013154635</v>
      </c>
      <c r="I311" s="3"/>
      <c r="J311" s="43">
        <f t="shared" ca="1" si="32"/>
        <v>-0.26208555347423068</v>
      </c>
      <c r="K311" s="44">
        <f t="shared" ca="1" si="31"/>
        <v>-2</v>
      </c>
      <c r="L311" s="3"/>
      <c r="M311" s="45">
        <f t="shared" ca="1" si="24"/>
        <v>8430.8845351669916</v>
      </c>
      <c r="N311" s="47">
        <f t="shared" ca="1" si="25"/>
        <v>11737.085491142279</v>
      </c>
      <c r="O311" s="45">
        <f t="shared" ca="1" si="26"/>
        <v>7604.3342961731705</v>
      </c>
      <c r="P311" s="47">
        <f t="shared" ca="1" si="27"/>
        <v>12563.6357301361</v>
      </c>
      <c r="Q311" s="45">
        <f t="shared" ca="1" si="28"/>
        <v>6777.7840571793486</v>
      </c>
      <c r="R311" s="47">
        <f t="shared" ca="1" si="29"/>
        <v>13390.185969129921</v>
      </c>
      <c r="S311" s="73">
        <f t="shared" ca="1" si="35"/>
        <v>-0.26208555347423068</v>
      </c>
      <c r="T311" s="73"/>
      <c r="U311" s="3"/>
      <c r="V311" s="3"/>
      <c r="W311" s="3"/>
      <c r="X311" s="3"/>
    </row>
    <row r="312" spans="1:24" ht="14" thickBot="1">
      <c r="A312" s="40">
        <v>44067</v>
      </c>
      <c r="B312" s="41">
        <f t="array" aca="1" ref="B312" ca="1">IF(AND(A312 &gt; TODAY(), A312 &lt;= TODAY() + 7),
   INDEX(calculations!B:B, MATCH(143^143, calculations!B:B)),
   IF(ISNUMBER(MATCH(A312, calculations!A:A, 0)),
      INDEX(calculations!B:B, MATCH(A312, calculations!A:A, 0)),
      ""
   )
)</f>
        <v>11771.41</v>
      </c>
      <c r="C312" s="42">
        <f t="array" aca="1" ref="C312" ca="1">IF(B312&lt;&gt;"", IF(MATCH(A312, calculations!A:A, 0), INDEX(calculations!D:D, MATCH(A312, calculations!A:A, 0)), "No Match"),"")</f>
        <v>161417688724</v>
      </c>
      <c r="D312" s="43">
        <f t="shared" ca="1" si="30"/>
        <v>-4.4199464750855844E-2</v>
      </c>
      <c r="E312" s="43">
        <f t="shared" ca="1" si="22"/>
        <v>3.2432100262755862E-3</v>
      </c>
      <c r="F312" s="43">
        <f t="shared" ca="1" si="33"/>
        <v>7.8366216322400137E-2</v>
      </c>
      <c r="G312" s="42">
        <f t="shared" ca="1" si="23"/>
        <v>1900113795222580.8</v>
      </c>
      <c r="H312" s="41">
        <f t="shared" ca="1" si="34"/>
        <v>10260.542106805202</v>
      </c>
      <c r="I312" s="3"/>
      <c r="J312" s="43">
        <f t="shared" ca="1" si="32"/>
        <v>1</v>
      </c>
      <c r="K312" s="44" t="str">
        <f t="shared" ca="1" si="31"/>
        <v/>
      </c>
      <c r="L312" s="3"/>
      <c r="M312" s="45">
        <f t="shared" ca="1" si="24"/>
        <v>8652.3823821512178</v>
      </c>
      <c r="N312" s="47">
        <f t="shared" ca="1" si="25"/>
        <v>11868.701831459186</v>
      </c>
      <c r="O312" s="45">
        <f t="shared" ca="1" si="26"/>
        <v>7848.3025198242267</v>
      </c>
      <c r="P312" s="47">
        <f t="shared" ca="1" si="27"/>
        <v>12672.781693786177</v>
      </c>
      <c r="Q312" s="45">
        <f t="shared" ca="1" si="28"/>
        <v>7044.2226574972346</v>
      </c>
      <c r="R312" s="47">
        <f t="shared" ca="1" si="29"/>
        <v>13476.86155611317</v>
      </c>
      <c r="S312" s="73">
        <f t="shared" ca="1" si="35"/>
        <v>1</v>
      </c>
      <c r="T312" s="73"/>
      <c r="U312" s="3"/>
      <c r="V312" s="3"/>
      <c r="W312" s="3"/>
      <c r="X312" s="3"/>
    </row>
    <row r="313" spans="1:24" ht="14" thickBot="1">
      <c r="A313" s="40">
        <v>44074</v>
      </c>
      <c r="B313" s="41">
        <f t="array" aca="1" ref="B313" ca="1">IF(AND(A313 &gt; TODAY(), A313 &lt;= TODAY() + 7),
   INDEX(calculations!B:B, MATCH(143^143, calculations!B:B)),
   IF(ISNUMBER(MATCH(A313, calculations!A:A, 0)),
      INDEX(calculations!B:B, MATCH(A313, calculations!A:A, 0)),
      ""
   )
)</f>
        <v>11678.35</v>
      </c>
      <c r="C313" s="42">
        <f t="array" aca="1" ref="C313" ca="1">IF(B313&lt;&gt;"", IF(MATCH(A313, calculations!A:A, 0), INDEX(calculations!D:D, MATCH(A313, calculations!A:A, 0)), "No Match"),"")</f>
        <v>149742951013</v>
      </c>
      <c r="D313" s="43">
        <f t="shared" ca="1" si="30"/>
        <v>-7.9055949966910927E-3</v>
      </c>
      <c r="E313" s="43">
        <f t="shared" ca="1" si="22"/>
        <v>4.266421763400724E-4</v>
      </c>
      <c r="F313" s="43">
        <f t="shared" ca="1" si="33"/>
        <v>7.3339160773351966E-2</v>
      </c>
      <c r="G313" s="42">
        <f t="shared" ca="1" si="23"/>
        <v>1748750591962668.5</v>
      </c>
      <c r="H313" s="41">
        <f t="shared" ca="1" si="34"/>
        <v>10520.074641686158</v>
      </c>
      <c r="I313" s="3"/>
      <c r="J313" s="43">
        <f t="shared" ca="1" si="32"/>
        <v>1</v>
      </c>
      <c r="K313" s="44" t="str">
        <f t="shared" ca="1" si="31"/>
        <v/>
      </c>
      <c r="L313" s="3"/>
      <c r="M313" s="45">
        <f t="shared" ca="1" si="24"/>
        <v>8977.0077506975904</v>
      </c>
      <c r="N313" s="47">
        <f t="shared" ca="1" si="25"/>
        <v>12063.141532674728</v>
      </c>
      <c r="O313" s="45">
        <f t="shared" ca="1" si="26"/>
        <v>8205.4743052033064</v>
      </c>
      <c r="P313" s="47">
        <f t="shared" ca="1" si="27"/>
        <v>12834.674978169011</v>
      </c>
      <c r="Q313" s="45">
        <f t="shared" ca="1" si="28"/>
        <v>7433.9408597090223</v>
      </c>
      <c r="R313" s="47">
        <f t="shared" ca="1" si="29"/>
        <v>13606.208423663295</v>
      </c>
      <c r="S313" s="73">
        <f t="shared" ca="1" si="35"/>
        <v>1</v>
      </c>
      <c r="T313" s="73"/>
      <c r="U313" s="3"/>
      <c r="V313" s="3"/>
      <c r="W313" s="3"/>
      <c r="X313" s="3"/>
    </row>
    <row r="314" spans="1:24" ht="14" thickBot="1">
      <c r="A314" s="40">
        <v>44081</v>
      </c>
      <c r="B314" s="41">
        <f t="array" aca="1" ref="B314" ca="1">IF(AND(A314 &gt; TODAY(), A314 &lt;= TODAY() + 7),
   INDEX(calculations!B:B, MATCH(143^143, calculations!B:B)),
   IF(ISNUMBER(MATCH(A314, calculations!A:A, 0)),
      INDEX(calculations!B:B, MATCH(A314, calculations!A:A, 0)),
      ""
   )
)</f>
        <v>10367.879999999999</v>
      </c>
      <c r="C314" s="42">
        <f t="array" aca="1" ref="C314" ca="1">IF(B314&lt;&gt;"", IF(MATCH(A314, calculations!A:A, 0), INDEX(calculations!D:D, MATCH(A314, calculations!A:A, 0)), "No Match"),"")</f>
        <v>221515306287</v>
      </c>
      <c r="D314" s="43">
        <f t="shared" ca="1" si="30"/>
        <v>-0.11221362606875125</v>
      </c>
      <c r="E314" s="43">
        <f t="shared" ca="1" si="22"/>
        <v>1.5615838699991254E-2</v>
      </c>
      <c r="F314" s="43">
        <f t="shared" ca="1" si="33"/>
        <v>7.2351515073551809E-2</v>
      </c>
      <c r="G314" s="42">
        <f t="shared" ca="1" si="23"/>
        <v>2296644113746861.5</v>
      </c>
      <c r="H314" s="41">
        <f t="shared" ca="1" si="34"/>
        <v>10537.815548241279</v>
      </c>
      <c r="I314" s="3"/>
      <c r="J314" s="43">
        <f t="shared" ca="1" si="32"/>
        <v>1</v>
      </c>
      <c r="K314" s="44" t="str">
        <f t="shared" ca="1" si="31"/>
        <v/>
      </c>
      <c r="L314" s="3"/>
      <c r="M314" s="45">
        <f t="shared" ca="1" si="24"/>
        <v>9012.9617072795027</v>
      </c>
      <c r="N314" s="47">
        <f t="shared" ca="1" si="25"/>
        <v>12062.669389203054</v>
      </c>
      <c r="O314" s="45">
        <f t="shared" ca="1" si="26"/>
        <v>8250.5347867986166</v>
      </c>
      <c r="P314" s="47">
        <f t="shared" ca="1" si="27"/>
        <v>12825.09630968394</v>
      </c>
      <c r="Q314" s="45">
        <f t="shared" ca="1" si="28"/>
        <v>7488.1078663177286</v>
      </c>
      <c r="R314" s="47">
        <f t="shared" ca="1" si="29"/>
        <v>13587.523230164828</v>
      </c>
      <c r="S314" s="73">
        <f t="shared" ca="1" si="35"/>
        <v>1</v>
      </c>
      <c r="T314" s="73"/>
      <c r="U314" s="3"/>
      <c r="V314" s="3"/>
      <c r="W314" s="3"/>
      <c r="X314" s="3"/>
    </row>
    <row r="315" spans="1:24" ht="14" thickBot="1">
      <c r="A315" s="40">
        <v>44088</v>
      </c>
      <c r="B315" s="41">
        <f t="array" aca="1" ref="B315" ca="1">IF(AND(A315 &gt; TODAY(), A315 &lt;= TODAY() + 7),
   INDEX(calculations!B:B, MATCH(143^143, calculations!B:B)),
   IF(ISNUMBER(MATCH(A315, calculations!A:A, 0)),
      INDEX(calculations!B:B, MATCH(A315, calculations!A:A, 0)),
      ""
   )
)</f>
        <v>10662.72</v>
      </c>
      <c r="C315" s="42">
        <f t="array" aca="1" ref="C315" ca="1">IF(B315&lt;&gt;"", IF(MATCH(A315, calculations!A:A, 0), INDEX(calculations!D:D, MATCH(A315, calculations!A:A, 0)), "No Match"),"")</f>
        <v>264126813725</v>
      </c>
      <c r="D315" s="43">
        <f t="shared" ca="1" si="30"/>
        <v>2.8437829141541006E-2</v>
      </c>
      <c r="E315" s="43">
        <f t="shared" ca="1" si="22"/>
        <v>2.4611666307068625E-4</v>
      </c>
      <c r="F315" s="43">
        <f t="shared" ca="1" si="33"/>
        <v>7.1381385189166077E-2</v>
      </c>
      <c r="G315" s="42">
        <f t="shared" ca="1" si="23"/>
        <v>2816310259241832</v>
      </c>
      <c r="H315" s="41">
        <f t="shared" ca="1" si="34"/>
        <v>10621.638571254887</v>
      </c>
      <c r="I315" s="3"/>
      <c r="J315" s="43">
        <f t="shared" ca="1" si="32"/>
        <v>1</v>
      </c>
      <c r="K315" s="44" t="str">
        <f t="shared" ca="1" si="31"/>
        <v/>
      </c>
      <c r="L315" s="3"/>
      <c r="M315" s="45">
        <f t="shared" ca="1" si="24"/>
        <v>9105.264022865189</v>
      </c>
      <c r="N315" s="47">
        <f t="shared" ca="1" si="25"/>
        <v>12138.013119644584</v>
      </c>
      <c r="O315" s="45">
        <f t="shared" ca="1" si="26"/>
        <v>8347.0767486703407</v>
      </c>
      <c r="P315" s="47">
        <f t="shared" ca="1" si="27"/>
        <v>12896.200393839432</v>
      </c>
      <c r="Q315" s="45">
        <f t="shared" ca="1" si="28"/>
        <v>7588.8894744754916</v>
      </c>
      <c r="R315" s="47">
        <f t="shared" ca="1" si="29"/>
        <v>13654.387668034282</v>
      </c>
      <c r="S315" s="73">
        <f t="shared" ca="1" si="35"/>
        <v>1</v>
      </c>
      <c r="T315" s="73"/>
      <c r="U315" s="3"/>
      <c r="V315" s="3"/>
      <c r="W315" s="3"/>
      <c r="X315" s="3"/>
    </row>
    <row r="316" spans="1:24" ht="14" thickBot="1">
      <c r="A316" s="40">
        <v>44095</v>
      </c>
      <c r="B316" s="41">
        <f t="array" aca="1" ref="B316" ca="1">IF(AND(A316 &gt; TODAY(), A316 &lt;= TODAY() + 7),
   INDEX(calculations!B:B, MATCH(143^143, calculations!B:B)),
   IF(ISNUMBER(MATCH(A316, calculations!A:A, 0)),
      INDEX(calculations!B:B, MATCH(A316, calculations!A:A, 0)),
      ""
   )
)</f>
        <v>10455.379999999999</v>
      </c>
      <c r="C316" s="42">
        <f t="array" aca="1" ref="C316" ca="1">IF(B316&lt;&gt;"", IF(MATCH(A316, calculations!A:A, 0), INDEX(calculations!D:D, MATCH(A316, calculations!A:A, 0)), "No Match"),"")</f>
        <v>210690462551</v>
      </c>
      <c r="D316" s="43">
        <f t="shared" ca="1" si="30"/>
        <v>-1.944531976831429E-2</v>
      </c>
      <c r="E316" s="43">
        <f t="shared" ca="1" si="22"/>
        <v>1.0365208019152651E-3</v>
      </c>
      <c r="F316" s="43">
        <f t="shared" ca="1" si="33"/>
        <v>7.0838600127445042E-2</v>
      </c>
      <c r="G316" s="42">
        <f t="shared" ca="1" si="23"/>
        <v>2202848848346474.2</v>
      </c>
      <c r="H316" s="41">
        <f t="shared" ca="1" si="34"/>
        <v>10690.952375789589</v>
      </c>
      <c r="I316" s="3"/>
      <c r="J316" s="43">
        <f t="shared" ca="1" si="32"/>
        <v>1</v>
      </c>
      <c r="K316" s="44" t="str">
        <f t="shared" ca="1" si="31"/>
        <v/>
      </c>
      <c r="L316" s="3"/>
      <c r="M316" s="45">
        <f t="shared" ca="1" si="24"/>
        <v>9176.2881751293553</v>
      </c>
      <c r="N316" s="47">
        <f t="shared" ca="1" si="25"/>
        <v>12205.616576449824</v>
      </c>
      <c r="O316" s="45">
        <f t="shared" ca="1" si="26"/>
        <v>8418.9560747992382</v>
      </c>
      <c r="P316" s="47">
        <f t="shared" ca="1" si="27"/>
        <v>12962.948676779941</v>
      </c>
      <c r="Q316" s="45">
        <f t="shared" ca="1" si="28"/>
        <v>7661.6239744691211</v>
      </c>
      <c r="R316" s="47">
        <f t="shared" ca="1" si="29"/>
        <v>13720.280777110058</v>
      </c>
      <c r="S316" s="73">
        <f t="shared" ca="1" si="35"/>
        <v>1</v>
      </c>
      <c r="T316" s="73"/>
      <c r="U316" s="3"/>
      <c r="V316" s="3"/>
      <c r="W316" s="3"/>
      <c r="X316" s="3"/>
    </row>
    <row r="317" spans="1:24" ht="14" thickBot="1">
      <c r="A317" s="40">
        <v>44102</v>
      </c>
      <c r="B317" s="41">
        <f t="array" aca="1" ref="B317" ca="1">IF(AND(A317 &gt; TODAY(), A317 &lt;= TODAY() + 7),
   INDEX(calculations!B:B, MATCH(143^143, calculations!B:B)),
   IF(ISNUMBER(MATCH(A317, calculations!A:A, 0)),
      INDEX(calculations!B:B, MATCH(A317, calculations!A:A, 0)),
      ""
   )
)</f>
        <v>10727.38</v>
      </c>
      <c r="C317" s="42">
        <f t="array" aca="1" ref="C317" ca="1">IF(B317&lt;&gt;"", IF(MATCH(A317, calculations!A:A, 0), INDEX(calculations!D:D, MATCH(A317, calculations!A:A, 0)), "No Match"),"")</f>
        <v>263386919085</v>
      </c>
      <c r="D317" s="43">
        <f t="shared" ca="1" si="30"/>
        <v>2.6015314603582081E-2</v>
      </c>
      <c r="E317" s="43">
        <f t="shared" ca="1" si="22"/>
        <v>1.7597591109073208E-4</v>
      </c>
      <c r="F317" s="43">
        <f t="shared" ca="1" si="33"/>
        <v>7.0843079244789248E-2</v>
      </c>
      <c r="G317" s="42">
        <f t="shared" ca="1" si="23"/>
        <v>2825451568054047</v>
      </c>
      <c r="H317" s="41">
        <f t="shared" ca="1" si="34"/>
        <v>10754.267455372436</v>
      </c>
      <c r="I317" s="3"/>
      <c r="J317" s="43">
        <f t="shared" ca="1" si="32"/>
        <v>1</v>
      </c>
      <c r="K317" s="44" t="str">
        <f t="shared" ca="1" si="31"/>
        <v/>
      </c>
      <c r="L317" s="3"/>
      <c r="M317" s="45">
        <f t="shared" ca="1" si="24"/>
        <v>9230.5366122512205</v>
      </c>
      <c r="N317" s="47">
        <f t="shared" ca="1" si="25"/>
        <v>12277.998298493651</v>
      </c>
      <c r="O317" s="45">
        <f t="shared" ca="1" si="26"/>
        <v>8468.671190690613</v>
      </c>
      <c r="P317" s="47">
        <f t="shared" ca="1" si="27"/>
        <v>13039.863720054258</v>
      </c>
      <c r="Q317" s="45">
        <f t="shared" ca="1" si="28"/>
        <v>7706.8057691300055</v>
      </c>
      <c r="R317" s="47">
        <f t="shared" ca="1" si="29"/>
        <v>13801.729141614867</v>
      </c>
      <c r="S317" s="73">
        <f t="shared" ca="1" si="35"/>
        <v>1</v>
      </c>
      <c r="T317" s="73"/>
      <c r="U317" s="3"/>
      <c r="V317" s="3"/>
      <c r="W317" s="3"/>
      <c r="X317" s="3"/>
    </row>
    <row r="318" spans="1:24" ht="14" thickBot="1">
      <c r="A318" s="40">
        <v>44109</v>
      </c>
      <c r="B318" s="41">
        <f t="array" aca="1" ref="B318" ca="1">IF(AND(A318 &gt; TODAY(), A318 &lt;= TODAY() + 7),
   INDEX(calculations!B:B, MATCH(143^143, calculations!B:B)),
   IF(ISNUMBER(MATCH(A318, calculations!A:A, 0)),
      INDEX(calculations!B:B, MATCH(A318, calculations!A:A, 0)),
      ""
   )
)</f>
        <v>10772.64</v>
      </c>
      <c r="C318" s="42">
        <f t="array" aca="1" ref="C318" ca="1">IF(B318&lt;&gt;"", IF(MATCH(A318, calculations!A:A, 0), INDEX(calculations!D:D, MATCH(A318, calculations!A:A, 0)), "No Match"),"")</f>
        <v>343112501609</v>
      </c>
      <c r="D318" s="43">
        <f t="shared" ca="1" si="30"/>
        <v>4.2191103512693893E-3</v>
      </c>
      <c r="E318" s="43">
        <f t="shared" ca="1" si="22"/>
        <v>7.2771358273258552E-5</v>
      </c>
      <c r="F318" s="43">
        <f t="shared" ca="1" si="33"/>
        <v>6.8670267119225248E-2</v>
      </c>
      <c r="G318" s="42">
        <f t="shared" ca="1" si="23"/>
        <v>3696227459333177.5</v>
      </c>
      <c r="H318" s="41">
        <f t="shared" ca="1" si="34"/>
        <v>10833.705434090671</v>
      </c>
      <c r="I318" s="3"/>
      <c r="J318" s="43">
        <f t="shared" ca="1" si="32"/>
        <v>1</v>
      </c>
      <c r="K318" s="44" t="str">
        <f t="shared" ca="1" si="31"/>
        <v/>
      </c>
      <c r="L318" s="3"/>
      <c r="M318" s="45">
        <f t="shared" ca="1" si="24"/>
        <v>9345.7985419906545</v>
      </c>
      <c r="N318" s="47">
        <f t="shared" ca="1" si="25"/>
        <v>12321.612326190687</v>
      </c>
      <c r="O318" s="45">
        <f t="shared" ca="1" si="26"/>
        <v>8601.8450959406455</v>
      </c>
      <c r="P318" s="47">
        <f t="shared" ca="1" si="27"/>
        <v>13065.565772240696</v>
      </c>
      <c r="Q318" s="45">
        <f t="shared" ca="1" si="28"/>
        <v>7857.8916498906365</v>
      </c>
      <c r="R318" s="47">
        <f t="shared" ca="1" si="29"/>
        <v>13809.519218290705</v>
      </c>
      <c r="S318" s="73">
        <f t="shared" ca="1" si="35"/>
        <v>1</v>
      </c>
      <c r="T318" s="73"/>
      <c r="U318" s="3"/>
      <c r="V318" s="3"/>
      <c r="W318" s="3"/>
      <c r="X318" s="3"/>
    </row>
    <row r="319" spans="1:24" ht="14" thickBot="1">
      <c r="A319" s="40">
        <v>44116</v>
      </c>
      <c r="B319" s="41">
        <f t="array" aca="1" ref="B319" ca="1">IF(AND(A319 &gt; TODAY(), A319 &lt;= TODAY() + 7),
   INDEX(calculations!B:B, MATCH(143^143, calculations!B:B)),
   IF(ISNUMBER(MATCH(A319, calculations!A:A, 0)),
      INDEX(calculations!B:B, MATCH(A319, calculations!A:A, 0)),
      ""
   )
)</f>
        <v>11548.4</v>
      </c>
      <c r="C319" s="42">
        <f t="array" aca="1" ref="C319" ca="1">IF(B319&lt;&gt;"", IF(MATCH(A319, calculations!A:A, 0), INDEX(calculations!D:D, MATCH(A319, calculations!A:A, 0)), "No Match"),"")</f>
        <v>256921249410</v>
      </c>
      <c r="D319" s="43">
        <f t="shared" ca="1" si="30"/>
        <v>7.2012060182090956E-2</v>
      </c>
      <c r="E319" s="43">
        <f t="shared" ca="1" si="22"/>
        <v>3.5120245658335483E-3</v>
      </c>
      <c r="F319" s="43">
        <f t="shared" ca="1" si="33"/>
        <v>7.0435280638738093E-2</v>
      </c>
      <c r="G319" s="42">
        <f t="shared" ca="1" si="23"/>
        <v>2967029356686444</v>
      </c>
      <c r="H319" s="41">
        <f t="shared" ca="1" si="34"/>
        <v>10957.646107004546</v>
      </c>
      <c r="I319" s="3"/>
      <c r="J319" s="43">
        <f t="shared" ca="1" si="32"/>
        <v>1</v>
      </c>
      <c r="K319" s="44" t="str">
        <f ca="1">IF(J319=1,"",IF(B319="","",IF(AND(B319&lt;&gt;"",J319&lt;0),IF(AND(P319&gt;B319,B319&gt;N319),-2, IF(AND(R319&gt;B319,B319&gt;P319), -3,IF(B319&gt;R319, -4))),IF(AND(B319&lt;&gt;"",J319&gt;0),IF(AND(O319&lt;B319,B319&lt;M319),2, IF(AND(Q319&lt;B319,B319&lt;O319), 3,IF(B319&lt;Q319, 4)))))))</f>
        <v/>
      </c>
      <c r="L319" s="3"/>
      <c r="M319" s="45">
        <f t="shared" ca="1" si="24"/>
        <v>9414.0363496308637</v>
      </c>
      <c r="N319" s="47">
        <f t="shared" ca="1" si="25"/>
        <v>12501.255864378227</v>
      </c>
      <c r="O319" s="45">
        <f t="shared" ca="1" si="26"/>
        <v>8642.2314709440234</v>
      </c>
      <c r="P319" s="47">
        <f t="shared" ca="1" si="27"/>
        <v>13273.060743065071</v>
      </c>
      <c r="Q319" s="45">
        <f t="shared" ca="1" si="28"/>
        <v>7870.4265922571813</v>
      </c>
      <c r="R319" s="47">
        <f t="shared" ca="1" si="29"/>
        <v>14044.865621751911</v>
      </c>
      <c r="S319" s="73">
        <f t="shared" ca="1" si="35"/>
        <v>1</v>
      </c>
      <c r="T319" s="73"/>
      <c r="U319" s="3"/>
      <c r="V319" s="3"/>
      <c r="W319" s="3"/>
      <c r="X319" s="3"/>
    </row>
    <row r="320" spans="1:24" ht="14" thickBot="1">
      <c r="A320" s="40">
        <v>44123</v>
      </c>
      <c r="B320" s="41">
        <f t="array" aca="1" ref="B320" ca="1">IF(AND(A320 &gt; TODAY(), A320 &lt;= TODAY() + 7),
   INDEX(calculations!B:B, MATCH(143^143, calculations!B:B)),
   IF(ISNUMBER(MATCH(A320, calculations!A:A, 0)),
      INDEX(calculations!B:B, MATCH(A320, calculations!A:A, 0)),
      ""
   )
)</f>
        <v>11745.81</v>
      </c>
      <c r="C320" s="42">
        <f t="array" aca="1" ref="C320" ca="1">IF(B320&lt;&gt;"", IF(MATCH(A320, calculations!A:A, 0), INDEX(calculations!D:D, MATCH(A320, calculations!A:A, 0)), "No Match"),"")</f>
        <v>162045277956</v>
      </c>
      <c r="D320" s="43">
        <f t="shared" ca="1" si="30"/>
        <v>1.7094142911572154E-2</v>
      </c>
      <c r="E320" s="43">
        <f t="shared" ca="1" si="22"/>
        <v>1.8873981256106904E-5</v>
      </c>
      <c r="F320" s="43">
        <f t="shared" ca="1" si="33"/>
        <v>6.9961823527504949E-2</v>
      </c>
      <c r="G320" s="42">
        <f t="shared" ca="1" si="23"/>
        <v>1903353046268364.2</v>
      </c>
      <c r="H320" s="41">
        <f t="shared" ca="1" si="34"/>
        <v>11074.616390366878</v>
      </c>
      <c r="I320" s="3"/>
      <c r="J320" s="43">
        <f t="shared" ca="1" si="32"/>
        <v>1</v>
      </c>
      <c r="K320" s="44" t="str">
        <f t="shared" ca="1" si="31"/>
        <v/>
      </c>
      <c r="L320" s="3"/>
      <c r="M320" s="45">
        <f t="shared" ca="1" si="24"/>
        <v>9525.0156752915555</v>
      </c>
      <c r="N320" s="47">
        <f t="shared" ca="1" si="25"/>
        <v>12624.2171054422</v>
      </c>
      <c r="O320" s="45">
        <f t="shared" ca="1" si="26"/>
        <v>8750.2153177538949</v>
      </c>
      <c r="P320" s="47">
        <f t="shared" ca="1" si="27"/>
        <v>13399.017462979862</v>
      </c>
      <c r="Q320" s="45">
        <f t="shared" ca="1" si="28"/>
        <v>7975.4149602162324</v>
      </c>
      <c r="R320" s="47">
        <f t="shared" ca="1" si="29"/>
        <v>14173.817820517525</v>
      </c>
      <c r="S320" s="73">
        <f t="shared" ca="1" si="35"/>
        <v>1</v>
      </c>
      <c r="T320" s="73"/>
      <c r="U320" s="3"/>
      <c r="V320" s="3"/>
      <c r="W320" s="3"/>
      <c r="X320" s="3"/>
    </row>
    <row r="321" spans="1:24" ht="14" thickBot="1">
      <c r="A321" s="40">
        <v>44130</v>
      </c>
      <c r="B321" s="41">
        <f t="array" aca="1" ref="B321" ca="1">IF(AND(A321 &gt; TODAY(), A321 &lt;= TODAY() + 7),
   INDEX(calculations!B:B, MATCH(143^143, calculations!B:B)),
   IF(ISNUMBER(MATCH(A321, calculations!A:A, 0)),
      INDEX(calculations!B:B, MATCH(A321, calculations!A:A, 0)),
      ""
   )
)</f>
        <v>13080.66</v>
      </c>
      <c r="C321" s="42">
        <f t="array" aca="1" ref="C321" ca="1">IF(B321&lt;&gt;"", IF(MATCH(A321, calculations!A:A, 0), INDEX(calculations!D:D, MATCH(A321, calculations!A:A, 0)), "No Match"),"")</f>
        <v>210845277262</v>
      </c>
      <c r="D321" s="43">
        <f t="shared" ca="1" si="30"/>
        <v>0.1136447805643034</v>
      </c>
      <c r="E321" s="43">
        <f t="shared" ca="1" si="22"/>
        <v>1.017981256863181E-2</v>
      </c>
      <c r="F321" s="43">
        <f t="shared" ca="1" si="33"/>
        <v>7.3757183966808207E-2</v>
      </c>
      <c r="G321" s="42">
        <f t="shared" ca="1" si="23"/>
        <v>2757995384469953</v>
      </c>
      <c r="H321" s="41">
        <f t="shared" ca="1" si="34"/>
        <v>11292.360090433582</v>
      </c>
      <c r="I321" s="3"/>
      <c r="J321" s="43">
        <f t="shared" ca="1" si="32"/>
        <v>-0.40612336026179985</v>
      </c>
      <c r="K321" s="44">
        <f t="shared" ca="1" si="31"/>
        <v>-2</v>
      </c>
      <c r="L321" s="3"/>
      <c r="M321" s="45">
        <f t="shared" ca="1" si="24"/>
        <v>9626.574729214477</v>
      </c>
      <c r="N321" s="47">
        <f t="shared" ca="1" si="25"/>
        <v>12958.145451652686</v>
      </c>
      <c r="O321" s="45">
        <f t="shared" ca="1" si="26"/>
        <v>8793.6820486049237</v>
      </c>
      <c r="P321" s="47">
        <f t="shared" ca="1" si="27"/>
        <v>13791.03813226224</v>
      </c>
      <c r="Q321" s="45">
        <f t="shared" ca="1" si="28"/>
        <v>7960.7893679953713</v>
      </c>
      <c r="R321" s="47">
        <f t="shared" ca="1" si="29"/>
        <v>14623.930812871791</v>
      </c>
      <c r="S321" s="73">
        <f t="shared" ca="1" si="35"/>
        <v>-0.40612336026179985</v>
      </c>
      <c r="T321" s="73"/>
      <c r="U321" s="3"/>
      <c r="V321" s="3"/>
      <c r="W321" s="3"/>
      <c r="X321" s="3"/>
    </row>
    <row r="322" spans="1:24" ht="14" thickBot="1">
      <c r="A322" s="40">
        <v>44137</v>
      </c>
      <c r="B322" s="41">
        <f t="array" aca="1" ref="B322" ca="1">IF(AND(A322 &gt; TODAY(), A322 &lt;= TODAY() + 7),
   INDEX(calculations!B:B, MATCH(143^143, calculations!B:B)),
   IF(ISNUMBER(MATCH(A322, calculations!A:A, 0)),
      INDEX(calculations!B:B, MATCH(A322, calculations!A:A, 0)),
      ""
   )
)</f>
        <v>13595.56</v>
      </c>
      <c r="C322" s="42">
        <f t="array" aca="1" ref="C322" ca="1">IF(B322&lt;&gt;"", IF(MATCH(A322, calculations!A:A, 0), INDEX(calculations!D:D, MATCH(A322, calculations!A:A, 0)), "No Match"),"")</f>
        <v>240919962782</v>
      </c>
      <c r="D322" s="43">
        <f t="shared" ca="1" si="30"/>
        <v>3.9363457195584907E-2</v>
      </c>
      <c r="E322" s="43">
        <f t="shared" ca="1" si="22"/>
        <v>7.0829082876952229E-4</v>
      </c>
      <c r="F322" s="43">
        <f t="shared" ca="1" si="33"/>
        <v>5.3782096072892679E-2</v>
      </c>
      <c r="G322" s="42">
        <f t="shared" ca="1" si="23"/>
        <v>3275441809200448</v>
      </c>
      <c r="H322" s="41">
        <f t="shared" ca="1" si="34"/>
        <v>11487.53395821013</v>
      </c>
      <c r="I322" s="3"/>
      <c r="J322" s="43">
        <f t="shared" ca="1" si="32"/>
        <v>-0.27694908282603231</v>
      </c>
      <c r="K322" s="44">
        <f t="shared" ca="1" si="31"/>
        <v>-3</v>
      </c>
      <c r="L322" s="3"/>
      <c r="M322" s="45">
        <f t="shared" ca="1" si="24"/>
        <v>10251.886648247981</v>
      </c>
      <c r="N322" s="47">
        <f t="shared" ca="1" si="25"/>
        <v>12723.181268172277</v>
      </c>
      <c r="O322" s="45">
        <f t="shared" ca="1" si="26"/>
        <v>9634.0629932669071</v>
      </c>
      <c r="P322" s="47">
        <f t="shared" ca="1" si="27"/>
        <v>13341.004923153352</v>
      </c>
      <c r="Q322" s="45">
        <f t="shared" ca="1" si="28"/>
        <v>9016.2393382858318</v>
      </c>
      <c r="R322" s="47">
        <f t="shared" ca="1" si="29"/>
        <v>13958.828578134428</v>
      </c>
      <c r="S322" s="73">
        <f t="shared" ca="1" si="35"/>
        <v>-0.27694908282603231</v>
      </c>
      <c r="T322" s="73"/>
      <c r="U322" s="3"/>
      <c r="V322" s="3"/>
      <c r="W322" s="3"/>
      <c r="X322" s="3"/>
    </row>
    <row r="323" spans="1:24" ht="14" thickBot="1">
      <c r="A323" s="40">
        <v>44144</v>
      </c>
      <c r="B323" s="41">
        <f t="array" aca="1" ref="B323" ca="1">IF(AND(A323 &gt; TODAY(), A323 &lt;= TODAY() + 7),
   INDEX(calculations!B:B, MATCH(143^143, calculations!B:B)),
   IF(ISNUMBER(MATCH(A323, calculations!A:A, 0)),
      INDEX(calculations!B:B, MATCH(A323, calculations!A:A, 0)),
      ""
   )
)</f>
        <v>15319.82</v>
      </c>
      <c r="C323" s="42">
        <f t="array" aca="1" ref="C323" ca="1">IF(B323&lt;&gt;"", IF(MATCH(A323, calculations!A:A, 0), INDEX(calculations!D:D, MATCH(A323, calculations!A:A, 0)), "No Match"),"")</f>
        <v>238108964192</v>
      </c>
      <c r="D323" s="43">
        <f t="shared" ca="1" si="30"/>
        <v>0.12682522823627715</v>
      </c>
      <c r="E323" s="43">
        <f t="shared" ca="1" si="22"/>
        <v>1.3013220813198303E-2</v>
      </c>
      <c r="F323" s="43">
        <f t="shared" ca="1" si="33"/>
        <v>6.1368660657794338E-2</v>
      </c>
      <c r="G323" s="42">
        <f t="shared" ca="1" si="23"/>
        <v>3647786471807885.5</v>
      </c>
      <c r="H323" s="41">
        <f t="shared" ca="1" si="34"/>
        <v>11802.824906961312</v>
      </c>
      <c r="I323" s="3"/>
      <c r="J323" s="43">
        <f t="shared" ca="1" si="32"/>
        <v>-0.67374618876928782</v>
      </c>
      <c r="K323" s="44">
        <f t="shared" ca="1" si="31"/>
        <v>-4</v>
      </c>
      <c r="L323" s="3"/>
      <c r="M323" s="45">
        <f t="shared" ca="1" si="24"/>
        <v>10354.177793923969</v>
      </c>
      <c r="N323" s="47">
        <f t="shared" ca="1" si="25"/>
        <v>13251.472019998655</v>
      </c>
      <c r="O323" s="45">
        <f t="shared" ca="1" si="26"/>
        <v>9629.8542374052959</v>
      </c>
      <c r="P323" s="47">
        <f t="shared" ca="1" si="27"/>
        <v>13975.795576517328</v>
      </c>
      <c r="Q323" s="45">
        <f t="shared" ca="1" si="28"/>
        <v>8905.5306808866244</v>
      </c>
      <c r="R323" s="47">
        <f t="shared" ca="1" si="29"/>
        <v>14700.119133036</v>
      </c>
      <c r="S323" s="73">
        <f t="shared" ca="1" si="35"/>
        <v>-0.67374618876928782</v>
      </c>
      <c r="T323" s="73"/>
      <c r="U323" s="3"/>
      <c r="V323" s="3"/>
      <c r="W323" s="3"/>
      <c r="X323" s="3"/>
    </row>
    <row r="324" spans="1:24" ht="14" thickBot="1">
      <c r="A324" s="40">
        <v>44151</v>
      </c>
      <c r="B324" s="41">
        <f t="array" aca="1" ref="B324" ca="1">IF(AND(A324 &gt; TODAY(), A324 &lt;= TODAY() + 7),
   INDEX(calculations!B:B, MATCH(143^143, calculations!B:B)),
   IF(ISNUMBER(MATCH(A324, calculations!A:A, 0)),
      INDEX(calculations!B:B, MATCH(A324, calculations!A:A, 0)),
      ""
   )
)</f>
        <v>16743.05</v>
      </c>
      <c r="C324" s="42">
        <f t="array" aca="1" ref="C324" ca="1">IF(B324&lt;&gt;"", IF(MATCH(A324, calculations!A:A, 0), INDEX(calculations!D:D, MATCH(A324, calculations!A:A, 0)), "No Match"),"")</f>
        <v>206407256877</v>
      </c>
      <c r="D324" s="43">
        <f t="shared" ca="1" si="30"/>
        <v>9.2901222077021769E-2</v>
      </c>
      <c r="E324" s="43">
        <f t="shared" ca="1" si="22"/>
        <v>6.424262746880384E-3</v>
      </c>
      <c r="F324" s="43">
        <f t="shared" ca="1" si="33"/>
        <v>6.3578845443423362E-2</v>
      </c>
      <c r="G324" s="42">
        <f t="shared" ca="1" si="23"/>
        <v>3455887022254454.5</v>
      </c>
      <c r="H324" s="41">
        <f t="shared" ca="1" si="34"/>
        <v>12128.213970944529</v>
      </c>
      <c r="I324" s="3"/>
      <c r="J324" s="43">
        <f t="shared" ca="1" si="32"/>
        <v>-0.54026034891789543</v>
      </c>
      <c r="K324" s="44">
        <f t="shared" ca="1" si="31"/>
        <v>-4</v>
      </c>
      <c r="L324" s="3"/>
      <c r="M324" s="45">
        <f t="shared" ca="1" si="24"/>
        <v>10586.018287817629</v>
      </c>
      <c r="N324" s="47">
        <f t="shared" ca="1" si="25"/>
        <v>13670.409654071431</v>
      </c>
      <c r="O324" s="45">
        <f t="shared" ca="1" si="26"/>
        <v>9814.9204462541784</v>
      </c>
      <c r="P324" s="47">
        <f t="shared" ca="1" si="27"/>
        <v>14441.507495634882</v>
      </c>
      <c r="Q324" s="45">
        <f t="shared" ca="1" si="28"/>
        <v>9043.8226046907293</v>
      </c>
      <c r="R324" s="47">
        <f t="shared" ca="1" si="29"/>
        <v>15212.605337198329</v>
      </c>
      <c r="S324" s="73">
        <f t="shared" ca="1" si="35"/>
        <v>-0.54026034891789543</v>
      </c>
      <c r="T324" s="73"/>
      <c r="U324" s="3"/>
      <c r="V324" s="3"/>
      <c r="W324" s="3"/>
      <c r="X324" s="3"/>
    </row>
    <row r="325" spans="1:24" ht="14" thickBot="1">
      <c r="A325" s="40">
        <v>44158</v>
      </c>
      <c r="B325" s="41">
        <f t="array" aca="1" ref="B325" ca="1">IF(AND(A325 &gt; TODAY(), A325 &lt;= TODAY() + 7),
   INDEX(calculations!B:B, MATCH(143^143, calculations!B:B)),
   IF(ISNUMBER(MATCH(A325, calculations!A:A, 0)),
      INDEX(calculations!B:B, MATCH(A325, calculations!A:A, 0)),
      ""
   )
)</f>
        <v>18373.259999999998</v>
      </c>
      <c r="C325" s="42">
        <f t="array" aca="1" ref="C325" ca="1">IF(B325&lt;&gt;"", IF(MATCH(A325, calculations!A:A, 0), INDEX(calculations!D:D, MATCH(A325, calculations!A:A, 0)), "No Match"),"")</f>
        <v>274506990351</v>
      </c>
      <c r="D325" s="43">
        <f t="shared" ca="1" si="30"/>
        <v>9.7366369926626228E-2</v>
      </c>
      <c r="E325" s="43">
        <f t="shared" ca="1" si="22"/>
        <v>7.1599768764934501E-3</v>
      </c>
      <c r="F325" s="43">
        <f t="shared" ca="1" si="33"/>
        <v>6.6312955304276805E-2</v>
      </c>
      <c r="G325" s="42">
        <f t="shared" ca="1" si="23"/>
        <v>5043588305536414</v>
      </c>
      <c r="H325" s="41">
        <f t="shared" ca="1" si="34"/>
        <v>12653.127779476057</v>
      </c>
      <c r="I325" s="3"/>
      <c r="J325" s="43">
        <f t="shared" ref="J325:J388" ca="1" si="36">IF(B325="","",
 IF(B325&lt;Q325, 1+(4*ABS(D325))+(1+$X$2)+F325,
 IF(B325&lt;O325, 1+(3*ABS(D325))+(1+$X$2)+F325,
 IF(B325&lt;M325, 1+(2*ABS(D325))+(1+$X$2)+F325,
 IF(B325&gt;R325, 1-(4*ABS(D325))-(1+$X$2)-F325,
 IF(B325&gt;P325, 1-(3*ABS(D325))-(1+$X$2)-F325,
 IF(B325&gt;N325, 1-(2*ABS(D325))-(1+$X$2)-F325,
 1)))))))</f>
        <v>-0.56085505017716664</v>
      </c>
      <c r="K325" s="44">
        <f t="shared" ca="1" si="31"/>
        <v>-4</v>
      </c>
      <c r="L325" s="3"/>
      <c r="M325" s="45">
        <f t="shared" ca="1" si="24"/>
        <v>10974.995185676658</v>
      </c>
      <c r="N325" s="47">
        <f t="shared" ca="1" si="25"/>
        <v>14331.260373275456</v>
      </c>
      <c r="O325" s="45">
        <f t="shared" ca="1" si="26"/>
        <v>10135.92888877696</v>
      </c>
      <c r="P325" s="47">
        <f t="shared" ca="1" si="27"/>
        <v>15170.326670175155</v>
      </c>
      <c r="Q325" s="45">
        <f t="shared" ca="1" si="28"/>
        <v>9296.8625918772614</v>
      </c>
      <c r="R325" s="47">
        <f t="shared" ca="1" si="29"/>
        <v>16009.392967074855</v>
      </c>
      <c r="S325" s="73">
        <f t="shared" ca="1" si="35"/>
        <v>-0.56085505017716664</v>
      </c>
      <c r="T325" s="73"/>
      <c r="U325" s="3"/>
      <c r="V325" s="3"/>
      <c r="W325" s="3"/>
      <c r="X325" s="3"/>
    </row>
    <row r="326" spans="1:24" ht="14" thickBot="1">
      <c r="A326" s="40">
        <v>44165</v>
      </c>
      <c r="B326" s="41">
        <f t="array" aca="1" ref="B326" ca="1">IF(AND(A326 &gt; TODAY(), A326 &lt;= TODAY() + 7),
   INDEX(calculations!B:B, MATCH(143^143, calculations!B:B)),
   IF(ISNUMBER(MATCH(A326, calculations!A:A, 0)),
      INDEX(calculations!B:B, MATCH(A326, calculations!A:A, 0)),
      ""
   )
)</f>
        <v>19664.41</v>
      </c>
      <c r="C326" s="42">
        <f t="array" aca="1" ref="C326" ca="1">IF(B326&lt;&gt;"", IF(MATCH(A326, calculations!A:A, 0), INDEX(calculations!D:D, MATCH(A326, calculations!A:A, 0)), "No Match"),"")</f>
        <v>301939363508</v>
      </c>
      <c r="D326" s="43">
        <f t="shared" ca="1" si="30"/>
        <v>7.0273321119931981E-2</v>
      </c>
      <c r="E326" s="43">
        <f t="shared" ca="1" si="22"/>
        <v>3.3089642994586286E-3</v>
      </c>
      <c r="F326" s="43">
        <f t="shared" ca="1" si="33"/>
        <v>6.3315964990178969E-2</v>
      </c>
      <c r="G326" s="42">
        <f t="shared" ca="1" si="23"/>
        <v>5937459439160350</v>
      </c>
      <c r="H326" s="41">
        <f t="shared" ca="1" si="34"/>
        <v>13328.703439427063</v>
      </c>
      <c r="I326" s="3"/>
      <c r="J326" s="43">
        <f t="shared" ca="1" si="36"/>
        <v>-0.44948586463629181</v>
      </c>
      <c r="K326" s="44">
        <f t="shared" ca="1" si="31"/>
        <v>-4</v>
      </c>
      <c r="L326" s="3"/>
      <c r="M326" s="45">
        <f t="shared" ca="1" si="24"/>
        <v>11640.863998756578</v>
      </c>
      <c r="N326" s="47">
        <f t="shared" ca="1" si="25"/>
        <v>15016.542880097548</v>
      </c>
      <c r="O326" s="45">
        <f t="shared" ca="1" si="26"/>
        <v>10796.944278421337</v>
      </c>
      <c r="P326" s="47">
        <f t="shared" ca="1" si="27"/>
        <v>15860.462600432789</v>
      </c>
      <c r="Q326" s="45">
        <f t="shared" ca="1" si="28"/>
        <v>9953.0245580860956</v>
      </c>
      <c r="R326" s="47">
        <f t="shared" ca="1" si="29"/>
        <v>16704.382320768033</v>
      </c>
      <c r="S326" s="73">
        <f t="shared" ca="1" si="35"/>
        <v>-0.44948586463629181</v>
      </c>
      <c r="T326" s="73"/>
      <c r="U326" s="3"/>
      <c r="V326" s="3"/>
      <c r="W326" s="3"/>
      <c r="X326" s="3"/>
    </row>
    <row r="327" spans="1:24" ht="14" thickBot="1">
      <c r="A327" s="40">
        <v>44172</v>
      </c>
      <c r="B327" s="41">
        <f t="array" aca="1" ref="B327" ca="1">IF(AND(A327 &gt; TODAY(), A327 &lt;= TODAY() + 7),
   INDEX(calculations!B:B, MATCH(143^143, calculations!B:B)),
   IF(ISNUMBER(MATCH(A327, calculations!A:A, 0)),
      INDEX(calculations!B:B, MATCH(A327, calculations!A:A, 0)),
      ""
   )
)</f>
        <v>19182.18</v>
      </c>
      <c r="C327" s="42">
        <f t="array" aca="1" ref="C327" ca="1">IF(B327&lt;&gt;"", IF(MATCH(A327, calculations!A:A, 0), INDEX(calculations!D:D, MATCH(A327, calculations!A:A, 0)), "No Match"),"")</f>
        <v>253088772491</v>
      </c>
      <c r="D327" s="43">
        <f t="shared" ca="1" si="30"/>
        <v>-2.4522983399959602E-2</v>
      </c>
      <c r="E327" s="43">
        <f t="shared" ca="1" si="22"/>
        <v>1.3892546690764567E-3</v>
      </c>
      <c r="F327" s="43">
        <f t="shared" ca="1" si="33"/>
        <v>6.441291279140357E-2</v>
      </c>
      <c r="G327" s="42">
        <f t="shared" ca="1" si="23"/>
        <v>4854794389901410</v>
      </c>
      <c r="H327" s="41">
        <f t="shared" ca="1" si="34"/>
        <v>13830.087130050326</v>
      </c>
      <c r="I327" s="3"/>
      <c r="J327" s="43">
        <f t="shared" ca="1" si="36"/>
        <v>-0.26758146155762685</v>
      </c>
      <c r="K327" s="44">
        <f t="shared" ca="1" si="31"/>
        <v>-4</v>
      </c>
      <c r="L327" s="3"/>
      <c r="M327" s="45">
        <f t="shared" ca="1" si="24"/>
        <v>12048.414737639436</v>
      </c>
      <c r="N327" s="47">
        <f t="shared" ca="1" si="25"/>
        <v>15611.759522461216</v>
      </c>
      <c r="O327" s="45">
        <f t="shared" ca="1" si="26"/>
        <v>11157.578541433993</v>
      </c>
      <c r="P327" s="47">
        <f t="shared" ca="1" si="27"/>
        <v>16502.59571866666</v>
      </c>
      <c r="Q327" s="45">
        <f t="shared" ca="1" si="28"/>
        <v>10266.742345228547</v>
      </c>
      <c r="R327" s="47">
        <f t="shared" ca="1" si="29"/>
        <v>17393.431914872104</v>
      </c>
      <c r="S327" s="73">
        <f t="shared" ca="1" si="35"/>
        <v>-0.26758146155762685</v>
      </c>
      <c r="T327" s="73"/>
      <c r="U327" s="3"/>
      <c r="V327" s="3"/>
      <c r="W327" s="3"/>
      <c r="X327" s="3"/>
    </row>
    <row r="328" spans="1:24" ht="14" thickBot="1">
      <c r="A328" s="40">
        <v>44179</v>
      </c>
      <c r="B328" s="41">
        <f t="array" aca="1" ref="B328" ca="1">IF(AND(A328 &gt; TODAY(), A328 &lt;= TODAY() + 7),
   INDEX(calculations!B:B, MATCH(143^143, calculations!B:B)),
   IF(ISNUMBER(MATCH(A328, calculations!A:A, 0)),
      INDEX(calculations!B:B, MATCH(A328, calculations!A:A, 0)),
      ""
   )
)</f>
        <v>19286.75</v>
      </c>
      <c r="C328" s="42">
        <f t="array" aca="1" ref="C328" ca="1">IF(B328&lt;&gt;"", IF(MATCH(A328, calculations!A:A, 0), INDEX(calculations!D:D, MATCH(A328, calculations!A:A, 0)), "No Match"),"")</f>
        <v>193678842258</v>
      </c>
      <c r="D328" s="43">
        <f t="shared" ca="1" si="30"/>
        <v>5.4514137600627094E-3</v>
      </c>
      <c r="E328" s="43">
        <f t="shared" ca="1" si="22"/>
        <v>5.3265322989616809E-5</v>
      </c>
      <c r="F328" s="43">
        <f t="shared" ca="1" si="33"/>
        <v>4.9181091125050098E-2</v>
      </c>
      <c r="G328" s="42">
        <f t="shared" ca="1" si="23"/>
        <v>3735435410919481.5</v>
      </c>
      <c r="H328" s="41">
        <f t="shared" ca="1" si="34"/>
        <v>14363.38831839554</v>
      </c>
      <c r="I328" s="3"/>
      <c r="J328" s="43">
        <f t="shared" ca="1" si="36"/>
        <v>-0.17606336133168576</v>
      </c>
      <c r="K328" s="44">
        <f t="shared" ca="1" si="31"/>
        <v>-4</v>
      </c>
      <c r="L328" s="3"/>
      <c r="M328" s="45">
        <f t="shared" ca="1" si="24"/>
        <v>12950.574098892559</v>
      </c>
      <c r="N328" s="47">
        <f t="shared" ca="1" si="25"/>
        <v>15776.202537898522</v>
      </c>
      <c r="O328" s="45">
        <f t="shared" ca="1" si="26"/>
        <v>12244.166989141067</v>
      </c>
      <c r="P328" s="47">
        <f t="shared" ca="1" si="27"/>
        <v>16482.609647650013</v>
      </c>
      <c r="Q328" s="45">
        <f t="shared" ca="1" si="28"/>
        <v>11537.759879389576</v>
      </c>
      <c r="R328" s="47">
        <f t="shared" ca="1" si="29"/>
        <v>17189.016757401503</v>
      </c>
      <c r="S328" s="73">
        <f t="shared" ca="1" si="35"/>
        <v>-0.17606336133168576</v>
      </c>
      <c r="T328" s="73"/>
      <c r="U328" s="3"/>
      <c r="V328" s="3"/>
      <c r="W328" s="3"/>
      <c r="X328" s="3"/>
    </row>
    <row r="329" spans="1:24" ht="14" thickBot="1">
      <c r="A329" s="40">
        <v>44186</v>
      </c>
      <c r="B329" s="41">
        <f t="array" aca="1" ref="B329" ca="1">IF(AND(A329 &gt; TODAY(), A329 &lt;= TODAY() + 7),
   INDEX(calculations!B:B, MATCH(143^143, calculations!B:B)),
   IF(ISNUMBER(MATCH(A329, calculations!A:A, 0)),
      INDEX(calculations!B:B, MATCH(A329, calculations!A:A, 0)),
      ""
   )
)</f>
        <v>22937.42</v>
      </c>
      <c r="C329" s="42">
        <f t="array" aca="1" ref="C329" ca="1">IF(B329&lt;&gt;"", IF(MATCH(A329, calculations!A:A, 0), INDEX(calculations!D:D, MATCH(A329, calculations!A:A, 0)), "No Match"),"")</f>
        <v>281723269352</v>
      </c>
      <c r="D329" s="43">
        <f t="shared" ca="1" si="30"/>
        <v>0.18928383475702221</v>
      </c>
      <c r="E329" s="43">
        <f t="shared" ca="1" si="22"/>
        <v>3.1164292487387394E-2</v>
      </c>
      <c r="F329" s="43">
        <f t="shared" ca="1" si="33"/>
        <v>6.1823882152458334E-2</v>
      </c>
      <c r="G329" s="42">
        <f t="shared" ca="1" si="23"/>
        <v>6462004952899951</v>
      </c>
      <c r="H329" s="41">
        <f t="shared" ca="1" si="34"/>
        <v>15350.46417139199</v>
      </c>
      <c r="I329" s="3"/>
      <c r="J329" s="43">
        <f t="shared" ca="1" si="36"/>
        <v>-0.92403583634693209</v>
      </c>
      <c r="K329" s="44">
        <f t="shared" ca="1" si="31"/>
        <v>-4</v>
      </c>
      <c r="L329" s="3"/>
      <c r="M329" s="45">
        <f t="shared" ca="1" si="24"/>
        <v>13452.413595556645</v>
      </c>
      <c r="N329" s="47">
        <f t="shared" ca="1" si="25"/>
        <v>17248.514747227335</v>
      </c>
      <c r="O329" s="45">
        <f t="shared" ca="1" si="26"/>
        <v>12503.388307638972</v>
      </c>
      <c r="P329" s="47">
        <f t="shared" ca="1" si="27"/>
        <v>18197.540035145004</v>
      </c>
      <c r="Q329" s="45">
        <f t="shared" ca="1" si="28"/>
        <v>11554.363019721301</v>
      </c>
      <c r="R329" s="47">
        <f t="shared" ca="1" si="29"/>
        <v>19146.565323062678</v>
      </c>
      <c r="S329" s="73">
        <f t="shared" ca="1" si="35"/>
        <v>-0.92403583634693209</v>
      </c>
      <c r="T329" s="73"/>
      <c r="U329" s="3"/>
      <c r="V329" s="3"/>
      <c r="W329" s="3"/>
      <c r="X329" s="3"/>
    </row>
    <row r="330" spans="1:24" ht="14" thickBot="1">
      <c r="A330" s="40">
        <v>44193</v>
      </c>
      <c r="B330" s="41">
        <f t="array" aca="1" ref="B330" ca="1">IF(AND(A330 &gt; TODAY(), A330 &lt;= TODAY() + 7),
   INDEX(calculations!B:B, MATCH(143^143, calculations!B:B)),
   IF(ISNUMBER(MATCH(A330, calculations!A:A, 0)),
      INDEX(calculations!B:B, MATCH(A330, calculations!A:A, 0)),
      ""
   )
)</f>
        <v>27039.35</v>
      </c>
      <c r="C330" s="42">
        <f t="array" aca="1" ref="C330" ca="1">IF(B330&lt;&gt;"", IF(MATCH(A330, calculations!A:A, 0), INDEX(calculations!D:D, MATCH(A330, calculations!A:A, 0)), "No Match"),"")</f>
        <v>339132207025</v>
      </c>
      <c r="D330" s="43">
        <f t="shared" ca="1" si="30"/>
        <v>0.17883135941182576</v>
      </c>
      <c r="E330" s="43">
        <f t="shared" ca="1" si="22"/>
        <v>2.7583109834263705E-2</v>
      </c>
      <c r="F330" s="43">
        <f t="shared" ca="1" si="33"/>
        <v>6.5354549561565015E-2</v>
      </c>
      <c r="G330" s="42">
        <f t="shared" ca="1" si="23"/>
        <v>9169914442021434</v>
      </c>
      <c r="H330" s="41">
        <f t="shared" ca="1" si="34"/>
        <v>16751.384465767373</v>
      </c>
      <c r="I330" s="3"/>
      <c r="J330" s="43">
        <f t="shared" ca="1" si="36"/>
        <v>-0.885756602375253</v>
      </c>
      <c r="K330" s="44">
        <f t="shared" ca="1" si="31"/>
        <v>-4</v>
      </c>
      <c r="L330" s="3"/>
      <c r="M330" s="45">
        <f t="shared" ca="1" si="24"/>
        <v>14561.826093181726</v>
      </c>
      <c r="N330" s="47">
        <f t="shared" ca="1" si="25"/>
        <v>18940.942838353021</v>
      </c>
      <c r="O330" s="45">
        <f t="shared" ca="1" si="26"/>
        <v>13467.0469068889</v>
      </c>
      <c r="P330" s="47">
        <f t="shared" ca="1" si="27"/>
        <v>20035.722024645842</v>
      </c>
      <c r="Q330" s="45">
        <f t="shared" ca="1" si="28"/>
        <v>12372.267720596077</v>
      </c>
      <c r="R330" s="47">
        <f t="shared" ca="1" si="29"/>
        <v>21130.501210938666</v>
      </c>
      <c r="S330" s="73">
        <f t="shared" ca="1" si="35"/>
        <v>-0.885756602375253</v>
      </c>
      <c r="T330" s="73"/>
      <c r="U330" s="3"/>
      <c r="V330" s="3"/>
      <c r="W330" s="3"/>
      <c r="X330" s="3"/>
    </row>
    <row r="331" spans="1:24" ht="14" thickBot="1">
      <c r="A331" s="40">
        <v>44200</v>
      </c>
      <c r="B331" s="41">
        <f t="array" aca="1" ref="B331" ca="1">IF(AND(A331 &gt; TODAY(), A331 &lt;= TODAY() + 7),
   INDEX(calculations!B:B, MATCH(143^143, calculations!B:B)),
   IF(ISNUMBER(MATCH(A331, calculations!A:A, 0)),
      INDEX(calculations!B:B, MATCH(A331, calculations!A:A, 0)),
      ""
   )
)</f>
        <v>31802.15</v>
      </c>
      <c r="C331" s="42">
        <f t="array" aca="1" ref="C331" ca="1">IF(B331&lt;&gt;"", IF(MATCH(A331, calculations!A:A, 0), INDEX(calculations!D:D, MATCH(A331, calculations!A:A, 0)), "No Match"),"")</f>
        <v>379626054545</v>
      </c>
      <c r="D331" s="43">
        <f t="shared" ca="1" si="30"/>
        <v>0.17614328746807906</v>
      </c>
      <c r="E331" s="43">
        <f t="shared" ca="1" si="22"/>
        <v>2.6697456792543619E-2</v>
      </c>
      <c r="F331" s="43">
        <f t="shared" ca="1" si="33"/>
        <v>6.9410096471009874E-2</v>
      </c>
      <c r="G331" s="42">
        <f t="shared" ca="1" si="23"/>
        <v>1.2072924730548272E+16</v>
      </c>
      <c r="H331" s="41">
        <f t="shared" ca="1" si="34"/>
        <v>18734.05576001696</v>
      </c>
      <c r="I331" s="3"/>
      <c r="J331" s="43">
        <f t="shared" ca="1" si="36"/>
        <v>-0.87905986150971094</v>
      </c>
      <c r="K331" s="44">
        <f t="shared" ca="1" si="31"/>
        <v>-4</v>
      </c>
      <c r="L331" s="3"/>
      <c r="M331" s="45">
        <f t="shared" ca="1" si="24"/>
        <v>16133.390524824848</v>
      </c>
      <c r="N331" s="47">
        <f t="shared" ca="1" si="25"/>
        <v>21334.720995209067</v>
      </c>
      <c r="O331" s="45">
        <f t="shared" ca="1" si="26"/>
        <v>14833.057907228793</v>
      </c>
      <c r="P331" s="47">
        <f t="shared" ca="1" si="27"/>
        <v>22635.053612805128</v>
      </c>
      <c r="Q331" s="45">
        <f t="shared" ca="1" si="28"/>
        <v>13532.725289632737</v>
      </c>
      <c r="R331" s="47">
        <f t="shared" ca="1" si="29"/>
        <v>23935.386230401182</v>
      </c>
      <c r="S331" s="73">
        <f t="shared" ca="1" si="35"/>
        <v>-0.87905986150971094</v>
      </c>
      <c r="T331" s="73"/>
      <c r="U331" s="3"/>
      <c r="V331" s="3"/>
      <c r="W331" s="3"/>
      <c r="X331" s="3"/>
    </row>
    <row r="332" spans="1:24" ht="14" thickBot="1">
      <c r="A332" s="40">
        <v>44207</v>
      </c>
      <c r="B332" s="41">
        <f t="array" aca="1" ref="B332" ca="1">IF(AND(A332 &gt; TODAY(), A332 &lt;= TODAY() + 7),
   INDEX(calculations!B:B, MATCH(143^143, calculations!B:B)),
   IF(ISNUMBER(MATCH(A332, calculations!A:A, 0)),
      INDEX(calculations!B:B, MATCH(A332, calculations!A:A, 0)),
      ""
   )
)</f>
        <v>35269.51</v>
      </c>
      <c r="C332" s="42">
        <f t="array" aca="1" ref="C332" ca="1">IF(B332&lt;&gt;"", IF(MATCH(A332, calculations!A:A, 0), INDEX(calculations!D:D, MATCH(A332, calculations!A:A, 0)), "No Match"),"")</f>
        <v>538834804975</v>
      </c>
      <c r="D332" s="43">
        <f ca="1">IF(B332&lt;&gt;"",(B332-B331)/B331,"")</f>
        <v>0.10902910652267223</v>
      </c>
      <c r="E332" s="43">
        <f t="shared" ca="1" si="22"/>
        <v>9.2697196225397828E-3</v>
      </c>
      <c r="F332" s="43">
        <f ca="1">IF(AND(D331&lt;&gt;"",B331&lt;&gt;""),_xlfn.STDEV.S(D319:D332),"")</f>
        <v>6.5845944394819944E-2</v>
      </c>
      <c r="G332" s="42">
        <f t="shared" ca="1" si="23"/>
        <v>1.9004439542413812E+16</v>
      </c>
      <c r="H332" s="41">
        <f ca="1">IF(C332&lt;&gt;"",SUM(G319:G332)/SUM(C319:C332),"")</f>
        <v>21736.171574478525</v>
      </c>
      <c r="I332" s="3"/>
      <c r="J332" s="43">
        <f t="shared" ca="1" si="36"/>
        <v>-0.60703898565189374</v>
      </c>
      <c r="K332" s="44">
        <f t="shared" ca="1" si="31"/>
        <v>-4</v>
      </c>
      <c r="L332" s="3"/>
      <c r="M332" s="45">
        <f t="shared" ca="1" si="24"/>
        <v>18873.694084779767</v>
      </c>
      <c r="N332" s="47">
        <f t="shared" ca="1" si="25"/>
        <v>24598.649064177283</v>
      </c>
      <c r="O332" s="45">
        <f t="shared" ca="1" si="26"/>
        <v>17442.455339930388</v>
      </c>
      <c r="P332" s="47">
        <f t="shared" ca="1" si="27"/>
        <v>26029.887809026659</v>
      </c>
      <c r="Q332" s="45">
        <f t="shared" ca="1" si="28"/>
        <v>16011.21659508101</v>
      </c>
      <c r="R332" s="47">
        <f t="shared" ca="1" si="29"/>
        <v>27461.126553876042</v>
      </c>
      <c r="S332" s="73">
        <f t="shared" ca="1" si="35"/>
        <v>-0.60703898565189374</v>
      </c>
      <c r="T332" s="73"/>
      <c r="U332" s="3"/>
      <c r="V332" s="3"/>
      <c r="W332" s="3"/>
      <c r="X332" s="3"/>
    </row>
    <row r="333" spans="1:24" ht="13">
      <c r="A333" s="40">
        <v>44214</v>
      </c>
      <c r="B333" s="41">
        <f t="array" aca="1" ref="B333" ca="1">IF(AND(A333 &gt; TODAY(), A333 &lt;= TODAY() + 7),
   INDEX(calculations!B:B, MATCH(143^143, calculations!B:B)),
   IF(ISNUMBER(MATCH(A333, calculations!A:A, 0)),
      INDEX(calculations!B:B, MATCH(A333, calculations!A:A, 0)),
      ""
   )
)</f>
        <v>36594.300000000003</v>
      </c>
      <c r="C333" s="42">
        <f t="array" aca="1" ref="C333" ca="1">IF(B333&lt;&gt;"", IF(MATCH(A333, calculations!A:A, 0), INDEX(calculations!D:D, MATCH(A333, calculations!A:A, 0)), "No Match"),"")</f>
        <v>508901384013</v>
      </c>
      <c r="D333" s="43">
        <f t="shared" ca="1" si="30"/>
        <v>3.7561905453180403E-2</v>
      </c>
      <c r="E333" s="43">
        <f t="shared" ca="1" si="22"/>
        <v>6.1564438031666254E-4</v>
      </c>
      <c r="F333" s="43">
        <f ca="1">IF(AND(D332&lt;&gt;"",B332&lt;&gt;""),_xlfn.STDEV.S(D320:D333),"")</f>
        <v>6.7210093771778417E-2</v>
      </c>
      <c r="G333" s="42">
        <f t="shared" ca="1" si="23"/>
        <v>1.8622889916986928E+16</v>
      </c>
      <c r="H333" s="41">
        <f ca="1">IF(C333&lt;&gt;"",SUM(G320:G333)/SUM(C320:C333),"")</f>
        <v>24200.910686871812</v>
      </c>
      <c r="I333" s="3"/>
      <c r="J333" s="43">
        <f t="shared" ca="1" si="36"/>
        <v>-0.32253433075088489</v>
      </c>
      <c r="K333" s="44">
        <f t="shared" ca="1" si="31"/>
        <v>-4</v>
      </c>
      <c r="L333" s="3"/>
      <c r="M333" s="45">
        <f t="shared" ca="1" si="24"/>
        <v>20947.819733617631</v>
      </c>
      <c r="N333" s="47">
        <f t="shared" ca="1" si="25"/>
        <v>27454.001640125993</v>
      </c>
      <c r="O333" s="45">
        <f t="shared" ca="1" si="26"/>
        <v>19321.274256990546</v>
      </c>
      <c r="P333" s="47">
        <f t="shared" ca="1" si="27"/>
        <v>29080.547116753078</v>
      </c>
      <c r="Q333" s="45">
        <f t="shared" ca="1" si="28"/>
        <v>17694.728780363457</v>
      </c>
      <c r="R333" s="47">
        <f t="shared" ca="1" si="29"/>
        <v>30707.09259338017</v>
      </c>
      <c r="S333" s="73">
        <f t="shared" ca="1" si="35"/>
        <v>-0.32253433075088489</v>
      </c>
      <c r="T333" s="73"/>
      <c r="U333" s="3"/>
      <c r="V333" s="3"/>
      <c r="W333" s="3"/>
      <c r="X333" s="3"/>
    </row>
    <row r="334" spans="1:24" ht="13">
      <c r="A334" s="40">
        <v>44221</v>
      </c>
      <c r="B334" s="41">
        <f t="array" aca="1" ref="B334" ca="1">IF(AND(A334 &gt; TODAY(), A334 &lt;= TODAY() + 7),
   INDEX(calculations!B:B, MATCH(143^143, calculations!B:B)),
   IF(ISNUMBER(MATCH(A334, calculations!A:A, 0)),
      INDEX(calculations!B:B, MATCH(A334, calculations!A:A, 0)),
      ""
   )
)</f>
        <v>32419.71</v>
      </c>
      <c r="C334" s="42">
        <f t="array" aca="1" ref="C334" ca="1">IF(B334&lt;&gt;"", IF(MATCH(A334, calculations!A:A, 0), INDEX(calculations!D:D, MATCH(A334, calculations!A:A, 0)), "No Match"),"")</f>
        <v>423439379849</v>
      </c>
      <c r="D334" s="43">
        <f t="shared" ca="1" si="30"/>
        <v>-0.11407760224953076</v>
      </c>
      <c r="E334" s="43">
        <f t="shared" ca="1" si="22"/>
        <v>1.6085170520798133E-2</v>
      </c>
      <c r="F334" s="43">
        <f ca="1">IF(AND(D333&lt;&gt;"",B333&lt;&gt;""),_xlfn.STDEV.S(D321:D334),"")</f>
        <v>8.469432532989403E-2</v>
      </c>
      <c r="G334" s="42">
        <f t="shared" ca="1" si="23"/>
        <v>1.3727781897284424E+16</v>
      </c>
      <c r="H334" s="41">
        <f ca="1">IF(C334&lt;&gt;"",SUM(G321:G334)/SUM(C321:C334),"")</f>
        <v>25453.077060076714</v>
      </c>
      <c r="I334" s="3"/>
      <c r="J334" s="43">
        <f t="shared" ca="1" si="36"/>
        <v>-0.53200374724487121</v>
      </c>
      <c r="K334" s="44">
        <f t="shared" ca="1" si="31"/>
        <v>-3</v>
      </c>
      <c r="L334" s="3"/>
      <c r="M334" s="45">
        <f t="shared" ca="1" si="24"/>
        <v>21141.614681730716</v>
      </c>
      <c r="N334" s="47">
        <f t="shared" ca="1" si="25"/>
        <v>29764.539438422715</v>
      </c>
      <c r="O334" s="45">
        <f t="shared" ca="1" si="26"/>
        <v>18985.883492557714</v>
      </c>
      <c r="P334" s="47">
        <f t="shared" ca="1" si="27"/>
        <v>31920.270627595713</v>
      </c>
      <c r="Q334" s="45">
        <f t="shared" ca="1" si="28"/>
        <v>16830.152303384715</v>
      </c>
      <c r="R334" s="47">
        <f t="shared" ca="1" si="29"/>
        <v>34076.001816768709</v>
      </c>
      <c r="S334" s="73">
        <f t="shared" ca="1" si="35"/>
        <v>-0.53200374724487121</v>
      </c>
      <c r="T334" s="73"/>
      <c r="U334" s="3"/>
      <c r="V334" s="3"/>
      <c r="W334" s="3"/>
      <c r="X334" s="3"/>
    </row>
    <row r="335" spans="1:24" ht="13">
      <c r="A335" s="40">
        <v>44228</v>
      </c>
      <c r="B335" s="41">
        <f t="array" aca="1" ref="B335" ca="1">IF(AND(A335 &gt; TODAY(), A335 &lt;= TODAY() + 7),
   INDEX(calculations!B:B, MATCH(143^143, calculations!B:B)),
   IF(ISNUMBER(MATCH(A335, calculations!A:A, 0)),
      INDEX(calculations!B:B, MATCH(A335, calculations!A:A, 0)),
      ""
   )
)</f>
        <v>33570.269999999997</v>
      </c>
      <c r="C335" s="42">
        <f t="array" aca="1" ref="C335" ca="1">IF(B335&lt;&gt;"", IF(MATCH(A335, calculations!A:A, 0), INDEX(calculations!D:D, MATCH(A335, calculations!A:A, 0)), "No Match"),"")</f>
        <v>495037767498</v>
      </c>
      <c r="D335" s="43">
        <f t="shared" ca="1" si="30"/>
        <v>3.5489521652106011E-2</v>
      </c>
      <c r="E335" s="43">
        <f t="shared" ca="1" si="22"/>
        <v>5.1709842644954377E-4</v>
      </c>
      <c r="F335" s="43">
        <f ca="1">IF(AND(D334&lt;&gt;"",B334&lt;&gt;""),_xlfn.STDEV.S(D322:D335),"")</f>
        <v>8.4770634034229284E-2</v>
      </c>
      <c r="G335" s="42">
        <f t="shared" ca="1" si="23"/>
        <v>1.6618551515105082E+16</v>
      </c>
      <c r="H335" s="41">
        <f ca="1">IF(C335&lt;&gt;"",SUM(G322:G335)/SUM(C322:C335),"")</f>
        <v>26870.508875015941</v>
      </c>
      <c r="I335" s="3"/>
      <c r="J335" s="43">
        <f t="shared" ca="1" si="36"/>
        <v>-0.2608262925048262</v>
      </c>
      <c r="K335" s="44">
        <f t="shared" ca="1" si="31"/>
        <v>-2</v>
      </c>
      <c r="L335" s="3"/>
      <c r="M335" s="45">
        <f t="shared" ca="1" si="24"/>
        <v>22314.848726700966</v>
      </c>
      <c r="N335" s="47">
        <f t="shared" ca="1" si="25"/>
        <v>31426.169023330913</v>
      </c>
      <c r="O335" s="45">
        <f t="shared" ca="1" si="26"/>
        <v>20037.018652543484</v>
      </c>
      <c r="P335" s="47">
        <f t="shared" ca="1" si="27"/>
        <v>33703.999097488399</v>
      </c>
      <c r="Q335" s="45">
        <f t="shared" ca="1" si="28"/>
        <v>17759.188578385994</v>
      </c>
      <c r="R335" s="47">
        <f t="shared" ca="1" si="29"/>
        <v>35981.829171645892</v>
      </c>
      <c r="S335" s="73">
        <f t="shared" ca="1" si="35"/>
        <v>-0.2608262925048262</v>
      </c>
      <c r="T335" s="73"/>
      <c r="U335" s="3"/>
      <c r="V335" s="3"/>
      <c r="W335" s="3"/>
      <c r="X335" s="3"/>
    </row>
    <row r="336" spans="1:24" ht="13">
      <c r="A336" s="40">
        <v>44235</v>
      </c>
      <c r="B336" s="41">
        <f t="array" aca="1" ref="B336" ca="1">IF(AND(A336 &gt; TODAY(), A336 &lt;= TODAY() + 7),
   INDEX(calculations!B:B, MATCH(143^143, calculations!B:B)),
   IF(ISNUMBER(MATCH(A336, calculations!A:A, 0)),
      INDEX(calculations!B:B, MATCH(A336, calculations!A:A, 0)),
      ""
   )
)</f>
        <v>46121.93</v>
      </c>
      <c r="C336" s="42">
        <f t="array" aca="1" ref="C336" ca="1">IF(B336&lt;&gt;"", IF(MATCH(A336, calculations!A:A, 0), INDEX(calculations!D:D, MATCH(A336, calculations!A:A, 0)), "No Match"),"")</f>
        <v>449918619842</v>
      </c>
      <c r="D336" s="43">
        <f t="shared" ca="1" si="30"/>
        <v>0.37389213729886606</v>
      </c>
      <c r="E336" s="43">
        <f t="shared" ca="1" si="22"/>
        <v>0.13042384314692337</v>
      </c>
      <c r="F336" s="43">
        <f ca="1">IF(AND(D335&lt;&gt;"",B335&lt;&gt;""),_xlfn.STDEV.S(D323:D336),"")</f>
        <v>0.11600044582518881</v>
      </c>
      <c r="G336" s="42">
        <f t="shared" ca="1" si="23"/>
        <v>2.0751115090049336E+16</v>
      </c>
      <c r="H336" s="41">
        <f ca="1">IF(C336&lt;&gt;"",SUM(G323:G336)/SUM(C323:C336),"")</f>
        <v>29298.628965713575</v>
      </c>
      <c r="I336" s="3"/>
      <c r="J336" s="43">
        <f t="shared" ca="1" si="36"/>
        <v>-1.716645610187038</v>
      </c>
      <c r="K336" s="44">
        <f t="shared" ca="1" si="31"/>
        <v>-4</v>
      </c>
      <c r="L336" s="3"/>
      <c r="M336" s="45">
        <f t="shared" ca="1" si="24"/>
        <v>22501.320921534443</v>
      </c>
      <c r="N336" s="47">
        <f t="shared" ca="1" si="25"/>
        <v>36095.93700989271</v>
      </c>
      <c r="O336" s="45">
        <f t="shared" ca="1" si="26"/>
        <v>19102.666899444881</v>
      </c>
      <c r="P336" s="47">
        <f t="shared" ca="1" si="27"/>
        <v>39494.591031982272</v>
      </c>
      <c r="Q336" s="45">
        <f t="shared" ca="1" si="28"/>
        <v>15704.012877355313</v>
      </c>
      <c r="R336" s="47">
        <f t="shared" ca="1" si="29"/>
        <v>42893.245054071835</v>
      </c>
      <c r="S336" s="73">
        <f t="shared" ca="1" si="35"/>
        <v>-1.716645610187038</v>
      </c>
      <c r="T336" s="73"/>
      <c r="U336" s="3"/>
      <c r="V336" s="3"/>
      <c r="W336" s="3"/>
      <c r="X336" s="3"/>
    </row>
    <row r="337" spans="1:24" ht="13">
      <c r="A337" s="40">
        <v>44242</v>
      </c>
      <c r="B337" s="41">
        <f t="array" aca="1" ref="B337" ca="1">IF(AND(A337 &gt; TODAY(), A337 &lt;= TODAY() + 7),
   INDEX(calculations!B:B, MATCH(143^143, calculations!B:B)),
   IF(ISNUMBER(MATCH(A337, calculations!A:A, 0)),
      INDEX(calculations!B:B, MATCH(A337, calculations!A:A, 0)),
      ""
   )
)</f>
        <v>48110.239999999998</v>
      </c>
      <c r="C337" s="42">
        <f t="array" aca="1" ref="C337" ca="1">IF(B337&lt;&gt;"", IF(MATCH(A337, calculations!A:A, 0), INDEX(calculations!D:D, MATCH(A337, calculations!A:A, 0)), "No Match"),"")</f>
        <v>532356580210</v>
      </c>
      <c r="D337" s="43">
        <f t="shared" ca="1" si="30"/>
        <v>4.3109861187508799E-2</v>
      </c>
      <c r="E337" s="43">
        <f t="shared" ca="1" si="22"/>
        <v>9.217379690173148E-4</v>
      </c>
      <c r="F337" s="43">
        <f ca="1">IF(AND(D336&lt;&gt;"",B336&lt;&gt;""),_xlfn.STDEV.S(D324:D337),"")</f>
        <v>0.11648733147763335</v>
      </c>
      <c r="G337" s="42">
        <f t="shared" ca="1" si="23"/>
        <v>2.5611802839482348E+16</v>
      </c>
      <c r="H337" s="41">
        <f ca="1">IF(C337&lt;&gt;"",SUM(G324:G337)/SUM(C324:C337),"")</f>
        <v>31875.191564983386</v>
      </c>
      <c r="I337" s="3"/>
      <c r="J337" s="43">
        <f t="shared" ca="1" si="36"/>
        <v>-0.39400339139405349</v>
      </c>
      <c r="K337" s="44">
        <f t="shared" ca="1" si="31"/>
        <v>-4</v>
      </c>
      <c r="L337" s="3"/>
      <c r="M337" s="45">
        <f t="shared" ca="1" si="24"/>
        <v>24449.07955349682</v>
      </c>
      <c r="N337" s="47">
        <f t="shared" ca="1" si="25"/>
        <v>39301.303576469953</v>
      </c>
      <c r="O337" s="45">
        <f t="shared" ca="1" si="26"/>
        <v>20736.023547753539</v>
      </c>
      <c r="P337" s="47">
        <f t="shared" ca="1" si="27"/>
        <v>43014.359582213234</v>
      </c>
      <c r="Q337" s="45">
        <f t="shared" ca="1" si="28"/>
        <v>17022.967542010258</v>
      </c>
      <c r="R337" s="47">
        <f t="shared" ca="1" si="29"/>
        <v>46727.415587956515</v>
      </c>
      <c r="S337" s="73">
        <f t="shared" ca="1" si="35"/>
        <v>-0.39400339139405349</v>
      </c>
      <c r="T337" s="73"/>
      <c r="U337" s="3"/>
      <c r="V337" s="3"/>
      <c r="W337" s="3"/>
      <c r="X337" s="3"/>
    </row>
    <row r="338" spans="1:24" ht="13">
      <c r="A338" s="40">
        <v>44249</v>
      </c>
      <c r="B338" s="41">
        <f t="array" aca="1" ref="B338" ca="1">IF(AND(A338 &gt; TODAY(), A338 &lt;= TODAY() + 7),
   INDEX(calculations!B:B, MATCH(143^143, calculations!B:B)),
   IF(ISNUMBER(MATCH(A338, calculations!A:A, 0)),
      INDEX(calculations!B:B, MATCH(A338, calculations!A:A, 0)),
      ""
   )
)</f>
        <v>53952.15</v>
      </c>
      <c r="C338" s="42">
        <f t="array" aca="1" ref="C338" ca="1">IF(B338&lt;&gt;"", IF(MATCH(A338, calculations!A:A, 0), INDEX(calculations!D:D, MATCH(A338, calculations!A:A, 0)), "No Match"),"")</f>
        <v>470533297170</v>
      </c>
      <c r="D338" s="43">
        <f t="shared" ca="1" si="30"/>
        <v>0.12142757965871723</v>
      </c>
      <c r="E338" s="43">
        <f t="shared" ca="1" si="22"/>
        <v>1.1810876450085495E-2</v>
      </c>
      <c r="F338" s="43">
        <f ca="1">IF(AND(D337&lt;&gt;"",B337&lt;&gt;""),_xlfn.STDEV.S(D325:D338),"")</f>
        <v>0.11677667428042345</v>
      </c>
      <c r="G338" s="42">
        <f t="shared" ca="1" si="23"/>
        <v>2.5386283028910416E+16</v>
      </c>
      <c r="H338" s="41">
        <f ca="1">IF(C338&lt;&gt;"",SUM(G325:G338)/SUM(C325:C338),"")</f>
        <v>34357.651529030918</v>
      </c>
      <c r="I338" s="3"/>
      <c r="J338" s="43">
        <f t="shared" ca="1" si="36"/>
        <v>-0.70756360808167729</v>
      </c>
      <c r="K338" s="44">
        <f t="shared" ca="1" si="31"/>
        <v>-4</v>
      </c>
      <c r="L338" s="3"/>
      <c r="M338" s="45">
        <f t="shared" ca="1" si="24"/>
        <v>26333.306965739048</v>
      </c>
      <c r="N338" s="47">
        <f t="shared" ca="1" si="25"/>
        <v>42381.996092322792</v>
      </c>
      <c r="O338" s="45">
        <f t="shared" ca="1" si="26"/>
        <v>22321.134684093111</v>
      </c>
      <c r="P338" s="47">
        <f t="shared" ca="1" si="27"/>
        <v>46394.168373968721</v>
      </c>
      <c r="Q338" s="45">
        <f t="shared" ca="1" si="28"/>
        <v>18308.962402447174</v>
      </c>
      <c r="R338" s="47">
        <f t="shared" ca="1" si="29"/>
        <v>50406.340655614658</v>
      </c>
      <c r="S338" s="73">
        <f t="shared" ca="1" si="35"/>
        <v>-0.70756360808167729</v>
      </c>
      <c r="T338" s="73"/>
      <c r="U338" s="3"/>
      <c r="V338" s="3"/>
      <c r="W338" s="3"/>
      <c r="X338" s="3"/>
    </row>
    <row r="339" spans="1:24" ht="13">
      <c r="A339" s="40">
        <v>44256</v>
      </c>
      <c r="B339" s="41">
        <f t="array" aca="1" ref="B339" ca="1">IF(AND(A339 &gt; TODAY(), A339 &lt;= TODAY() + 7),
   INDEX(calculations!B:B, MATCH(143^143, calculations!B:B)),
   IF(ISNUMBER(MATCH(A339, calculations!A:A, 0)),
      INDEX(calculations!B:B, MATCH(A339, calculations!A:A, 0)),
      ""
   )
)</f>
        <v>49634.45</v>
      </c>
      <c r="C339" s="42">
        <f t="array" aca="1" ref="C339" ca="1">IF(B339&lt;&gt;"", IF(MATCH(A339, calculations!A:A, 0), INDEX(calculations!D:D, MATCH(A339, calculations!A:A, 0)), "No Match"),"")</f>
        <v>476066722778</v>
      </c>
      <c r="D339" s="43">
        <f t="shared" ca="1" si="30"/>
        <v>-8.0028321392196677E-2</v>
      </c>
      <c r="E339" s="43">
        <f t="shared" ca="1" si="22"/>
        <v>8.607765587698395E-3</v>
      </c>
      <c r="F339" s="43">
        <f ca="1">IF(AND(D338&lt;&gt;"",B338&lt;&gt;""),_xlfn.STDEV.S(D326:D339),"")</f>
        <v>0.12553908052627244</v>
      </c>
      <c r="G339" s="42">
        <f t="shared" ca="1" si="23"/>
        <v>2.36293099483885E+16</v>
      </c>
      <c r="H339" s="41">
        <f ca="1">IF(C339&lt;&gt;"",SUM(G326:G339)/SUM(C326:C339),"")</f>
        <v>36423.567581431278</v>
      </c>
      <c r="I339" s="3"/>
      <c r="J339" s="43">
        <f t="shared" ca="1" si="36"/>
        <v>-0.39067233847705068</v>
      </c>
      <c r="K339" s="44">
        <f t="shared" ca="1" si="31"/>
        <v>-2</v>
      </c>
      <c r="L339" s="3"/>
      <c r="M339" s="45">
        <f t="shared" ca="1" si="24"/>
        <v>27278.405214112423</v>
      </c>
      <c r="N339" s="47">
        <f t="shared" ca="1" si="25"/>
        <v>45568.72994875013</v>
      </c>
      <c r="O339" s="45">
        <f t="shared" ca="1" si="26"/>
        <v>22705.824030452994</v>
      </c>
      <c r="P339" s="47">
        <f t="shared" ca="1" si="27"/>
        <v>50141.311132409566</v>
      </c>
      <c r="Q339" s="45">
        <f t="shared" ca="1" si="28"/>
        <v>18133.242846793568</v>
      </c>
      <c r="R339" s="47">
        <f t="shared" ca="1" si="29"/>
        <v>54713.892316068988</v>
      </c>
      <c r="S339" s="73">
        <f t="shared" ca="1" si="35"/>
        <v>-0.39067233847705068</v>
      </c>
      <c r="T339" s="73"/>
      <c r="U339" s="3"/>
      <c r="V339" s="3"/>
      <c r="W339" s="3"/>
      <c r="X339" s="3"/>
    </row>
    <row r="340" spans="1:24" ht="13">
      <c r="A340" s="40">
        <v>44263</v>
      </c>
      <c r="B340" s="41">
        <f t="array" aca="1" ref="B340" ca="1">IF(AND(A340 &gt; TODAY(), A340 &lt;= TODAY() + 7),
   INDEX(calculations!B:B, MATCH(143^143, calculations!B:B)),
   IF(ISNUMBER(MATCH(A340, calculations!A:A, 0)),
      INDEX(calculations!B:B, MATCH(A340, calculations!A:A, 0)),
      ""
   )
)</f>
        <v>52088.480000000003</v>
      </c>
      <c r="C340" s="42">
        <f t="array" aca="1" ref="C340" ca="1">IF(B340&lt;&gt;"", IF(MATCH(A340, calculations!A:A, 0), INDEX(calculations!D:D, MATCH(A340, calculations!A:A, 0)), "No Match"),"")</f>
        <v>333113779409</v>
      </c>
      <c r="D340" s="43">
        <f t="shared" ca="1" si="30"/>
        <v>4.9442070980941791E-2</v>
      </c>
      <c r="E340" s="43">
        <f t="shared" ca="1" si="22"/>
        <v>1.3463283740713732E-3</v>
      </c>
      <c r="F340" s="43">
        <f ca="1">IF(AND(D339&lt;&gt;"",B339&lt;&gt;""),_xlfn.STDEV.S(D327:D340),"")</f>
        <v>0.12578813717129581</v>
      </c>
      <c r="G340" s="42">
        <f t="shared" ca="1" si="23"/>
        <v>1.735139043647011E+16</v>
      </c>
      <c r="H340" s="41">
        <f ca="1">IF(C340&lt;&gt;"",SUM(G327:G340)/SUM(C327:C340),"")</f>
        <v>38234.603687824943</v>
      </c>
      <c r="I340" s="3"/>
      <c r="J340" s="43">
        <f t="shared" ca="1" si="36"/>
        <v>-0.32974889429956422</v>
      </c>
      <c r="K340" s="44">
        <f t="shared" ca="1" si="31"/>
        <v>-2</v>
      </c>
      <c r="L340" s="3"/>
      <c r="M340" s="45">
        <f t="shared" ca="1" si="24"/>
        <v>28615.684541076433</v>
      </c>
      <c r="N340" s="47">
        <f t="shared" ca="1" si="25"/>
        <v>47853.522834573458</v>
      </c>
      <c r="O340" s="45">
        <f t="shared" ca="1" si="26"/>
        <v>23806.224967702172</v>
      </c>
      <c r="P340" s="47">
        <f t="shared" ca="1" si="27"/>
        <v>52662.982407947711</v>
      </c>
      <c r="Q340" s="45">
        <f t="shared" ca="1" si="28"/>
        <v>18996.765394327918</v>
      </c>
      <c r="R340" s="47">
        <f t="shared" ca="1" si="29"/>
        <v>57472.441981321965</v>
      </c>
      <c r="S340" s="73">
        <f t="shared" ca="1" si="35"/>
        <v>-0.32974889429956422</v>
      </c>
      <c r="T340" s="73"/>
      <c r="U340" s="3"/>
      <c r="V340" s="3"/>
      <c r="W340" s="3"/>
      <c r="X340" s="3"/>
    </row>
    <row r="341" spans="1:24" ht="13">
      <c r="A341" s="40">
        <v>44270</v>
      </c>
      <c r="B341" s="41">
        <f t="array" aca="1" ref="B341" ca="1">IF(AND(A341 &gt; TODAY(), A341 &lt;= TODAY() + 7),
   INDEX(calculations!B:B, MATCH(143^143, calculations!B:B)),
   IF(ISNUMBER(MATCH(A341, calculations!A:A, 0)),
      INDEX(calculations!B:B, MATCH(A341, calculations!A:A, 0)),
      ""
   )
)</f>
        <v>56121.120000000003</v>
      </c>
      <c r="C341" s="42">
        <f t="array" aca="1" ref="C341" ca="1">IF(B341&lt;&gt;"", IF(MATCH(A341, calculations!A:A, 0), INDEX(calculations!D:D, MATCH(A341, calculations!A:A, 0)), "No Match"),"")</f>
        <v>373838576722</v>
      </c>
      <c r="D341" s="43">
        <f t="shared" ca="1" si="30"/>
        <v>7.7419037760364656E-2</v>
      </c>
      <c r="E341" s="43">
        <f t="shared" ca="1" si="22"/>
        <v>4.1821202252517471E-3</v>
      </c>
      <c r="F341" s="43">
        <f ca="1">IF(AND(D340&lt;&gt;"",B340&lt;&gt;""),_xlfn.STDEV.S(D328:D341),"")</f>
        <v>0.12225762415422373</v>
      </c>
      <c r="G341" s="42">
        <f t="shared" ca="1" si="23"/>
        <v>2.0980239624844568E+16</v>
      </c>
      <c r="H341" s="41">
        <f ca="1">IF(C341&lt;&gt;"",SUM(G328:G341)/SUM(C328:C341),"")</f>
        <v>40220.149695912864</v>
      </c>
      <c r="I341" s="3"/>
      <c r="J341" s="43">
        <f t="shared" ca="1" si="36"/>
        <v>-0.45959135260170259</v>
      </c>
      <c r="K341" s="44">
        <f t="shared" ca="1" si="31"/>
        <v>-3</v>
      </c>
      <c r="L341" s="3"/>
      <c r="M341" s="45">
        <f t="shared" ca="1" si="24"/>
        <v>30385.709806013805</v>
      </c>
      <c r="N341" s="47">
        <f t="shared" ca="1" si="25"/>
        <v>50054.589585811926</v>
      </c>
      <c r="O341" s="45">
        <f t="shared" ca="1" si="26"/>
        <v>25468.48986106427</v>
      </c>
      <c r="P341" s="47">
        <f t="shared" ca="1" si="27"/>
        <v>54971.809530761449</v>
      </c>
      <c r="Q341" s="45">
        <f t="shared" ca="1" si="28"/>
        <v>20551.269916114743</v>
      </c>
      <c r="R341" s="47">
        <f t="shared" ca="1" si="29"/>
        <v>59889.02947571098</v>
      </c>
      <c r="S341" s="73">
        <f t="shared" ca="1" si="35"/>
        <v>-0.45959135260170259</v>
      </c>
      <c r="T341" s="73"/>
      <c r="U341" s="3"/>
      <c r="V341" s="3"/>
      <c r="W341" s="3"/>
      <c r="X341" s="3"/>
    </row>
    <row r="342" spans="1:24" ht="13">
      <c r="A342" s="40">
        <v>44277</v>
      </c>
      <c r="B342" s="41">
        <f t="array" aca="1" ref="B342" ca="1">IF(AND(A342 &gt; TODAY(), A342 &lt;= TODAY() + 7),
   INDEX(calculations!B:B, MATCH(143^143, calculations!B:B)),
   IF(ISNUMBER(MATCH(A342, calculations!A:A, 0)),
      INDEX(calculations!B:B, MATCH(A342, calculations!A:A, 0)),
      ""
   )
)</f>
        <v>54453.14</v>
      </c>
      <c r="C342" s="42">
        <f t="array" aca="1" ref="C342" ca="1">IF(B342&lt;&gt;"", IF(MATCH(A342, calculations!A:A, 0), INDEX(calculations!D:D, MATCH(A342, calculations!A:A, 0)), "No Match"),"")</f>
        <v>393542542227</v>
      </c>
      <c r="D342" s="43">
        <f t="shared" ca="1" si="30"/>
        <v>-2.9721074704139958E-2</v>
      </c>
      <c r="E342" s="43">
        <f t="shared" ca="1" si="22"/>
        <v>1.8037686880482996E-3</v>
      </c>
      <c r="F342" s="43">
        <f ca="1">IF(AND(D341&lt;&gt;"",B341&lt;&gt;""),_xlfn.STDEV.S(D329:D342),"")</f>
        <v>0.12438149292109719</v>
      </c>
      <c r="G342" s="42">
        <f t="shared" ca="1" si="23"/>
        <v>2.1429627147842744E+16</v>
      </c>
      <c r="H342" s="41">
        <f ca="1">IF(C342&lt;&gt;"",SUM(G329:G342)/SUM(C329:C342),"")</f>
        <v>41830.479775482658</v>
      </c>
      <c r="I342" s="3"/>
      <c r="J342" s="43">
        <f t="shared" ca="1" si="36"/>
        <v>-0.28890025749576204</v>
      </c>
      <c r="K342" s="44">
        <f t="shared" ca="1" si="31"/>
        <v>-2</v>
      </c>
      <c r="L342" s="3"/>
      <c r="M342" s="45">
        <f t="shared" ca="1" si="24"/>
        <v>31424.604727322068</v>
      </c>
      <c r="N342" s="47">
        <f t="shared" ca="1" si="25"/>
        <v>52236.354823643254</v>
      </c>
      <c r="O342" s="45">
        <f t="shared" ca="1" si="26"/>
        <v>26221.66720324177</v>
      </c>
      <c r="P342" s="47">
        <f t="shared" ca="1" si="27"/>
        <v>57439.292347723545</v>
      </c>
      <c r="Q342" s="45">
        <f t="shared" ca="1" si="28"/>
        <v>21018.729679161479</v>
      </c>
      <c r="R342" s="47">
        <f t="shared" ca="1" si="29"/>
        <v>62642.229871803836</v>
      </c>
      <c r="S342" s="73">
        <f t="shared" ca="1" si="35"/>
        <v>-0.28890025749576204</v>
      </c>
      <c r="T342" s="73"/>
      <c r="U342" s="3"/>
      <c r="V342" s="3"/>
      <c r="W342" s="3"/>
      <c r="X342" s="3"/>
    </row>
    <row r="343" spans="1:24" ht="13">
      <c r="A343" s="40">
        <v>44284</v>
      </c>
      <c r="B343" s="41">
        <f t="array" aca="1" ref="B343" ca="1">IF(AND(A343 &gt; TODAY(), A343 &lt;= TODAY() + 7),
   INDEX(calculations!B:B, MATCH(143^143, calculations!B:B)),
   IF(ISNUMBER(MATCH(A343, calculations!A:A, 0)),
      INDEX(calculations!B:B, MATCH(A343, calculations!A:A, 0)),
      ""
   )
)</f>
        <v>57571.23</v>
      </c>
      <c r="C343" s="42">
        <f t="array" aca="1" ref="C343" ca="1">IF(B343&lt;&gt;"", IF(MATCH(A343, calculations!A:A, 0), INDEX(calculations!D:D, MATCH(A343, calculations!A:A, 0)), "No Match"),"")</f>
        <v>403128836645</v>
      </c>
      <c r="D343" s="43">
        <f t="shared" ca="1" si="30"/>
        <v>5.7261895273624325E-2</v>
      </c>
      <c r="E343" s="43">
        <f t="shared" ca="1" si="22"/>
        <v>1.9813334486322304E-3</v>
      </c>
      <c r="F343" s="43">
        <f ca="1">IF(AND(D342&lt;&gt;"",B342&lt;&gt;""),_xlfn.STDEV.S(D330:D343),"")</f>
        <v>0.12068728729288335</v>
      </c>
      <c r="G343" s="42">
        <f t="shared" ca="1" si="23"/>
        <v>2.3208622974121724E+16</v>
      </c>
      <c r="H343" s="41">
        <f ca="1">IF(C343&lt;&gt;"",SUM(G330:G343)/SUM(C330:C343),"")</f>
        <v>43737.830990830051</v>
      </c>
      <c r="I343" s="3"/>
      <c r="J343" s="43">
        <f t="shared" ca="1" si="36"/>
        <v>-0.34028769300651696</v>
      </c>
      <c r="K343" s="44">
        <f t="shared" ca="1" si="31"/>
        <v>-2</v>
      </c>
      <c r="L343" s="3"/>
      <c r="M343" s="45">
        <f t="shared" ca="1" si="24"/>
        <v>33180.63064211428</v>
      </c>
      <c r="N343" s="47">
        <f t="shared" ca="1" si="25"/>
        <v>54295.031339545822</v>
      </c>
      <c r="O343" s="45">
        <f t="shared" ca="1" si="26"/>
        <v>27902.030467756405</v>
      </c>
      <c r="P343" s="47">
        <f t="shared" ca="1" si="27"/>
        <v>59573.631513903696</v>
      </c>
      <c r="Q343" s="45">
        <f t="shared" ca="1" si="28"/>
        <v>22623.430293398516</v>
      </c>
      <c r="R343" s="47">
        <f t="shared" ca="1" si="29"/>
        <v>64852.231688261585</v>
      </c>
      <c r="S343" s="73">
        <f t="shared" ca="1" si="35"/>
        <v>-0.34028769300651696</v>
      </c>
      <c r="T343" s="73"/>
      <c r="U343" s="3"/>
      <c r="V343" s="3"/>
      <c r="W343" s="3"/>
      <c r="X343" s="3"/>
    </row>
    <row r="344" spans="1:24" ht="13">
      <c r="A344" s="40">
        <v>44291</v>
      </c>
      <c r="B344" s="41">
        <f t="array" aca="1" ref="B344" ca="1">IF(AND(A344 &gt; TODAY(), A344 &lt;= TODAY() + 7),
   INDEX(calculations!B:B, MATCH(143^143, calculations!B:B)),
   IF(ISNUMBER(MATCH(A344, calculations!A:A, 0)),
      INDEX(calculations!B:B, MATCH(A344, calculations!A:A, 0)),
      ""
   )
)</f>
        <v>58755.85</v>
      </c>
      <c r="C344" s="42">
        <f t="array" aca="1" ref="C344" ca="1">IF(B344&lt;&gt;"", IF(MATCH(A344, calculations!A:A, 0), INDEX(calculations!D:D, MATCH(A344, calculations!A:A, 0)), "No Match"),"")</f>
        <v>408348561550</v>
      </c>
      <c r="D344" s="43">
        <f t="shared" ca="1" si="30"/>
        <v>2.0576597025979734E-2</v>
      </c>
      <c r="E344" s="43">
        <f t="shared" ca="1" si="22"/>
        <v>6.1259951412076676E-5</v>
      </c>
      <c r="F344" s="43">
        <f ca="1">IF(AND(D343&lt;&gt;"",B343&lt;&gt;""),_xlfn.STDEV.S(D331:D344),"")</f>
        <v>0.11748029912323846</v>
      </c>
      <c r="G344" s="42">
        <f t="shared" ca="1" si="23"/>
        <v>2.3992866830147568E+16</v>
      </c>
      <c r="H344" s="41">
        <f ca="1">IF(C344&lt;&gt;"",SUM(G331:G344)/SUM(C331:C344),"")</f>
        <v>45644.437765764538</v>
      </c>
      <c r="I344" s="3"/>
      <c r="J344" s="43">
        <f t="shared" ca="1" si="36"/>
        <v>-0.26371010834158282</v>
      </c>
      <c r="K344" s="44">
        <f t="shared" ca="1" si="31"/>
        <v>-2</v>
      </c>
      <c r="L344" s="3"/>
      <c r="M344" s="45">
        <f t="shared" ca="1" si="24"/>
        <v>34919.793361696422</v>
      </c>
      <c r="N344" s="47">
        <f t="shared" ca="1" si="25"/>
        <v>56369.082169832654</v>
      </c>
      <c r="O344" s="45">
        <f t="shared" ca="1" si="26"/>
        <v>29557.471159662357</v>
      </c>
      <c r="P344" s="47">
        <f t="shared" ca="1" si="27"/>
        <v>61731.404371866724</v>
      </c>
      <c r="Q344" s="45">
        <f t="shared" ca="1" si="28"/>
        <v>24195.148957628298</v>
      </c>
      <c r="R344" s="47">
        <f t="shared" ca="1" si="29"/>
        <v>67093.726573900771</v>
      </c>
      <c r="S344" s="73">
        <f t="shared" ca="1" si="35"/>
        <v>-0.26371010834158282</v>
      </c>
      <c r="T344" s="73"/>
      <c r="U344" s="3"/>
      <c r="V344" s="3"/>
      <c r="W344" s="3"/>
      <c r="X344" s="3"/>
    </row>
    <row r="345" spans="1:24" ht="13">
      <c r="A345" s="40">
        <v>44298</v>
      </c>
      <c r="B345" s="41">
        <f t="array" aca="1" ref="B345" ca="1">IF(AND(A345 &gt; TODAY(), A345 &lt;= TODAY() + 7),
   INDEX(calculations!B:B, MATCH(143^143, calculations!B:B)),
   IF(ISNUMBER(MATCH(A345, calculations!A:A, 0)),
      INDEX(calculations!B:B, MATCH(A345, calculations!A:A, 0)),
      ""
   )
)</f>
        <v>59905.94</v>
      </c>
      <c r="C345" s="42">
        <f t="array" aca="1" ref="C345" ca="1">IF(B345&lt;&gt;"", IF(MATCH(A345, calculations!A:A, 0), INDEX(calculations!D:D, MATCH(A345, calculations!A:A, 0)), "No Match"),"")</f>
        <v>406637390979</v>
      </c>
      <c r="D345" s="43">
        <f t="shared" ca="1" si="30"/>
        <v>1.9574050924291007E-2</v>
      </c>
      <c r="E345" s="43">
        <f t="shared" ca="1" si="22"/>
        <v>4.6571446729913741E-5</v>
      </c>
      <c r="F345" s="43">
        <f t="shared" ca="1" si="33"/>
        <v>0.11322354119616526</v>
      </c>
      <c r="G345" s="42">
        <f t="shared" ca="1" si="23"/>
        <v>2.4359995145744516E+16</v>
      </c>
      <c r="H345" s="41">
        <f t="shared" ca="1" si="34"/>
        <v>47423.435186708666</v>
      </c>
      <c r="I345" s="3"/>
      <c r="J345" s="43">
        <f t="shared" ca="1" si="36"/>
        <v>-0.25744825821113215</v>
      </c>
      <c r="K345" s="44">
        <f t="shared" ca="1" si="31"/>
        <v>-2</v>
      </c>
      <c r="L345" s="3"/>
      <c r="M345" s="45">
        <f t="shared" ca="1" si="24"/>
        <v>36684.536651656701</v>
      </c>
      <c r="N345" s="47">
        <f t="shared" ca="1" si="25"/>
        <v>58162.333721760631</v>
      </c>
      <c r="O345" s="45">
        <f t="shared" ca="1" si="26"/>
        <v>31315.087384130722</v>
      </c>
      <c r="P345" s="47">
        <f t="shared" ca="1" si="27"/>
        <v>63531.782989286614</v>
      </c>
      <c r="Q345" s="45">
        <f t="shared" ca="1" si="28"/>
        <v>25945.638116604739</v>
      </c>
      <c r="R345" s="47">
        <f t="shared" ca="1" si="29"/>
        <v>68901.232256812596</v>
      </c>
      <c r="S345" s="73">
        <f t="shared" ca="1" si="35"/>
        <v>-0.25744825821113215</v>
      </c>
      <c r="T345" s="73"/>
      <c r="U345" s="3"/>
      <c r="V345" s="3"/>
      <c r="W345" s="3"/>
      <c r="X345" s="3"/>
    </row>
    <row r="346" spans="1:24" ht="13">
      <c r="A346" s="40">
        <v>44305</v>
      </c>
      <c r="B346" s="41">
        <f t="array" aca="1" ref="B346" ca="1">IF(AND(A346 &gt; TODAY(), A346 &lt;= TODAY() + 7),
   INDEX(calculations!B:B, MATCH(143^143, calculations!B:B)),
   IF(ISNUMBER(MATCH(A346, calculations!A:A, 0)),
      INDEX(calculations!B:B, MATCH(A346, calculations!A:A, 0)),
      ""
   )
)</f>
        <v>55798.14</v>
      </c>
      <c r="C346" s="42">
        <f t="array" aca="1" ref="C346" ca="1">IF(B346&lt;&gt;"", IF(MATCH(A346, calculations!A:A, 0), INDEX(calculations!D:D, MATCH(A346, calculations!A:A, 0)), "No Match"),"")</f>
        <v>508118943571</v>
      </c>
      <c r="D346" s="43">
        <f t="shared" ca="1" si="30"/>
        <v>-6.8570829537104375E-2</v>
      </c>
      <c r="E346" s="43">
        <f t="shared" ca="1" si="22"/>
        <v>6.6130323231907966E-3</v>
      </c>
      <c r="F346" s="43">
        <f t="shared" ca="1" si="33"/>
        <v>0.11619206298299499</v>
      </c>
      <c r="G346" s="42">
        <f t="shared" ca="1" si="23"/>
        <v>2.8352091950026756E+16</v>
      </c>
      <c r="H346" s="41">
        <f t="shared" ca="1" si="34"/>
        <v>49170.861170123084</v>
      </c>
      <c r="I346" s="3"/>
      <c r="J346" s="43">
        <f t="shared" ca="1" si="36"/>
        <v>1</v>
      </c>
      <c r="K346" s="44" t="str">
        <f t="shared" ca="1" si="31"/>
        <v/>
      </c>
      <c r="L346" s="3"/>
      <c r="M346" s="45">
        <f t="shared" ca="1" si="24"/>
        <v>37744.333574108998</v>
      </c>
      <c r="N346" s="47">
        <f t="shared" ca="1" si="25"/>
        <v>60597.38876613717</v>
      </c>
      <c r="O346" s="45">
        <f t="shared" ca="1" si="26"/>
        <v>32031.069776101955</v>
      </c>
      <c r="P346" s="47">
        <f t="shared" ca="1" si="27"/>
        <v>66310.652564144213</v>
      </c>
      <c r="Q346" s="45">
        <f t="shared" ca="1" si="28"/>
        <v>26317.805978094904</v>
      </c>
      <c r="R346" s="47">
        <f t="shared" ca="1" si="29"/>
        <v>72023.916362151256</v>
      </c>
      <c r="S346" s="73">
        <f t="shared" ca="1" si="35"/>
        <v>1</v>
      </c>
      <c r="T346" s="73"/>
      <c r="U346" s="3"/>
      <c r="V346" s="3"/>
      <c r="W346" s="3"/>
      <c r="X346" s="3"/>
    </row>
    <row r="347" spans="1:24" ht="13">
      <c r="A347" s="40">
        <v>44312</v>
      </c>
      <c r="B347" s="41">
        <f t="array" aca="1" ref="B347" ca="1">IF(AND(A347 &gt; TODAY(), A347 &lt;= TODAY() + 7),
   INDEX(calculations!B:B, MATCH(143^143, calculations!B:B)),
   IF(ISNUMBER(MATCH(A347, calculations!A:A, 0)),
      INDEX(calculations!B:B, MATCH(A347, calculations!A:A, 0)),
      ""
   )
)</f>
        <v>53943.35</v>
      </c>
      <c r="C347" s="42">
        <f t="array" aca="1" ref="C347" ca="1">IF(B347&lt;&gt;"", IF(MATCH(A347, calculations!A:A, 0), INDEX(calculations!D:D, MATCH(A347, calculations!A:A, 0)), "No Match"),"")</f>
        <v>444719708699</v>
      </c>
      <c r="D347" s="43">
        <f t="shared" ca="1" si="30"/>
        <v>-3.3241072193445888E-2</v>
      </c>
      <c r="E347" s="43">
        <f t="shared" ca="1" si="22"/>
        <v>2.1151532754692197E-3</v>
      </c>
      <c r="F347" s="43">
        <f t="shared" ca="1" si="33"/>
        <v>0.11778064199034523</v>
      </c>
      <c r="G347" s="42">
        <f t="shared" ca="1" si="23"/>
        <v>2.39896708982482E+16</v>
      </c>
      <c r="H347" s="41">
        <f t="shared" ca="1" si="34"/>
        <v>50563.723862616775</v>
      </c>
      <c r="I347" s="3"/>
      <c r="J347" s="43">
        <f t="shared" ca="1" si="36"/>
        <v>1</v>
      </c>
      <c r="K347" s="44" t="str">
        <f t="shared" ca="1" si="31"/>
        <v/>
      </c>
      <c r="L347" s="3"/>
      <c r="M347" s="45">
        <f t="shared" ca="1" si="24"/>
        <v>38652.868146693691</v>
      </c>
      <c r="N347" s="47">
        <f t="shared" ca="1" si="25"/>
        <v>62474.579578539859</v>
      </c>
      <c r="O347" s="45">
        <f t="shared" ca="1" si="26"/>
        <v>32697.440288732145</v>
      </c>
      <c r="P347" s="47">
        <f t="shared" ca="1" si="27"/>
        <v>68430.007436501401</v>
      </c>
      <c r="Q347" s="45">
        <f t="shared" ca="1" si="28"/>
        <v>26742.01243077061</v>
      </c>
      <c r="R347" s="47">
        <f t="shared" ca="1" si="29"/>
        <v>74385.435294462935</v>
      </c>
      <c r="S347" s="73">
        <f t="shared" ca="1" si="35"/>
        <v>1</v>
      </c>
      <c r="T347" s="73"/>
      <c r="U347" s="3"/>
      <c r="V347" s="3"/>
      <c r="W347" s="3"/>
      <c r="X347" s="3"/>
    </row>
    <row r="348" spans="1:24" ht="13">
      <c r="A348" s="40">
        <v>44319</v>
      </c>
      <c r="B348" s="41">
        <f t="array" aca="1" ref="B348" ca="1">IF(AND(A348 &gt; TODAY(), A348 &lt;= TODAY() + 7),
   INDEX(calculations!B:B, MATCH(143^143, calculations!B:B)),
   IF(ISNUMBER(MATCH(A348, calculations!A:A, 0)),
      INDEX(calculations!B:B, MATCH(A348, calculations!A:A, 0)),
      ""
   )
)</f>
        <v>57243.040000000001</v>
      </c>
      <c r="C348" s="42">
        <f t="array" aca="1" ref="C348" ca="1">IF(B348&lt;&gt;"", IF(MATCH(A348, calculations!A:A, 0), INDEX(calculations!D:D, MATCH(A348, calculations!A:A, 0)), "No Match"),"")</f>
        <v>335231529997</v>
      </c>
      <c r="D348" s="43">
        <f t="shared" ca="1" si="30"/>
        <v>6.1169541750744114E-2</v>
      </c>
      <c r="E348" s="43">
        <f t="shared" ca="1" si="22"/>
        <v>2.3444788131712396E-3</v>
      </c>
      <c r="F348" s="43">
        <f t="shared" ca="1" si="33"/>
        <v>0.10991025544863686</v>
      </c>
      <c r="G348" s="42">
        <f t="shared" ca="1" si="23"/>
        <v>1.9189671880879472E+16</v>
      </c>
      <c r="H348" s="41">
        <f t="shared" ca="1" si="34"/>
        <v>52209.002789716149</v>
      </c>
      <c r="I348" s="3"/>
      <c r="J348" s="43">
        <f t="shared" ca="1" si="36"/>
        <v>1</v>
      </c>
      <c r="K348" s="44" t="str">
        <f t="shared" ca="1" si="31"/>
        <v/>
      </c>
      <c r="L348" s="3"/>
      <c r="M348" s="45">
        <f t="shared" ca="1" si="24"/>
        <v>40732.393123043556</v>
      </c>
      <c r="N348" s="47">
        <f t="shared" ca="1" si="25"/>
        <v>63685.612456388742</v>
      </c>
      <c r="O348" s="45">
        <f t="shared" ca="1" si="26"/>
        <v>34994.088289707259</v>
      </c>
      <c r="P348" s="47">
        <f t="shared" ca="1" si="27"/>
        <v>69423.917289725039</v>
      </c>
      <c r="Q348" s="45">
        <f t="shared" ca="1" si="28"/>
        <v>29255.783456370962</v>
      </c>
      <c r="R348" s="47">
        <f t="shared" ca="1" si="29"/>
        <v>75162.222123061336</v>
      </c>
      <c r="S348" s="73">
        <f t="shared" ca="1" si="35"/>
        <v>1</v>
      </c>
      <c r="T348" s="73"/>
      <c r="U348" s="3"/>
      <c r="V348" s="3"/>
      <c r="W348" s="3"/>
      <c r="X348" s="3"/>
    </row>
    <row r="349" spans="1:24" ht="13">
      <c r="A349" s="40">
        <v>44326</v>
      </c>
      <c r="B349" s="41">
        <f t="array" aca="1" ref="B349" ca="1">IF(AND(A349 &gt; TODAY(), A349 &lt;= TODAY() + 7),
   INDEX(calculations!B:B, MATCH(143^143, calculations!B:B)),
   IF(ISNUMBER(MATCH(A349, calculations!A:A, 0)),
      INDEX(calculations!B:B, MATCH(A349, calculations!A:A, 0)),
      ""
   )
)</f>
        <v>55902.93</v>
      </c>
      <c r="C349" s="42">
        <f t="array" aca="1" ref="C349" ca="1">IF(B349&lt;&gt;"", IF(MATCH(A349, calculations!A:A, 0), INDEX(calculations!D:D, MATCH(A349, calculations!A:A, 0)), "No Match"),"")</f>
        <v>458766142208</v>
      </c>
      <c r="D349" s="43">
        <f t="shared" ca="1" si="30"/>
        <v>-2.34108810433548E-2</v>
      </c>
      <c r="E349" s="43">
        <f t="shared" ca="1" si="22"/>
        <v>1.3075893106825433E-3</v>
      </c>
      <c r="F349" s="43">
        <f t="shared" ca="1" si="33"/>
        <v>0.111470939406434</v>
      </c>
      <c r="G349" s="42">
        <f t="shared" ca="1" si="23"/>
        <v>2.5646371534223868E+16</v>
      </c>
      <c r="H349" s="41">
        <f t="shared" ca="1" si="34"/>
        <v>54030.981456250716</v>
      </c>
      <c r="I349" s="3"/>
      <c r="J349" s="43">
        <f t="shared" ca="1" si="36"/>
        <v>1</v>
      </c>
      <c r="K349" s="44" t="str">
        <f t="shared" ca="1" si="31"/>
        <v/>
      </c>
      <c r="L349" s="3"/>
      <c r="M349" s="45">
        <f t="shared" ca="1" si="24"/>
        <v>41985.212936290955</v>
      </c>
      <c r="N349" s="47">
        <f t="shared" ca="1" si="25"/>
        <v>66076.749976210485</v>
      </c>
      <c r="O349" s="45">
        <f t="shared" ca="1" si="26"/>
        <v>35962.328676311066</v>
      </c>
      <c r="P349" s="47">
        <f t="shared" ca="1" si="27"/>
        <v>72099.634236190366</v>
      </c>
      <c r="Q349" s="45">
        <f t="shared" ca="1" si="28"/>
        <v>29939.444416331189</v>
      </c>
      <c r="R349" s="47">
        <f t="shared" ca="1" si="29"/>
        <v>78122.518496170247</v>
      </c>
      <c r="S349" s="73">
        <f t="shared" ref="S349:S412" ca="1" si="37">IF(B349="","",
 IF(B349&lt;Q349, 1+(4*ABS(D349))+(1+$X$2)+F349,
 IF(B349&lt;O349, 1+(3*ABS(D349))+(1+$X$2)+F349,
 IF(B349&lt;M349, 1+(2*ABS(D349))+(1+$X$2)+F349,
 IF(B349&gt;R349, 1-(4*ABS(D349))-(1+$X$2)-F349,
 IF(B349&gt;P349, 1-(3*ABS(D349))-(1+$X$2)-F349,
 IF(B349&gt;N349, 1-(2*ABS(D349))-(1+$X$2)-F349,
 1)))))))</f>
        <v>1</v>
      </c>
      <c r="T349" s="73"/>
      <c r="U349" s="3"/>
      <c r="V349" s="3"/>
      <c r="W349" s="3"/>
      <c r="X349" s="3"/>
    </row>
    <row r="350" spans="1:24" ht="13">
      <c r="A350" s="40">
        <v>44333</v>
      </c>
      <c r="B350" s="41">
        <f t="array" aca="1" ref="B350" ca="1">IF(AND(A350 &gt; TODAY(), A350 &lt;= TODAY() + 7),
   INDEX(calculations!B:B, MATCH(143^143, calculations!B:B)),
   IF(ISNUMBER(MATCH(A350, calculations!A:A, 0)),
      INDEX(calculations!B:B, MATCH(A350, calculations!A:A, 0)),
      ""
   )
)</f>
        <v>43492.4</v>
      </c>
      <c r="C350" s="42">
        <f t="array" aca="1" ref="C350" ca="1">IF(B350&lt;&gt;"", IF(MATCH(A350, calculations!A:A, 0), INDEX(calculations!D:D, MATCH(A350, calculations!A:A, 0)), "No Match"),"")</f>
        <v>483967915938</v>
      </c>
      <c r="D350" s="43">
        <f t="shared" ca="1" si="30"/>
        <v>-0.22200142282345484</v>
      </c>
      <c r="E350" s="43">
        <f t="shared" ca="1" si="22"/>
        <v>5.5108100633579897E-2</v>
      </c>
      <c r="F350" s="43">
        <f t="shared" ca="1" si="33"/>
        <v>8.5840877161302537E-2</v>
      </c>
      <c r="G350" s="42">
        <f t="shared" ca="1" si="23"/>
        <v>2.1048926187141872E+16</v>
      </c>
      <c r="H350" s="41">
        <f t="shared" ca="1" si="34"/>
        <v>53775.206569541151</v>
      </c>
      <c r="I350" s="3"/>
      <c r="J350" s="43">
        <f t="shared" ca="1" si="36"/>
        <v>2.6349203379745969</v>
      </c>
      <c r="K350" s="44">
        <f t="shared" ca="1" si="31"/>
        <v>2</v>
      </c>
      <c r="L350" s="3"/>
      <c r="M350" s="45">
        <f t="shared" ca="1" si="24"/>
        <v>44542.984766621848</v>
      </c>
      <c r="N350" s="47">
        <f t="shared" ca="1" si="25"/>
        <v>63007.428372460454</v>
      </c>
      <c r="O350" s="45">
        <f t="shared" ca="1" si="26"/>
        <v>39926.873865162197</v>
      </c>
      <c r="P350" s="47">
        <f t="shared" ca="1" si="27"/>
        <v>67623.539273920105</v>
      </c>
      <c r="Q350" s="45">
        <f t="shared" ca="1" si="28"/>
        <v>35310.762963702546</v>
      </c>
      <c r="R350" s="47">
        <f t="shared" ca="1" si="29"/>
        <v>72239.650175379749</v>
      </c>
      <c r="S350" s="73">
        <f t="shared" ca="1" si="37"/>
        <v>2.6349203379745969</v>
      </c>
      <c r="T350" s="73"/>
      <c r="U350" s="3"/>
      <c r="V350" s="3"/>
      <c r="W350" s="3"/>
      <c r="X350" s="3"/>
    </row>
    <row r="351" spans="1:24" ht="13">
      <c r="A351" s="40">
        <v>44340</v>
      </c>
      <c r="B351" s="41">
        <f t="array" aca="1" ref="B351" ca="1">IF(AND(A351 &gt; TODAY(), A351 &lt;= TODAY() + 7),
   INDEX(calculations!B:B, MATCH(143^143, calculations!B:B)),
   IF(ISNUMBER(MATCH(A351, calculations!A:A, 0)),
      INDEX(calculations!B:B, MATCH(A351, calculations!A:A, 0)),
      ""
   )
)</f>
        <v>38630.410000000003</v>
      </c>
      <c r="C351" s="42">
        <f t="array" aca="1" ref="C351" ca="1">IF(B351&lt;&gt;"", IF(MATCH(A351, calculations!A:A, 0), INDEX(calculations!D:D, MATCH(A351, calculations!A:A, 0)), "No Match"),"")</f>
        <v>563629111355</v>
      </c>
      <c r="D351" s="43">
        <f t="shared" ca="1" si="30"/>
        <v>-0.11178941608189012</v>
      </c>
      <c r="E351" s="43">
        <f t="shared" ca="1" si="22"/>
        <v>1.5509997252467185E-2</v>
      </c>
      <c r="F351" s="43">
        <f t="shared" ca="1" si="33"/>
        <v>8.9684214542411114E-2</v>
      </c>
      <c r="G351" s="42">
        <f t="shared" ca="1" si="23"/>
        <v>2.1773223659579308E+16</v>
      </c>
      <c r="H351" s="41">
        <f t="shared" ca="1" si="34"/>
        <v>52864.217927437392</v>
      </c>
      <c r="I351" s="3"/>
      <c r="J351" s="43">
        <f t="shared" ca="1" si="36"/>
        <v>2.5301290779544661</v>
      </c>
      <c r="K351" s="44">
        <f t="shared" ca="1" si="31"/>
        <v>3</v>
      </c>
      <c r="L351" s="3"/>
      <c r="M351" s="45">
        <f t="shared" ca="1" si="24"/>
        <v>43382.046202995254</v>
      </c>
      <c r="N351" s="47">
        <f t="shared" ca="1" si="25"/>
        <v>62346.389651879537</v>
      </c>
      <c r="O351" s="45">
        <f t="shared" ca="1" si="26"/>
        <v>38640.960340774182</v>
      </c>
      <c r="P351" s="47">
        <f t="shared" ca="1" si="27"/>
        <v>67087.475514100603</v>
      </c>
      <c r="Q351" s="45">
        <f t="shared" ca="1" si="28"/>
        <v>33899.874478553109</v>
      </c>
      <c r="R351" s="47">
        <f t="shared" ca="1" si="29"/>
        <v>71828.561376321668</v>
      </c>
      <c r="S351" s="73">
        <f t="shared" ca="1" si="37"/>
        <v>2.5301290779544661</v>
      </c>
      <c r="T351" s="73"/>
      <c r="U351" s="3"/>
      <c r="V351" s="3"/>
      <c r="W351" s="3"/>
      <c r="X351" s="3"/>
    </row>
    <row r="352" spans="1:24" ht="13">
      <c r="A352" s="40">
        <v>44347</v>
      </c>
      <c r="B352" s="41">
        <f t="array" aca="1" ref="B352" ca="1">IF(AND(A352 &gt; TODAY(), A352 &lt;= TODAY() + 7),
   INDEX(calculations!B:B, MATCH(143^143, calculations!B:B)),
   IF(ISNUMBER(MATCH(A352, calculations!A:A, 0)),
      INDEX(calculations!B:B, MATCH(A352, calculations!A:A, 0)),
      ""
   )
)</f>
        <v>37312.97</v>
      </c>
      <c r="C352" s="42">
        <f t="array" aca="1" ref="C352" ca="1">IF(B352&lt;&gt;"", IF(MATCH(A352, calculations!A:A, 0), INDEX(calculations!D:D, MATCH(A352, calculations!A:A, 0)), "No Match"),"")</f>
        <v>350206489990</v>
      </c>
      <c r="D352" s="43">
        <f t="shared" ca="1" si="30"/>
        <v>-3.4103702238728564E-2</v>
      </c>
      <c r="E352" s="43">
        <f t="shared" ca="1" si="22"/>
        <v>2.1952434901627732E-3</v>
      </c>
      <c r="F352" s="43">
        <f t="shared" ca="1" si="33"/>
        <v>8.1172117260695564E-2</v>
      </c>
      <c r="G352" s="42">
        <f t="shared" ca="1" si="23"/>
        <v>1.306724425480217E+16</v>
      </c>
      <c r="H352" s="41">
        <f t="shared" ca="1" si="34"/>
        <v>51861.062688017795</v>
      </c>
      <c r="I352" s="3"/>
      <c r="J352" s="43">
        <f t="shared" ca="1" si="36"/>
        <v>2.2885598391432658</v>
      </c>
      <c r="K352" s="44">
        <f t="shared" ca="1" si="31"/>
        <v>3</v>
      </c>
      <c r="L352" s="3"/>
      <c r="M352" s="45">
        <f t="shared" ca="1" si="24"/>
        <v>43441.718164465667</v>
      </c>
      <c r="N352" s="47">
        <f t="shared" ca="1" si="25"/>
        <v>60280.407211569931</v>
      </c>
      <c r="O352" s="45">
        <f t="shared" ca="1" si="26"/>
        <v>39232.045902689606</v>
      </c>
      <c r="P352" s="47">
        <f t="shared" ca="1" si="27"/>
        <v>64490.079473345984</v>
      </c>
      <c r="Q352" s="45">
        <f t="shared" ca="1" si="28"/>
        <v>35022.373640913538</v>
      </c>
      <c r="R352" s="47">
        <f t="shared" ca="1" si="29"/>
        <v>68699.751735122045</v>
      </c>
      <c r="S352" s="73">
        <f t="shared" ca="1" si="37"/>
        <v>2.2885598391432658</v>
      </c>
      <c r="T352" s="73"/>
      <c r="U352" s="3"/>
      <c r="V352" s="3"/>
      <c r="W352" s="3"/>
      <c r="X352" s="3"/>
    </row>
    <row r="353" spans="1:24" ht="13">
      <c r="A353" s="40">
        <v>44354</v>
      </c>
      <c r="B353" s="41">
        <f t="array" aca="1" ref="B353" ca="1">IF(AND(A353 &gt; TODAY(), A353 &lt;= TODAY() + 7),
   INDEX(calculations!B:B, MATCH(143^143, calculations!B:B)),
   IF(ISNUMBER(MATCH(A353, calculations!A:A, 0)),
      INDEX(calculations!B:B, MATCH(A353, calculations!A:A, 0)),
      ""
   )
)</f>
        <v>33724.910000000003</v>
      </c>
      <c r="C353" s="42">
        <f t="array" aca="1" ref="C353" ca="1">IF(B353&lt;&gt;"", IF(MATCH(A353, calculations!A:A, 0), INDEX(calculations!D:D, MATCH(A353, calculations!A:A, 0)), "No Match"),"")</f>
        <v>248884892724</v>
      </c>
      <c r="D353" s="43">
        <f t="shared" ca="1" si="30"/>
        <v>-9.6161200783534448E-2</v>
      </c>
      <c r="E353" s="43">
        <f t="shared" ca="1" si="22"/>
        <v>1.1861589397396993E-2</v>
      </c>
      <c r="F353" s="43">
        <f t="shared" ca="1" si="33"/>
        <v>8.2157518787209421E-2</v>
      </c>
      <c r="G353" s="42">
        <f t="shared" ca="1" si="23"/>
        <v>8393620607476556</v>
      </c>
      <c r="H353" s="41">
        <f t="shared" ca="1" si="34"/>
        <v>51256.420367698389</v>
      </c>
      <c r="I353" s="3"/>
      <c r="J353" s="43">
        <f t="shared" ca="1" si="36"/>
        <v>2.5718789370877317</v>
      </c>
      <c r="K353" s="44">
        <f t="shared" ca="1" si="31"/>
        <v>4</v>
      </c>
      <c r="L353" s="3"/>
      <c r="M353" s="45">
        <f t="shared" ca="1" si="24"/>
        <v>42834.219729049815</v>
      </c>
      <c r="N353" s="47">
        <f t="shared" ca="1" si="25"/>
        <v>59678.621006346963</v>
      </c>
      <c r="O353" s="45">
        <f t="shared" ca="1" si="26"/>
        <v>38623.119409725536</v>
      </c>
      <c r="P353" s="47">
        <f t="shared" ca="1" si="27"/>
        <v>63889.721325671242</v>
      </c>
      <c r="Q353" s="45">
        <f t="shared" ca="1" si="28"/>
        <v>34412.019090401256</v>
      </c>
      <c r="R353" s="47">
        <f t="shared" ca="1" si="29"/>
        <v>68100.821644995536</v>
      </c>
      <c r="S353" s="73">
        <f t="shared" ca="1" si="37"/>
        <v>2.5718789370877317</v>
      </c>
      <c r="T353" s="73"/>
      <c r="U353" s="3"/>
      <c r="V353" s="3"/>
      <c r="W353" s="3"/>
      <c r="X353" s="3"/>
    </row>
    <row r="354" spans="1:24" ht="13">
      <c r="A354" s="40">
        <v>44361</v>
      </c>
      <c r="B354" s="41">
        <f t="array" aca="1" ref="B354" ca="1">IF(AND(A354 &gt; TODAY(), A354 &lt;= TODAY() + 7),
   INDEX(calculations!B:B, MATCH(143^143, calculations!B:B)),
   IF(ISNUMBER(MATCH(A354, calculations!A:A, 0)),
      INDEX(calculations!B:B, MATCH(A354, calculations!A:A, 0)),
      ""
   )
)</f>
        <v>40455.599999999999</v>
      </c>
      <c r="C354" s="42">
        <f t="array" aca="1" ref="C354" ca="1">IF(B354&lt;&gt;"", IF(MATCH(A354, calculations!A:A, 0), INDEX(calculations!D:D, MATCH(A354, calculations!A:A, 0)), "No Match"),"")</f>
        <v>298428017340</v>
      </c>
      <c r="D354" s="43">
        <f t="shared" ca="1" si="30"/>
        <v>0.19957621829087147</v>
      </c>
      <c r="E354" s="43">
        <f t="shared" ca="1" si="22"/>
        <v>3.4904139208844054E-2</v>
      </c>
      <c r="F354" s="43">
        <f t="shared" ca="1" si="33"/>
        <v>0.10026054976756497</v>
      </c>
      <c r="G354" s="42">
        <f t="shared" ca="1" si="23"/>
        <v>1.2073084498300104E+16</v>
      </c>
      <c r="H354" s="41">
        <f t="shared" ca="1" si="34"/>
        <v>50639.869140827177</v>
      </c>
      <c r="I354" s="3"/>
      <c r="J354" s="43">
        <f t="shared" ca="1" si="36"/>
        <v>2.6044896015156929</v>
      </c>
      <c r="K354" s="44">
        <f t="shared" ca="1" si="31"/>
        <v>2</v>
      </c>
      <c r="L354" s="3"/>
      <c r="M354" s="45">
        <f t="shared" ca="1" si="24"/>
        <v>40485.506900393411</v>
      </c>
      <c r="N354" s="47">
        <f t="shared" ca="1" si="25"/>
        <v>60794.231381260935</v>
      </c>
      <c r="O354" s="45">
        <f t="shared" ca="1" si="26"/>
        <v>35408.325780176536</v>
      </c>
      <c r="P354" s="47">
        <f t="shared" ca="1" si="27"/>
        <v>65871.412501477826</v>
      </c>
      <c r="Q354" s="45">
        <f t="shared" ca="1" si="28"/>
        <v>30331.144659959649</v>
      </c>
      <c r="R354" s="47">
        <f t="shared" ca="1" si="29"/>
        <v>70948.593621694701</v>
      </c>
      <c r="S354" s="73">
        <f t="shared" ca="1" si="37"/>
        <v>2.6044896015156929</v>
      </c>
      <c r="T354" s="73"/>
      <c r="U354" s="3"/>
      <c r="V354" s="3"/>
      <c r="W354" s="3"/>
      <c r="X354" s="3"/>
    </row>
    <row r="355" spans="1:24" ht="13">
      <c r="A355" s="40">
        <v>44368</v>
      </c>
      <c r="B355" s="41">
        <f t="array" aca="1" ref="B355" ca="1">IF(AND(A355 &gt; TODAY(), A355 &lt;= TODAY() + 7),
   INDEX(calculations!B:B, MATCH(143^143, calculations!B:B)),
   IF(ISNUMBER(MATCH(A355, calculations!A:A, 0)),
      INDEX(calculations!B:B, MATCH(A355, calculations!A:A, 0)),
      ""
   )
)</f>
        <v>31715.16</v>
      </c>
      <c r="C355" s="42">
        <f t="array" aca="1" ref="C355" ca="1">IF(B355&lt;&gt;"", IF(MATCH(A355, calculations!A:A, 0), INDEX(calculations!D:D, MATCH(A355, calculations!A:A, 0)), "No Match"),"")</f>
        <v>269949570053</v>
      </c>
      <c r="D355" s="43">
        <f t="shared" ca="1" si="30"/>
        <v>-0.21605018835464063</v>
      </c>
      <c r="E355" s="43">
        <f t="shared" ca="1" si="22"/>
        <v>5.2349399599783415E-2</v>
      </c>
      <c r="F355" s="43">
        <f t="shared" ca="1" si="33"/>
        <v>0.11007715262424009</v>
      </c>
      <c r="G355" s="42">
        <f t="shared" ca="1" si="23"/>
        <v>8561493806162103</v>
      </c>
      <c r="H355" s="41">
        <f t="shared" ca="1" si="34"/>
        <v>49355.62342335529</v>
      </c>
      <c r="I355" s="3"/>
      <c r="J355" s="43">
        <f t="shared" ca="1" si="36"/>
        <v>2.8633043328545469</v>
      </c>
      <c r="K355" s="44">
        <f t="shared" ca="1" si="31"/>
        <v>3</v>
      </c>
      <c r="L355" s="3"/>
      <c r="M355" s="45">
        <f t="shared" ca="1" si="24"/>
        <v>38489.770438480889</v>
      </c>
      <c r="N355" s="47">
        <f t="shared" ca="1" si="25"/>
        <v>60221.47640822969</v>
      </c>
      <c r="O355" s="45">
        <f t="shared" ca="1" si="26"/>
        <v>33056.843946043693</v>
      </c>
      <c r="P355" s="47">
        <f t="shared" ca="1" si="27"/>
        <v>65654.402900666886</v>
      </c>
      <c r="Q355" s="45">
        <f t="shared" ca="1" si="28"/>
        <v>27623.917453606493</v>
      </c>
      <c r="R355" s="47">
        <f t="shared" ca="1" si="29"/>
        <v>71087.329393104097</v>
      </c>
      <c r="S355" s="73">
        <f t="shared" ca="1" si="37"/>
        <v>2.8633043328545469</v>
      </c>
      <c r="T355" s="73"/>
      <c r="U355" s="3"/>
      <c r="V355" s="3"/>
      <c r="W355" s="3"/>
      <c r="X355" s="3"/>
    </row>
    <row r="356" spans="1:24" ht="13">
      <c r="A356" s="40">
        <v>44375</v>
      </c>
      <c r="B356" s="41">
        <f t="array" aca="1" ref="B356" ca="1">IF(AND(A356 &gt; TODAY(), A356 &lt;= TODAY() + 7),
   INDEX(calculations!B:B, MATCH(143^143, calculations!B:B)),
   IF(ISNUMBER(MATCH(A356, calculations!A:A, 0)),
      INDEX(calculations!B:B, MATCH(A356, calculations!A:A, 0)),
      ""
   )
)</f>
        <v>34376.19</v>
      </c>
      <c r="C356" s="42">
        <f t="array" aca="1" ref="C356" ca="1">IF(B356&lt;&gt;"", IF(MATCH(A356, calculations!A:A, 0), INDEX(calculations!D:D, MATCH(A356, calculations!A:A, 0)), "No Match"),"")</f>
        <v>305541799334</v>
      </c>
      <c r="D356" s="43">
        <f t="shared" ca="1" si="30"/>
        <v>8.3904038321105823E-2</v>
      </c>
      <c r="E356" s="43">
        <f t="shared" ca="1" si="22"/>
        <v>5.0629365378467035E-3</v>
      </c>
      <c r="F356" s="43">
        <f t="shared" ca="1" si="33"/>
        <v>0.11452109889793394</v>
      </c>
      <c r="G356" s="42">
        <f t="shared" ca="1" si="23"/>
        <v>1.0503362946847458E+16</v>
      </c>
      <c r="H356" s="41">
        <f t="shared" ca="1" si="34"/>
        <v>48155.575664988719</v>
      </c>
      <c r="I356" s="3"/>
      <c r="J356" s="43">
        <f t="shared" ca="1" si="36"/>
        <v>2.3874057907065307</v>
      </c>
      <c r="K356" s="44">
        <f t="shared" ca="1" si="31"/>
        <v>2</v>
      </c>
      <c r="L356" s="3"/>
      <c r="M356" s="45">
        <f t="shared" ca="1" si="24"/>
        <v>37125.916778554492</v>
      </c>
      <c r="N356" s="47">
        <f t="shared" ca="1" si="25"/>
        <v>59185.234551422946</v>
      </c>
      <c r="O356" s="45">
        <f t="shared" ca="1" si="26"/>
        <v>31611.087335337375</v>
      </c>
      <c r="P356" s="47">
        <f t="shared" ca="1" si="27"/>
        <v>64700.063994640062</v>
      </c>
      <c r="Q356" s="45">
        <f t="shared" ca="1" si="28"/>
        <v>26096.257892120262</v>
      </c>
      <c r="R356" s="47">
        <f t="shared" ca="1" si="29"/>
        <v>70214.893437857172</v>
      </c>
      <c r="S356" s="73">
        <f t="shared" ca="1" si="37"/>
        <v>2.3874057907065307</v>
      </c>
      <c r="T356" s="73"/>
      <c r="U356" s="3"/>
      <c r="V356" s="3"/>
      <c r="W356" s="3"/>
      <c r="X356" s="3"/>
    </row>
    <row r="357" spans="1:24" ht="13">
      <c r="A357" s="40">
        <v>44382</v>
      </c>
      <c r="B357" s="41">
        <f t="array" aca="1" ref="B357" ca="1">IF(AND(A357 &gt; TODAY(), A357 &lt;= TODAY() + 7),
   INDEX(calculations!B:B, MATCH(143^143, calculations!B:B)),
   IF(ISNUMBER(MATCH(A357, calculations!A:A, 0)),
      INDEX(calculations!B:B, MATCH(A357, calculations!A:A, 0)),
      ""
   )
)</f>
        <v>33911.75</v>
      </c>
      <c r="C357" s="42">
        <f t="array" aca="1" ref="C357" ca="1">IF(B357&lt;&gt;"", IF(MATCH(A357, calculations!A:A, 0), INDEX(calculations!D:D, MATCH(A357, calculations!A:A, 0)), "No Match"),"")</f>
        <v>231729218470</v>
      </c>
      <c r="D357" s="43">
        <f t="shared" ca="1" si="30"/>
        <v>-1.3510514108748012E-2</v>
      </c>
      <c r="E357" s="43">
        <f t="shared" ca="1" si="22"/>
        <v>6.896000718181755E-4</v>
      </c>
      <c r="F357" s="43">
        <f t="shared" ca="1" si="33"/>
        <v>0.11210200086982328</v>
      </c>
      <c r="G357" s="42">
        <f t="shared" ca="1" si="23"/>
        <v>7858343324450022</v>
      </c>
      <c r="H357" s="41">
        <f t="shared" ca="1" si="34"/>
        <v>46820.193720736388</v>
      </c>
      <c r="I357" s="3"/>
      <c r="J357" s="43">
        <f t="shared" ca="1" si="36"/>
        <v>2.2441996442537047</v>
      </c>
      <c r="K357" s="44">
        <f t="shared" ca="1" si="31"/>
        <v>2</v>
      </c>
      <c r="L357" s="3"/>
      <c r="M357" s="45">
        <f t="shared" ca="1" si="24"/>
        <v>36322.918926321821</v>
      </c>
      <c r="N357" s="47">
        <f t="shared" ca="1" si="25"/>
        <v>57317.468515150955</v>
      </c>
      <c r="O357" s="45">
        <f t="shared" ca="1" si="26"/>
        <v>31074.281529114531</v>
      </c>
      <c r="P357" s="47">
        <f t="shared" ca="1" si="27"/>
        <v>62566.105912358253</v>
      </c>
      <c r="Q357" s="45">
        <f t="shared" ca="1" si="28"/>
        <v>25825.644131907247</v>
      </c>
      <c r="R357" s="47">
        <f t="shared" ca="1" si="29"/>
        <v>67814.743309565529</v>
      </c>
      <c r="S357" s="73">
        <f t="shared" ca="1" si="37"/>
        <v>2.2441996442537047</v>
      </c>
      <c r="T357" s="73"/>
      <c r="U357" s="3"/>
      <c r="V357" s="3"/>
      <c r="W357" s="3"/>
      <c r="X357" s="3"/>
    </row>
    <row r="358" spans="1:24" ht="13">
      <c r="A358" s="40">
        <v>44389</v>
      </c>
      <c r="B358" s="41">
        <f t="array" aca="1" ref="B358" ca="1">IF(AND(A358 &gt; TODAY(), A358 &lt;= TODAY() + 7),
   INDEX(calculations!B:B, MATCH(143^143, calculations!B:B)),
   IF(ISNUMBER(MATCH(A358, calculations!A:A, 0)),
      INDEX(calculations!B:B, MATCH(A358, calculations!A:A, 0)),
      ""
   )
)</f>
        <v>33135.24</v>
      </c>
      <c r="C358" s="42">
        <f t="array" aca="1" ref="C358" ca="1">IF(B358&lt;&gt;"", IF(MATCH(A358, calculations!A:A, 0), INDEX(calculations!D:D, MATCH(A358, calculations!A:A, 0)), "No Match"),"")</f>
        <v>178445862441</v>
      </c>
      <c r="D358" s="43">
        <f t="shared" ca="1" si="30"/>
        <v>-2.2897963095387351E-2</v>
      </c>
      <c r="E358" s="43">
        <f t="shared" ca="1" si="22"/>
        <v>1.2707575494901196E-3</v>
      </c>
      <c r="F358" s="43">
        <f t="shared" ca="1" si="33"/>
        <v>0.11116149579095153</v>
      </c>
      <c r="G358" s="42">
        <f t="shared" ca="1" si="23"/>
        <v>5912846478989520</v>
      </c>
      <c r="H358" s="41">
        <f t="shared" ca="1" si="34"/>
        <v>45381.255439791923</v>
      </c>
      <c r="I358" s="3"/>
      <c r="J358" s="43">
        <f t="shared" ca="1" si="36"/>
        <v>2.2620340371481111</v>
      </c>
      <c r="K358" s="44">
        <f t="shared" ca="1" si="31"/>
        <v>2</v>
      </c>
      <c r="L358" s="3"/>
      <c r="M358" s="45">
        <f t="shared" ca="1" si="24"/>
        <v>35291.958968674873</v>
      </c>
      <c r="N358" s="47">
        <f t="shared" ca="1" si="25"/>
        <v>55470.551910908973</v>
      </c>
      <c r="O358" s="45">
        <f t="shared" ca="1" si="26"/>
        <v>30247.310733116345</v>
      </c>
      <c r="P358" s="47">
        <f t="shared" ca="1" si="27"/>
        <v>60515.200146467505</v>
      </c>
      <c r="Q358" s="45">
        <f t="shared" ca="1" si="28"/>
        <v>25202.66249755782</v>
      </c>
      <c r="R358" s="47">
        <f t="shared" ca="1" si="29"/>
        <v>65559.84838202603</v>
      </c>
      <c r="S358" s="73">
        <f t="shared" ca="1" si="37"/>
        <v>2.2620340371481111</v>
      </c>
      <c r="T358" s="73"/>
      <c r="U358" s="3"/>
      <c r="V358" s="3"/>
      <c r="W358" s="3"/>
      <c r="X358" s="3"/>
    </row>
    <row r="359" spans="1:24" ht="13">
      <c r="A359" s="40">
        <v>44396</v>
      </c>
      <c r="B359" s="41">
        <f t="array" aca="1" ref="B359" ca="1">IF(AND(A359 &gt; TODAY(), A359 &lt;= TODAY() + 7),
   INDEX(calculations!B:B, MATCH(143^143, calculations!B:B)),
   IF(ISNUMBER(MATCH(A359, calculations!A:A, 0)),
      INDEX(calculations!B:B, MATCH(A359, calculations!A:A, 0)),
      ""
   )
)</f>
        <v>30883.47</v>
      </c>
      <c r="C359" s="42">
        <f t="array" aca="1" ref="C359" ca="1">IF(B359&lt;&gt;"", IF(MATCH(A359, calculations!A:A, 0), INDEX(calculations!D:D, MATCH(A359, calculations!A:A, 0)), "No Match"),"")</f>
        <v>147501894180</v>
      </c>
      <c r="D359" s="43">
        <f t="shared" ca="1" si="30"/>
        <v>-6.7956954589735788E-2</v>
      </c>
      <c r="E359" s="43">
        <f t="shared" ca="1" si="22"/>
        <v>6.5135678653846793E-3</v>
      </c>
      <c r="F359" s="43">
        <f t="shared" ca="1" si="33"/>
        <v>0.11036865693384296</v>
      </c>
      <c r="G359" s="42">
        <f t="shared" ca="1" si="23"/>
        <v>4555370323851205</v>
      </c>
      <c r="H359" s="41">
        <f t="shared" ca="1" si="34"/>
        <v>43713.995595410117</v>
      </c>
      <c r="I359" s="3"/>
      <c r="J359" s="43">
        <f t="shared" ca="1" si="36"/>
        <v>2.3513591812796997</v>
      </c>
      <c r="K359" s="44">
        <f t="shared" ca="1" si="31"/>
        <v>2</v>
      </c>
      <c r="L359" s="3"/>
      <c r="M359" s="45">
        <f t="shared" ca="1" si="24"/>
        <v>34064.685629255437</v>
      </c>
      <c r="N359" s="47">
        <f t="shared" ca="1" si="25"/>
        <v>53363.305561564797</v>
      </c>
      <c r="O359" s="45">
        <f t="shared" ca="1" si="26"/>
        <v>29240.030646178089</v>
      </c>
      <c r="P359" s="47">
        <f t="shared" ca="1" si="27"/>
        <v>58187.960544642141</v>
      </c>
      <c r="Q359" s="45">
        <f t="shared" ca="1" si="28"/>
        <v>24415.375663100753</v>
      </c>
      <c r="R359" s="47">
        <f t="shared" ca="1" si="29"/>
        <v>63012.615527719485</v>
      </c>
      <c r="S359" s="73">
        <f t="shared" ca="1" si="37"/>
        <v>2.3513591812796997</v>
      </c>
      <c r="T359" s="73"/>
      <c r="U359" s="3"/>
      <c r="V359" s="3"/>
      <c r="W359" s="3"/>
      <c r="X359" s="3"/>
    </row>
    <row r="360" spans="1:24" ht="13">
      <c r="A360" s="40">
        <v>44403</v>
      </c>
      <c r="B360" s="41">
        <f t="array" aca="1" ref="B360" ca="1">IF(AND(A360 &gt; TODAY(), A360 &lt;= TODAY() + 7),
   INDEX(calculations!B:B, MATCH(143^143, calculations!B:B)),
   IF(ISNUMBER(MATCH(A360, calculations!A:A, 0)),
      INDEX(calculations!B:B, MATCH(A360, calculations!A:A, 0)),
      ""
   )
)</f>
        <v>37444.78</v>
      </c>
      <c r="C360" s="42">
        <f t="array" aca="1" ref="C360" ca="1">IF(B360&lt;&gt;"", IF(MATCH(A360, calculations!A:A, 0), INDEX(calculations!D:D, MATCH(A360, calculations!A:A, 0)), "No Match"),"")</f>
        <v>156414750211</v>
      </c>
      <c r="D360" s="43">
        <f t="shared" ca="1" si="30"/>
        <v>0.21245378190986949</v>
      </c>
      <c r="E360" s="43">
        <f t="shared" ca="1" si="22"/>
        <v>3.988171100202631E-2</v>
      </c>
      <c r="F360" s="43">
        <f t="shared" ca="1" si="33"/>
        <v>0.128851195661569</v>
      </c>
      <c r="G360" s="42">
        <f t="shared" ca="1" si="23"/>
        <v>5856915910405848</v>
      </c>
      <c r="H360" s="41">
        <f t="shared" ca="1" si="34"/>
        <v>42122.196611614374</v>
      </c>
      <c r="I360" s="3"/>
      <c r="J360" s="43">
        <f t="shared" ca="1" si="36"/>
        <v>1</v>
      </c>
      <c r="K360" s="44" t="str">
        <f t="shared" ca="1" si="31"/>
        <v/>
      </c>
      <c r="L360" s="3"/>
      <c r="M360" s="45">
        <f t="shared" ca="1" si="24"/>
        <v>31267.20581701797</v>
      </c>
      <c r="N360" s="47">
        <f t="shared" ca="1" si="25"/>
        <v>52977.187406210782</v>
      </c>
      <c r="O360" s="45">
        <f t="shared" ca="1" si="26"/>
        <v>25839.710419719766</v>
      </c>
      <c r="P360" s="47">
        <f t="shared" ca="1" si="27"/>
        <v>58404.682803508978</v>
      </c>
      <c r="Q360" s="45">
        <f t="shared" ca="1" si="28"/>
        <v>20412.215022421566</v>
      </c>
      <c r="R360" s="47">
        <f t="shared" ca="1" si="29"/>
        <v>63832.178200807182</v>
      </c>
      <c r="S360" s="73">
        <f t="shared" ca="1" si="37"/>
        <v>1</v>
      </c>
      <c r="T360" s="73"/>
      <c r="U360" s="3"/>
      <c r="V360" s="3"/>
      <c r="W360" s="3"/>
      <c r="X360" s="3"/>
    </row>
    <row r="361" spans="1:24" ht="13">
      <c r="A361" s="40">
        <v>44410</v>
      </c>
      <c r="B361" s="41">
        <f t="array" aca="1" ref="B361" ca="1">IF(AND(A361 &gt; TODAY(), A361 &lt;= TODAY() + 7),
   INDEX(calculations!B:B, MATCH(143^143, calculations!B:B)),
   IF(ISNUMBER(MATCH(A361, calculations!A:A, 0)),
      INDEX(calculations!B:B, MATCH(A361, calculations!A:A, 0)),
      ""
   )
)</f>
        <v>39304.19</v>
      </c>
      <c r="C361" s="42">
        <f t="array" aca="1" ref="C361" ca="1">IF(B361&lt;&gt;"", IF(MATCH(A361, calculations!A:A, 0), INDEX(calculations!D:D, MATCH(A361, calculations!A:A, 0)), "No Match"),"")</f>
        <v>237553113912</v>
      </c>
      <c r="D361" s="43">
        <f t="shared" ca="1" si="30"/>
        <v>4.9657388826960754E-2</v>
      </c>
      <c r="E361" s="43">
        <f t="shared" ca="1" si="22"/>
        <v>1.362175770357222E-3</v>
      </c>
      <c r="F361" s="43">
        <f t="shared" ca="1" si="33"/>
        <v>0.13010875923656492</v>
      </c>
      <c r="G361" s="42">
        <f t="shared" ca="1" si="23"/>
        <v>9336832724288892</v>
      </c>
      <c r="H361" s="41">
        <f t="shared" ca="1" si="34"/>
        <v>40733.031487932632</v>
      </c>
      <c r="I361" s="3"/>
      <c r="J361" s="43">
        <f t="shared" ca="1" si="36"/>
        <v>1</v>
      </c>
      <c r="K361" s="44" t="str">
        <f t="shared" ca="1" si="31"/>
        <v/>
      </c>
      <c r="L361" s="3"/>
      <c r="M361" s="45">
        <f t="shared" ca="1" si="24"/>
        <v>30133.58311425494</v>
      </c>
      <c r="N361" s="47">
        <f t="shared" ca="1" si="25"/>
        <v>51332.479861610322</v>
      </c>
      <c r="O361" s="45">
        <f t="shared" ca="1" si="26"/>
        <v>24833.858927416099</v>
      </c>
      <c r="P361" s="47">
        <f t="shared" ca="1" si="27"/>
        <v>56632.204048449166</v>
      </c>
      <c r="Q361" s="45">
        <f t="shared" ca="1" si="28"/>
        <v>19534.134740577254</v>
      </c>
      <c r="R361" s="47">
        <f t="shared" ca="1" si="29"/>
        <v>61931.928235288018</v>
      </c>
      <c r="S361" s="73">
        <f t="shared" ca="1" si="37"/>
        <v>1</v>
      </c>
      <c r="T361" s="73"/>
      <c r="U361" s="3"/>
      <c r="V361" s="3"/>
      <c r="W361" s="3"/>
      <c r="X361" s="3"/>
    </row>
    <row r="362" spans="1:24" ht="13">
      <c r="A362" s="40">
        <v>44417</v>
      </c>
      <c r="B362" s="41">
        <f t="array" aca="1" ref="B362" ca="1">IF(AND(A362 &gt; TODAY(), A362 &lt;= TODAY() + 7),
   INDEX(calculations!B:B, MATCH(143^143, calculations!B:B)),
   IF(ISNUMBER(MATCH(A362, calculations!A:A, 0)),
      INDEX(calculations!B:B, MATCH(A362, calculations!A:A, 0)),
      ""
   )
)</f>
        <v>46265.64</v>
      </c>
      <c r="C362" s="42">
        <f t="array" aca="1" ref="C362" ca="1">IF(B362&lt;&gt;"", IF(MATCH(A362, calculations!A:A, 0), INDEX(calculations!D:D, MATCH(A362, calculations!A:A, 0)), "No Match"),"")</f>
        <v>226902699564</v>
      </c>
      <c r="D362" s="43">
        <f t="shared" ca="1" si="30"/>
        <v>0.17711724882258092</v>
      </c>
      <c r="E362" s="43">
        <f t="shared" ca="1" si="22"/>
        <v>2.701668342729846E-2</v>
      </c>
      <c r="F362" s="43">
        <f t="shared" ca="1" si="33"/>
        <v>0.13869381187075572</v>
      </c>
      <c r="G362" s="42">
        <f t="shared" ca="1" si="23"/>
        <v>1.049779861305618E+16</v>
      </c>
      <c r="H362" s="41">
        <f t="shared" ca="1" si="34"/>
        <v>39703.836581372838</v>
      </c>
      <c r="I362" s="3"/>
      <c r="J362" s="43">
        <f t="shared" ca="1" si="36"/>
        <v>1</v>
      </c>
      <c r="K362" s="44" t="str">
        <f t="shared" ca="1" si="31"/>
        <v/>
      </c>
      <c r="L362" s="3"/>
      <c r="M362" s="45">
        <f t="shared" ca="1" si="24"/>
        <v>28690.483698644533</v>
      </c>
      <c r="N362" s="47">
        <f t="shared" ca="1" si="25"/>
        <v>50717.189464101139</v>
      </c>
      <c r="O362" s="45">
        <f t="shared" ca="1" si="26"/>
        <v>23183.807257280376</v>
      </c>
      <c r="P362" s="47">
        <f t="shared" ca="1" si="27"/>
        <v>56223.865905465304</v>
      </c>
      <c r="Q362" s="45">
        <f t="shared" ca="1" si="28"/>
        <v>17677.130815916225</v>
      </c>
      <c r="R362" s="47">
        <f t="shared" ca="1" si="29"/>
        <v>61730.542346829447</v>
      </c>
      <c r="S362" s="73">
        <f t="shared" ca="1" si="37"/>
        <v>1</v>
      </c>
      <c r="T362" s="73"/>
      <c r="U362" s="3"/>
      <c r="V362" s="3"/>
      <c r="W362" s="3"/>
      <c r="X362" s="3"/>
    </row>
    <row r="363" spans="1:24" ht="13">
      <c r="A363" s="40">
        <v>44424</v>
      </c>
      <c r="B363" s="41">
        <f t="array" aca="1" ref="B363" ca="1">IF(AND(A363 &gt; TODAY(), A363 &lt;= TODAY() + 7),
   INDEX(calculations!B:B, MATCH(143^143, calculations!B:B)),
   IF(ISNUMBER(MATCH(A363, calculations!A:A, 0)),
      INDEX(calculations!B:B, MATCH(A363, calculations!A:A, 0)),
      ""
   )
)</f>
        <v>45984.72</v>
      </c>
      <c r="C363" s="42">
        <f t="array" aca="1" ref="C363" ca="1">IF(B363&lt;&gt;"", IF(MATCH(A363, calculations!A:A, 0), INDEX(calculations!D:D, MATCH(A363, calculations!A:A, 0)), "No Match"),"")</f>
        <v>234268000892</v>
      </c>
      <c r="D363" s="43">
        <f t="shared" ca="1" si="30"/>
        <v>-6.0718926615950467E-3</v>
      </c>
      <c r="E363" s="43">
        <f t="shared" ca="1" si="22"/>
        <v>3.5425322959493932E-4</v>
      </c>
      <c r="F363" s="43">
        <f t="shared" ca="1" si="33"/>
        <v>0.13860457142439905</v>
      </c>
      <c r="G363" s="42">
        <f t="shared" ca="1" si="23"/>
        <v>1.077274842597837E+16</v>
      </c>
      <c r="H363" s="41">
        <f t="shared" ca="1" si="34"/>
        <v>38188.5698320628</v>
      </c>
      <c r="I363" s="3"/>
      <c r="J363" s="43">
        <f t="shared" ca="1" si="36"/>
        <v>1</v>
      </c>
      <c r="K363" s="44" t="str">
        <f t="shared" ca="1" si="31"/>
        <v/>
      </c>
      <c r="L363" s="3"/>
      <c r="M363" s="45">
        <f t="shared" ca="1" si="24"/>
        <v>27602.3491222952</v>
      </c>
      <c r="N363" s="47">
        <f t="shared" ca="1" si="25"/>
        <v>48774.7905418304</v>
      </c>
      <c r="O363" s="45">
        <f t="shared" ca="1" si="26"/>
        <v>22309.238767411403</v>
      </c>
      <c r="P363" s="47">
        <f t="shared" ca="1" si="27"/>
        <v>54067.900896714193</v>
      </c>
      <c r="Q363" s="45">
        <f t="shared" ca="1" si="28"/>
        <v>17016.128412527603</v>
      </c>
      <c r="R363" s="47">
        <f t="shared" ca="1" si="29"/>
        <v>59361.011251598</v>
      </c>
      <c r="S363" s="73">
        <f t="shared" ca="1" si="37"/>
        <v>1</v>
      </c>
      <c r="T363" s="73"/>
      <c r="U363" s="3"/>
      <c r="V363" s="3"/>
      <c r="W363" s="3"/>
      <c r="X363" s="3"/>
    </row>
    <row r="364" spans="1:24" ht="13">
      <c r="A364" s="40">
        <v>44431</v>
      </c>
      <c r="B364" s="41">
        <f t="array" aca="1" ref="B364" ca="1">IF(AND(A364 &gt; TODAY(), A364 &lt;= TODAY() + 7),
   INDEX(calculations!B:B, MATCH(143^143, calculations!B:B)),
   IF(ISNUMBER(MATCH(A364, calculations!A:A, 0)),
      INDEX(calculations!B:B, MATCH(A364, calculations!A:A, 0)),
      ""
   )
)</f>
        <v>49590.879999999997</v>
      </c>
      <c r="C364" s="42">
        <f t="array" aca="1" ref="C364" ca="1">IF(B364&lt;&gt;"", IF(MATCH(A364, calculations!A:A, 0), INDEX(calculations!D:D, MATCH(A364, calculations!A:A, 0)), "No Match"),"")</f>
        <v>236289722726</v>
      </c>
      <c r="D364" s="43">
        <f t="shared" ca="1" si="30"/>
        <v>7.8420831963312954E-2</v>
      </c>
      <c r="E364" s="43">
        <f t="shared" ca="1" si="22"/>
        <v>4.3126945054303553E-3</v>
      </c>
      <c r="F364" s="43">
        <f t="shared" ca="1" si="33"/>
        <v>0.1249848471917913</v>
      </c>
      <c r="G364" s="42">
        <f t="shared" ca="1" si="23"/>
        <v>1.1717815284938338E+16</v>
      </c>
      <c r="H364" s="41">
        <f t="shared" ca="1" si="34"/>
        <v>38223.125958491488</v>
      </c>
      <c r="I364" s="3"/>
      <c r="J364" s="43">
        <f t="shared" ca="1" si="36"/>
        <v>-0.38690312628480211</v>
      </c>
      <c r="K364" s="44">
        <f t="shared" ca="1" si="31"/>
        <v>-2</v>
      </c>
      <c r="L364" s="3"/>
      <c r="M364" s="45">
        <f t="shared" ca="1" si="24"/>
        <v>28668.502844262188</v>
      </c>
      <c r="N364" s="47">
        <f t="shared" ca="1" si="25"/>
        <v>47777.749072720784</v>
      </c>
      <c r="O364" s="45">
        <f t="shared" ca="1" si="26"/>
        <v>23891.19128714754</v>
      </c>
      <c r="P364" s="47">
        <f t="shared" ca="1" si="27"/>
        <v>52555.06062983544</v>
      </c>
      <c r="Q364" s="45">
        <f t="shared" ca="1" si="28"/>
        <v>19113.879730032884</v>
      </c>
      <c r="R364" s="47">
        <f t="shared" ca="1" si="29"/>
        <v>57332.372186950088</v>
      </c>
      <c r="S364" s="73">
        <f t="shared" ca="1" si="37"/>
        <v>-0.38690312628480211</v>
      </c>
      <c r="T364" s="73"/>
      <c r="U364" s="3"/>
      <c r="V364" s="3"/>
      <c r="W364" s="3"/>
      <c r="X364" s="3"/>
    </row>
    <row r="365" spans="1:24" ht="13">
      <c r="A365" s="40">
        <v>44438</v>
      </c>
      <c r="B365" s="41">
        <f t="array" aca="1" ref="B365" ca="1">IF(AND(A365 &gt; TODAY(), A365 &lt;= TODAY() + 7),
   INDEX(calculations!B:B, MATCH(143^143, calculations!B:B)),
   IF(ISNUMBER(MATCH(A365, calculations!A:A, 0)),
      INDEX(calculations!B:B, MATCH(A365, calculations!A:A, 0)),
      ""
   )
)</f>
        <v>47125.77</v>
      </c>
      <c r="C365" s="42">
        <f t="array" aca="1" ref="C365" ca="1">IF(B365&lt;&gt;"", IF(MATCH(A365, calculations!A:A, 0), INDEX(calculations!D:D, MATCH(A365, calculations!A:A, 0)), "No Match"),"")</f>
        <v>223947952688</v>
      </c>
      <c r="D365" s="43">
        <f t="shared" ca="1" si="30"/>
        <v>-4.9708938417709077E-2</v>
      </c>
      <c r="E365" s="43">
        <f t="shared" ca="1" si="22"/>
        <v>3.9010844308318767E-3</v>
      </c>
      <c r="F365" s="43">
        <f t="shared" ca="1" si="33"/>
        <v>0.12112035984104794</v>
      </c>
      <c r="G365" s="42">
        <f t="shared" ca="1" si="23"/>
        <v>1.055371971034557E+16</v>
      </c>
      <c r="H365" s="41">
        <f t="shared" ca="1" si="34"/>
        <v>38750.363863199935</v>
      </c>
      <c r="I365" s="3"/>
      <c r="J365" s="43">
        <f t="shared" ca="1" si="36"/>
        <v>1</v>
      </c>
      <c r="K365" s="44" t="str">
        <f t="shared" ca="1" si="31"/>
        <v/>
      </c>
      <c r="L365" s="3"/>
      <c r="M365" s="45">
        <f t="shared" ca="1" si="24"/>
        <v>29363.447833035298</v>
      </c>
      <c r="N365" s="47">
        <f t="shared" ca="1" si="25"/>
        <v>48137.279893364568</v>
      </c>
      <c r="O365" s="45">
        <f t="shared" ca="1" si="26"/>
        <v>24669.989817952985</v>
      </c>
      <c r="P365" s="47">
        <f t="shared" ca="1" si="27"/>
        <v>52830.737908446885</v>
      </c>
      <c r="Q365" s="45">
        <f t="shared" ca="1" si="28"/>
        <v>19976.531802870668</v>
      </c>
      <c r="R365" s="47">
        <f t="shared" ca="1" si="29"/>
        <v>57524.195923529209</v>
      </c>
      <c r="S365" s="73">
        <f t="shared" ca="1" si="37"/>
        <v>1</v>
      </c>
      <c r="T365" s="73"/>
      <c r="U365" s="3"/>
      <c r="V365" s="3"/>
      <c r="W365" s="3"/>
      <c r="X365" s="3"/>
    </row>
    <row r="366" spans="1:24" ht="13">
      <c r="A366" s="40">
        <v>44445</v>
      </c>
      <c r="B366" s="41">
        <f t="array" aca="1" ref="B366" ca="1">IF(AND(A366 &gt; TODAY(), A366 &lt;= TODAY() + 7),
   INDEX(calculations!B:B, MATCH(143^143, calculations!B:B)),
   IF(ISNUMBER(MATCH(A366, calculations!A:A, 0)),
      INDEX(calculations!B:B, MATCH(A366, calculations!A:A, 0)),
      ""
   )
)</f>
        <v>52640.59</v>
      </c>
      <c r="C366" s="42">
        <f t="array" aca="1" ref="C366" ca="1">IF(B366&lt;&gt;"", IF(MATCH(A366, calculations!A:A, 0), INDEX(calculations!D:D, MATCH(A366, calculations!A:A, 0)), "No Match"),"")</f>
        <v>256225023619</v>
      </c>
      <c r="D366" s="43">
        <f t="shared" ca="1" si="30"/>
        <v>0.11702344598295158</v>
      </c>
      <c r="E366" s="43">
        <f t="shared" ca="1" si="22"/>
        <v>1.0873009230032862E-2</v>
      </c>
      <c r="F366" s="43">
        <f t="shared" ca="1" si="33"/>
        <v>0.12255300662021198</v>
      </c>
      <c r="G366" s="42">
        <f t="shared" ca="1" si="23"/>
        <v>1.3487836416068094E+16</v>
      </c>
      <c r="H366" s="41">
        <f t="shared" ca="1" si="34"/>
        <v>39999.535173233366</v>
      </c>
      <c r="I366" s="3"/>
      <c r="J366" s="43">
        <f t="shared" ca="1" si="36"/>
        <v>-0.46167651375249996</v>
      </c>
      <c r="K366" s="44">
        <f t="shared" ca="1" si="31"/>
        <v>-2</v>
      </c>
      <c r="L366" s="3"/>
      <c r="M366" s="45">
        <f t="shared" ca="1" si="24"/>
        <v>30195.408575452027</v>
      </c>
      <c r="N366" s="47">
        <f t="shared" ca="1" si="25"/>
        <v>49803.661771014704</v>
      </c>
      <c r="O366" s="45">
        <f t="shared" ca="1" si="26"/>
        <v>25293.345276561351</v>
      </c>
      <c r="P366" s="47">
        <f t="shared" ca="1" si="27"/>
        <v>54705.725069905377</v>
      </c>
      <c r="Q366" s="45">
        <f t="shared" ca="1" si="28"/>
        <v>20391.281977670682</v>
      </c>
      <c r="R366" s="47">
        <f t="shared" ca="1" si="29"/>
        <v>59607.788368796042</v>
      </c>
      <c r="S366" s="73">
        <f t="shared" ca="1" si="37"/>
        <v>-0.46167651375249996</v>
      </c>
      <c r="T366" s="73"/>
      <c r="U366" s="3"/>
      <c r="V366" s="3"/>
      <c r="W366" s="3"/>
      <c r="X366" s="3"/>
    </row>
    <row r="367" spans="1:24" ht="13">
      <c r="A367" s="40">
        <v>44452</v>
      </c>
      <c r="B367" s="41">
        <f t="array" aca="1" ref="B367" ca="1">IF(AND(A367 &gt; TODAY(), A367 &lt;= TODAY() + 7),
   INDEX(calculations!B:B, MATCH(143^143, calculations!B:B)),
   IF(ISNUMBER(MATCH(A367, calculations!A:A, 0)),
      INDEX(calculations!B:B, MATCH(A367, calculations!A:A, 0)),
      ""
   )
)</f>
        <v>44991.519999999997</v>
      </c>
      <c r="C367" s="42">
        <f t="array" aca="1" ref="C367" ca="1">IF(B367&lt;&gt;"", IF(MATCH(A367, calculations!A:A, 0), INDEX(calculations!D:D, MATCH(A367, calculations!A:A, 0)), "No Match"),"")</f>
        <v>293311066613</v>
      </c>
      <c r="D367" s="43">
        <f t="shared" ca="1" si="30"/>
        <v>-0.14530745191115829</v>
      </c>
      <c r="E367" s="43">
        <f t="shared" ca="1" si="22"/>
        <v>2.4982070654114657E-2</v>
      </c>
      <c r="F367" s="43">
        <f t="shared" ca="1" si="33"/>
        <v>0.12712039946889006</v>
      </c>
      <c r="G367" s="42">
        <f t="shared" ca="1" si="23"/>
        <v>1.319651071974012E+16</v>
      </c>
      <c r="H367" s="41">
        <f t="shared" ca="1" si="34"/>
        <v>40917.434711760914</v>
      </c>
      <c r="I367" s="3"/>
      <c r="J367" s="43">
        <f t="shared" ca="1" si="36"/>
        <v>1</v>
      </c>
      <c r="K367" s="44" t="str">
        <f t="shared" ca="1" si="31"/>
        <v/>
      </c>
      <c r="L367" s="3"/>
      <c r="M367" s="45">
        <f t="shared" ca="1" si="24"/>
        <v>30514.553420158361</v>
      </c>
      <c r="N367" s="47">
        <f t="shared" ca="1" si="25"/>
        <v>51320.31600336347</v>
      </c>
      <c r="O367" s="45">
        <f t="shared" ca="1" si="26"/>
        <v>25313.112774357087</v>
      </c>
      <c r="P367" s="47">
        <f t="shared" ca="1" si="27"/>
        <v>56521.756649164745</v>
      </c>
      <c r="Q367" s="45">
        <f t="shared" ca="1" si="28"/>
        <v>20111.672128555812</v>
      </c>
      <c r="R367" s="47">
        <f t="shared" ca="1" si="29"/>
        <v>61723.197294966019</v>
      </c>
      <c r="S367" s="73">
        <f t="shared" ca="1" si="37"/>
        <v>1</v>
      </c>
      <c r="T367" s="73"/>
      <c r="U367" s="3"/>
      <c r="V367" s="3"/>
      <c r="W367" s="3"/>
      <c r="X367" s="3"/>
    </row>
    <row r="368" spans="1:24" ht="13">
      <c r="A368" s="40">
        <v>44459</v>
      </c>
      <c r="B368" s="41">
        <f t="array" aca="1" ref="B368" ca="1">IF(AND(A368 &gt; TODAY(), A368 &lt;= TODAY() + 7),
   INDEX(calculations!B:B, MATCH(143^143, calculations!B:B)),
   IF(ISNUMBER(MATCH(A368, calculations!A:A, 0)),
      INDEX(calculations!B:B, MATCH(A368, calculations!A:A, 0)),
      ""
   )
)</f>
        <v>42855.51</v>
      </c>
      <c r="C368" s="42">
        <f t="array" aca="1" ref="C368" ca="1">IF(B368&lt;&gt;"", IF(MATCH(A368, calculations!A:A, 0), INDEX(calculations!D:D, MATCH(A368, calculations!A:A, 0)), "No Match"),"")</f>
        <v>226141953163</v>
      </c>
      <c r="D368" s="43">
        <f t="shared" ca="1" si="30"/>
        <v>-4.7475835446323993E-2</v>
      </c>
      <c r="E368" s="43">
        <f t="shared" ca="1" si="22"/>
        <v>3.6271179333118462E-3</v>
      </c>
      <c r="F368" s="43">
        <f t="shared" ca="1" si="33"/>
        <v>0.11836625283835703</v>
      </c>
      <c r="G368" s="42">
        <f t="shared" ca="1" si="23"/>
        <v>9691428735196478</v>
      </c>
      <c r="H368" s="41">
        <f t="shared" ca="1" si="34"/>
        <v>41096.114851106708</v>
      </c>
      <c r="I368" s="3"/>
      <c r="J368" s="43">
        <f t="shared" ca="1" si="36"/>
        <v>1</v>
      </c>
      <c r="K368" s="44" t="str">
        <f t="shared" ca="1" si="31"/>
        <v/>
      </c>
      <c r="L368" s="3"/>
      <c r="M368" s="45">
        <f t="shared" ca="1" si="24"/>
        <v>31367.328608826199</v>
      </c>
      <c r="N368" s="47">
        <f t="shared" ca="1" si="25"/>
        <v>50824.90109338722</v>
      </c>
      <c r="O368" s="45">
        <f t="shared" ca="1" si="26"/>
        <v>26502.93548768594</v>
      </c>
      <c r="P368" s="47">
        <f t="shared" ca="1" si="27"/>
        <v>55689.294214527479</v>
      </c>
      <c r="Q368" s="45">
        <f t="shared" ca="1" si="28"/>
        <v>21638.542366545684</v>
      </c>
      <c r="R368" s="47">
        <f t="shared" ca="1" si="29"/>
        <v>60553.687335667724</v>
      </c>
      <c r="S368" s="73">
        <f t="shared" ca="1" si="37"/>
        <v>1</v>
      </c>
      <c r="T368" s="73"/>
      <c r="U368" s="3"/>
      <c r="V368" s="3"/>
      <c r="W368" s="3"/>
      <c r="X368" s="3"/>
    </row>
    <row r="369" spans="1:24" ht="13">
      <c r="A369" s="40">
        <v>44466</v>
      </c>
      <c r="B369" s="41">
        <f t="array" aca="1" ref="B369" ca="1">IF(AND(A369 &gt; TODAY(), A369 &lt;= TODAY() + 7),
   INDEX(calculations!B:B, MATCH(143^143, calculations!B:B)),
   IF(ISNUMBER(MATCH(A369, calculations!A:A, 0)),
      INDEX(calculations!B:B, MATCH(A369, calculations!A:A, 0)),
      ""
   )
)</f>
        <v>42496.79</v>
      </c>
      <c r="C369" s="42">
        <f t="array" aca="1" ref="C369" ca="1">IF(B369&lt;&gt;"", IF(MATCH(A369, calculations!A:A, 0), INDEX(calculations!D:D, MATCH(A369, calculations!A:A, 0)), "No Match"),"")</f>
        <v>270099994433</v>
      </c>
      <c r="D369" s="43">
        <f t="shared" ca="1" si="30"/>
        <v>-8.3704522475639923E-3</v>
      </c>
      <c r="E369" s="43">
        <f t="shared" ca="1" si="22"/>
        <v>4.4606181761643873E-4</v>
      </c>
      <c r="F369" s="43">
        <f t="shared" ca="1" si="33"/>
        <v>9.923193032151742E-2</v>
      </c>
      <c r="G369" s="42">
        <f t="shared" ca="1" si="23"/>
        <v>1.147838274242037E+16</v>
      </c>
      <c r="H369" s="41">
        <f t="shared" ca="1" si="34"/>
        <v>41998.835172700339</v>
      </c>
      <c r="I369" s="3"/>
      <c r="J369" s="43">
        <f t="shared" ca="1" si="36"/>
        <v>1</v>
      </c>
      <c r="K369" s="44" t="str">
        <f t="shared" ca="1" si="31"/>
        <v/>
      </c>
      <c r="L369" s="3"/>
      <c r="M369" s="45">
        <f t="shared" ca="1" si="24"/>
        <v>33663.584201815749</v>
      </c>
      <c r="N369" s="47">
        <f t="shared" ca="1" si="25"/>
        <v>50334.086143584929</v>
      </c>
      <c r="O369" s="45">
        <f t="shared" ca="1" si="26"/>
        <v>29495.958716373454</v>
      </c>
      <c r="P369" s="47">
        <f t="shared" ca="1" si="27"/>
        <v>54501.711629027217</v>
      </c>
      <c r="Q369" s="45">
        <f t="shared" ca="1" si="28"/>
        <v>25328.333230931159</v>
      </c>
      <c r="R369" s="47">
        <f t="shared" ca="1" si="29"/>
        <v>58669.337114469527</v>
      </c>
      <c r="S369" s="73">
        <f t="shared" ca="1" si="37"/>
        <v>1</v>
      </c>
      <c r="T369" s="73"/>
      <c r="U369" s="3"/>
      <c r="V369" s="3"/>
      <c r="W369" s="3"/>
      <c r="X369" s="3"/>
    </row>
    <row r="370" spans="1:24" ht="13">
      <c r="A370" s="40">
        <v>44473</v>
      </c>
      <c r="B370" s="41">
        <f t="array" aca="1" ref="B370" ca="1">IF(AND(A370 &gt; TODAY(), A370 &lt;= TODAY() + 7),
   INDEX(calculations!B:B, MATCH(143^143, calculations!B:B)),
   IF(ISNUMBER(MATCH(A370, calculations!A:A, 0)),
      INDEX(calculations!B:B, MATCH(A370, calculations!A:A, 0)),
      ""
   )
)</f>
        <v>49288.5</v>
      </c>
      <c r="C370" s="42">
        <f t="array" aca="1" ref="C370" ca="1">IF(B370&lt;&gt;"", IF(MATCH(A370, calculations!A:A, 0), INDEX(calculations!D:D, MATCH(A370, calculations!A:A, 0)), "No Match"),"")</f>
        <v>223042115392</v>
      </c>
      <c r="D370" s="43">
        <f t="shared" ca="1" si="30"/>
        <v>0.15981701206138155</v>
      </c>
      <c r="E370" s="43">
        <f t="shared" ca="1" si="22"/>
        <v>2.1628787406517969E-2</v>
      </c>
      <c r="F370" s="43">
        <f t="shared" ca="1" si="33"/>
        <v>0.10459669349464512</v>
      </c>
      <c r="G370" s="42">
        <f t="shared" ca="1" si="23"/>
        <v>1.0993411304498592E+16</v>
      </c>
      <c r="H370" s="41">
        <f t="shared" ca="1" si="34"/>
        <v>43257.618873287858</v>
      </c>
      <c r="I370" s="3"/>
      <c r="J370" s="43">
        <f t="shared" ca="1" si="36"/>
        <v>1</v>
      </c>
      <c r="K370" s="44" t="str">
        <f t="shared" ca="1" si="31"/>
        <v/>
      </c>
      <c r="L370" s="3"/>
      <c r="M370" s="45">
        <f t="shared" ca="1" si="24"/>
        <v>34208.411068092923</v>
      </c>
      <c r="N370" s="47">
        <f t="shared" ca="1" si="25"/>
        <v>52306.826678482794</v>
      </c>
      <c r="O370" s="45">
        <f t="shared" ca="1" si="26"/>
        <v>29683.807165495462</v>
      </c>
      <c r="P370" s="47">
        <f t="shared" ca="1" si="27"/>
        <v>56831.430581080254</v>
      </c>
      <c r="Q370" s="45">
        <f t="shared" ca="1" si="28"/>
        <v>25159.203262897994</v>
      </c>
      <c r="R370" s="47">
        <f t="shared" ca="1" si="29"/>
        <v>61356.034483677722</v>
      </c>
      <c r="S370" s="73">
        <f t="shared" ca="1" si="37"/>
        <v>1</v>
      </c>
      <c r="T370" s="73"/>
      <c r="U370" s="3"/>
      <c r="V370" s="3"/>
      <c r="W370" s="3"/>
      <c r="X370" s="3"/>
    </row>
    <row r="371" spans="1:24" ht="13">
      <c r="A371" s="40">
        <v>44480</v>
      </c>
      <c r="B371" s="41">
        <f t="array" aca="1" ref="B371" ca="1">IF(AND(A371 &gt; TODAY(), A371 &lt;= TODAY() + 7),
   INDEX(calculations!B:B, MATCH(143^143, calculations!B:B)),
   IF(ISNUMBER(MATCH(A371, calculations!A:A, 0)),
      INDEX(calculations!B:B, MATCH(A371, calculations!A:A, 0)),
      ""
   )
)</f>
        <v>57289.19</v>
      </c>
      <c r="C371" s="42">
        <f t="array" aca="1" ref="C371" ca="1">IF(B371&lt;&gt;"", IF(MATCH(A371, calculations!A:A, 0), INDEX(calculations!D:D, MATCH(A371, calculations!A:A, 0)), "No Match"),"")</f>
        <v>261919545521</v>
      </c>
      <c r="D371" s="43">
        <f t="shared" ca="1" si="30"/>
        <v>0.16232366576381918</v>
      </c>
      <c r="E371" s="43">
        <f t="shared" ca="1" si="22"/>
        <v>2.2372364246772723E-2</v>
      </c>
      <c r="F371" s="43">
        <f t="shared" ca="1" si="33"/>
        <v>0.10929943232204695</v>
      </c>
      <c r="G371" s="42">
        <f t="shared" ca="1" si="23"/>
        <v>1.5005158608066218E+16</v>
      </c>
      <c r="H371" s="41">
        <f t="shared" ca="1" si="34"/>
        <v>45098.960719902469</v>
      </c>
      <c r="I371" s="3"/>
      <c r="J371" s="43">
        <f t="shared" ca="1" si="36"/>
        <v>-0.53902337901607023</v>
      </c>
      <c r="K371" s="44">
        <f t="shared" ca="1" si="31"/>
        <v>-2</v>
      </c>
      <c r="L371" s="3"/>
      <c r="M371" s="45">
        <f t="shared" ca="1" si="24"/>
        <v>35240.379109903202</v>
      </c>
      <c r="N371" s="47">
        <f t="shared" ca="1" si="25"/>
        <v>54957.542329901735</v>
      </c>
      <c r="O371" s="45">
        <f t="shared" ca="1" si="26"/>
        <v>30311.088304903569</v>
      </c>
      <c r="P371" s="47">
        <f t="shared" ca="1" si="27"/>
        <v>59886.833134901368</v>
      </c>
      <c r="Q371" s="45">
        <f t="shared" ca="1" si="28"/>
        <v>25381.797499903936</v>
      </c>
      <c r="R371" s="47">
        <f t="shared" ca="1" si="29"/>
        <v>64816.123939901008</v>
      </c>
      <c r="S371" s="73">
        <f t="shared" ca="1" si="37"/>
        <v>-0.53902337901607023</v>
      </c>
      <c r="T371" s="73"/>
      <c r="U371" s="3"/>
      <c r="V371" s="3"/>
      <c r="W371" s="3"/>
      <c r="X371" s="3"/>
    </row>
    <row r="372" spans="1:24" ht="13">
      <c r="A372" s="40">
        <v>44487</v>
      </c>
      <c r="B372" s="41">
        <f t="array" aca="1" ref="B372" ca="1">IF(AND(A372 &gt; TODAY(), A372 &lt;= TODAY() + 7),
   INDEX(calculations!B:B, MATCH(143^143, calculations!B:B)),
   IF(ISNUMBER(MATCH(A372, calculations!A:A, 0)),
      INDEX(calculations!B:B, MATCH(A372, calculations!A:A, 0)),
      ""
   )
)</f>
        <v>61977.06</v>
      </c>
      <c r="C372" s="42">
        <f t="array" aca="1" ref="C372" ca="1">IF(B372&lt;&gt;"", IF(MATCH(A372, calculations!A:A, 0), INDEX(calculations!D:D, MATCH(A372, calculations!A:A, 0)), "No Match"),"")</f>
        <v>277084548345</v>
      </c>
      <c r="D372" s="43">
        <f t="shared" ca="1" si="30"/>
        <v>8.1828177357717843E-2</v>
      </c>
      <c r="E372" s="43">
        <f t="shared" ca="1" si="22"/>
        <v>4.7718328069696189E-3</v>
      </c>
      <c r="F372" s="43">
        <f t="shared" ca="1" si="33"/>
        <v>0.10798125251085255</v>
      </c>
      <c r="G372" s="42">
        <f t="shared" ca="1" si="23"/>
        <v>1.7172885677850966E+16</v>
      </c>
      <c r="H372" s="41">
        <f t="shared" ca="1" si="34"/>
        <v>47181.55221977234</v>
      </c>
      <c r="I372" s="3"/>
      <c r="J372" s="43">
        <f t="shared" ca="1" si="36"/>
        <v>-0.37671422239267316</v>
      </c>
      <c r="K372" s="44">
        <f t="shared" ca="1" si="31"/>
        <v>-2</v>
      </c>
      <c r="L372" s="3"/>
      <c r="M372" s="45">
        <f t="shared" ca="1" si="24"/>
        <v>36992.106011577911</v>
      </c>
      <c r="N372" s="47">
        <f t="shared" ca="1" si="25"/>
        <v>57370.99842796677</v>
      </c>
      <c r="O372" s="45">
        <f t="shared" ca="1" si="26"/>
        <v>31897.3829074807</v>
      </c>
      <c r="P372" s="47">
        <f t="shared" ca="1" si="27"/>
        <v>62465.721532063981</v>
      </c>
      <c r="Q372" s="45">
        <f t="shared" ca="1" si="28"/>
        <v>26802.659803383489</v>
      </c>
      <c r="R372" s="47">
        <f t="shared" ca="1" si="29"/>
        <v>67560.444636161192</v>
      </c>
      <c r="S372" s="73">
        <f t="shared" ca="1" si="37"/>
        <v>-0.37671422239267316</v>
      </c>
      <c r="T372" s="73"/>
      <c r="U372" s="3"/>
      <c r="V372" s="3"/>
      <c r="W372" s="3"/>
      <c r="X372" s="3"/>
    </row>
    <row r="373" spans="1:24" ht="13">
      <c r="A373" s="40">
        <v>44494</v>
      </c>
      <c r="B373" s="41">
        <f t="array" aca="1" ref="B373" ca="1">IF(AND(A373 &gt; TODAY(), A373 &lt;= TODAY() + 7),
   INDEX(calculations!B:B, MATCH(143^143, calculations!B:B)),
   IF(ISNUMBER(MATCH(A373, calculations!A:A, 0)),
      INDEX(calculations!B:B, MATCH(A373, calculations!A:A, 0)),
      ""
   )
)</f>
        <v>63031.67</v>
      </c>
      <c r="C373" s="42">
        <f t="array" aca="1" ref="C373" ca="1">IF(B373&lt;&gt;"", IF(MATCH(A373, calculations!A:A, 0), INDEX(calculations!D:D, MATCH(A373, calculations!A:A, 0)), "No Match"),"")</f>
        <v>257856648064</v>
      </c>
      <c r="D373" s="43">
        <f t="shared" ca="1" si="30"/>
        <v>1.7016134679508847E-2</v>
      </c>
      <c r="E373" s="43">
        <f t="shared" ca="1" si="22"/>
        <v>1.8202265562969994E-5</v>
      </c>
      <c r="F373" s="43">
        <f t="shared" ca="1" si="33"/>
        <v>0.1030574139421183</v>
      </c>
      <c r="G373" s="42">
        <f t="shared" ca="1" si="23"/>
        <v>1.6253135148076186E+16</v>
      </c>
      <c r="H373" s="41">
        <f t="shared" ca="1" si="34"/>
        <v>49101.382610592511</v>
      </c>
      <c r="I373" s="3"/>
      <c r="J373" s="43">
        <f t="shared" ca="1" si="36"/>
        <v>-0.24216629846752091</v>
      </c>
      <c r="K373" s="44">
        <f t="shared" ca="1" si="31"/>
        <v>-2</v>
      </c>
      <c r="L373" s="3"/>
      <c r="M373" s="45">
        <f t="shared" ca="1" si="24"/>
        <v>38980.859584932186</v>
      </c>
      <c r="N373" s="47">
        <f t="shared" ca="1" si="25"/>
        <v>59221.905636252835</v>
      </c>
      <c r="O373" s="45">
        <f t="shared" ca="1" si="26"/>
        <v>33920.598072102024</v>
      </c>
      <c r="P373" s="47">
        <f t="shared" ca="1" si="27"/>
        <v>64282.167149082998</v>
      </c>
      <c r="Q373" s="45">
        <f t="shared" ca="1" si="28"/>
        <v>28860.336559271862</v>
      </c>
      <c r="R373" s="47">
        <f t="shared" ca="1" si="29"/>
        <v>69342.42866191316</v>
      </c>
      <c r="S373" s="73">
        <f t="shared" ca="1" si="37"/>
        <v>-0.24216629846752091</v>
      </c>
      <c r="T373" s="73"/>
      <c r="U373" s="3"/>
      <c r="V373" s="3"/>
      <c r="W373" s="3"/>
      <c r="X373" s="3"/>
    </row>
    <row r="374" spans="1:24" ht="13">
      <c r="A374" s="40">
        <v>44501</v>
      </c>
      <c r="B374" s="41">
        <f t="array" aca="1" ref="B374" ca="1">IF(AND(A374 &gt; TODAY(), A374 &lt;= TODAY() + 7),
   INDEX(calculations!B:B, MATCH(143^143, calculations!B:B)),
   IF(ISNUMBER(MATCH(A374, calculations!A:A, 0)),
      INDEX(calculations!B:B, MATCH(A374, calculations!A:A, 0)),
      ""
   )
)</f>
        <v>61092.1</v>
      </c>
      <c r="C374" s="42">
        <f t="array" aca="1" ref="C374" ca="1">IF(B374&lt;&gt;"", IF(MATCH(A374, calculations!A:A, 0), INDEX(calculations!D:D, MATCH(A374, calculations!A:A, 0)), "No Match"),"")</f>
        <v>256114057651</v>
      </c>
      <c r="D374" s="43">
        <f t="shared" ca="1" si="30"/>
        <v>-3.0771356684663437E-2</v>
      </c>
      <c r="E374" s="43">
        <f t="shared" ca="1" si="22"/>
        <v>1.8940844080934736E-3</v>
      </c>
      <c r="F374" s="43">
        <f t="shared" ca="1" si="33"/>
        <v>9.5033698885458692E-2</v>
      </c>
      <c r="G374" s="42">
        <f t="shared" ca="1" si="23"/>
        <v>1.5646545621420656E+16</v>
      </c>
      <c r="H374" s="41">
        <f t="shared" ca="1" si="34"/>
        <v>50507.472335951272</v>
      </c>
      <c r="I374" s="3"/>
      <c r="J374" s="43">
        <f t="shared" ca="1" si="36"/>
        <v>-0.26165302742117053</v>
      </c>
      <c r="K374" s="44">
        <f t="shared" ca="1" si="31"/>
        <v>-2</v>
      </c>
      <c r="L374" s="3"/>
      <c r="M374" s="45">
        <f t="shared" ca="1" si="24"/>
        <v>40907.648501070413</v>
      </c>
      <c r="N374" s="47">
        <f t="shared" ca="1" si="25"/>
        <v>60107.296170832124</v>
      </c>
      <c r="O374" s="45">
        <f t="shared" ca="1" si="26"/>
        <v>36107.736583629987</v>
      </c>
      <c r="P374" s="47">
        <f t="shared" ca="1" si="27"/>
        <v>64907.208088272557</v>
      </c>
      <c r="Q374" s="45">
        <f t="shared" ca="1" si="28"/>
        <v>31307.824666189557</v>
      </c>
      <c r="R374" s="47">
        <f t="shared" ca="1" si="29"/>
        <v>69707.12000571299</v>
      </c>
      <c r="S374" s="73">
        <f t="shared" ca="1" si="37"/>
        <v>-0.26165302742117053</v>
      </c>
      <c r="T374" s="73"/>
      <c r="U374" s="3"/>
      <c r="V374" s="3"/>
      <c r="W374" s="3"/>
      <c r="X374" s="3"/>
    </row>
    <row r="375" spans="1:24" ht="13">
      <c r="A375" s="40">
        <v>44508</v>
      </c>
      <c r="B375" s="41">
        <f t="array" aca="1" ref="B375" ca="1">IF(AND(A375 &gt; TODAY(), A375 &lt;= TODAY() + 7),
   INDEX(calculations!B:B, MATCH(143^143, calculations!B:B)),
   IF(ISNUMBER(MATCH(A375, calculations!A:A, 0)),
      INDEX(calculations!B:B, MATCH(A375, calculations!A:A, 0)),
      ""
   )
)</f>
        <v>67541.759999999995</v>
      </c>
      <c r="C375" s="42">
        <f t="array" aca="1" ref="C375" ca="1">IF(B375&lt;&gt;"", IF(MATCH(A375, calculations!A:A, 0), INDEX(calculations!D:D, MATCH(A375, calculations!A:A, 0)), "No Match"),"")</f>
        <v>227064607869</v>
      </c>
      <c r="D375" s="43">
        <f t="shared" ca="1" si="30"/>
        <v>0.10557273362677001</v>
      </c>
      <c r="E375" s="43">
        <f t="shared" ca="1" si="22"/>
        <v>8.6161112353272725E-3</v>
      </c>
      <c r="F375" s="43">
        <f t="shared" ca="1" si="33"/>
        <v>9.6646623446033086E-2</v>
      </c>
      <c r="G375" s="42">
        <f t="shared" ca="1" si="23"/>
        <v>1.5336343249182108E+16</v>
      </c>
      <c r="H375" s="41">
        <f t="shared" ca="1" si="34"/>
        <v>52388.957735091783</v>
      </c>
      <c r="I375" s="3"/>
      <c r="J375" s="43">
        <f t="shared" ca="1" si="36"/>
        <v>-0.41286870586595797</v>
      </c>
      <c r="K375" s="44">
        <f t="shared" ca="1" si="31"/>
        <v>-2</v>
      </c>
      <c r="L375" s="3"/>
      <c r="M375" s="45">
        <f t="shared" ca="1" si="24"/>
        <v>42262.525993184667</v>
      </c>
      <c r="N375" s="47">
        <f t="shared" ca="1" si="25"/>
        <v>62515.389476998891</v>
      </c>
      <c r="O375" s="45">
        <f t="shared" ca="1" si="26"/>
        <v>37199.310122231109</v>
      </c>
      <c r="P375" s="47">
        <f t="shared" ca="1" si="27"/>
        <v>67578.605347952456</v>
      </c>
      <c r="Q375" s="45">
        <f t="shared" ca="1" si="28"/>
        <v>32136.094251277551</v>
      </c>
      <c r="R375" s="47">
        <f t="shared" ca="1" si="29"/>
        <v>72641.821218906014</v>
      </c>
      <c r="S375" s="73">
        <f t="shared" ca="1" si="37"/>
        <v>-0.41286870586595797</v>
      </c>
      <c r="T375" s="73"/>
      <c r="U375" s="3"/>
      <c r="V375" s="3"/>
      <c r="W375" s="3"/>
      <c r="X375" s="3"/>
    </row>
    <row r="376" spans="1:24" ht="13">
      <c r="A376" s="40">
        <v>44515</v>
      </c>
      <c r="B376" s="41">
        <f t="array" aca="1" ref="B376" ca="1">IF(AND(A376 &gt; TODAY(), A376 &lt;= TODAY() + 7),
   INDEX(calculations!B:B, MATCH(143^143, calculations!B:B)),
   IF(ISNUMBER(MATCH(A376, calculations!A:A, 0)),
      INDEX(calculations!B:B, MATCH(A376, calculations!A:A, 0)),
      ""
   )
)</f>
        <v>63753.5</v>
      </c>
      <c r="C376" s="42">
        <f t="array" aca="1" ref="C376" ca="1">IF(B376&lt;&gt;"", IF(MATCH(A376, calculations!A:A, 0), INDEX(calculations!D:D, MATCH(A376, calculations!A:A, 0)), "No Match"),"")</f>
        <v>259776276520</v>
      </c>
      <c r="D376" s="43">
        <f t="shared" ca="1" si="30"/>
        <v>-5.608767079803658E-2</v>
      </c>
      <c r="E376" s="43">
        <f t="shared" ca="1" si="22"/>
        <v>4.7385868342149804E-3</v>
      </c>
      <c r="F376" s="43">
        <f t="shared" ca="1" si="33"/>
        <v>9.1855795392095499E-2</v>
      </c>
      <c r="G376" s="42">
        <f t="shared" ca="1" si="23"/>
        <v>1.656164684511782E+16</v>
      </c>
      <c r="H376" s="41">
        <f t="shared" ca="1" si="34"/>
        <v>53628.312691660387</v>
      </c>
      <c r="I376" s="3"/>
      <c r="J376" s="43">
        <f t="shared" ca="1" si="36"/>
        <v>-0.30910775215455349</v>
      </c>
      <c r="K376" s="44">
        <f t="shared" ca="1" si="31"/>
        <v>-2</v>
      </c>
      <c r="L376" s="3"/>
      <c r="M376" s="45">
        <f t="shared" ca="1" si="24"/>
        <v>43776.170056003437</v>
      </c>
      <c r="N376" s="47">
        <f t="shared" ca="1" si="25"/>
        <v>63480.455327317344</v>
      </c>
      <c r="O376" s="45">
        <f t="shared" ca="1" si="26"/>
        <v>38850.098738174966</v>
      </c>
      <c r="P376" s="47">
        <f t="shared" ca="1" si="27"/>
        <v>68406.526645145816</v>
      </c>
      <c r="Q376" s="45">
        <f t="shared" ca="1" si="28"/>
        <v>33924.027420346494</v>
      </c>
      <c r="R376" s="47">
        <f t="shared" ca="1" si="29"/>
        <v>73332.59796297428</v>
      </c>
      <c r="S376" s="73">
        <f t="shared" ca="1" si="37"/>
        <v>-0.30910775215455349</v>
      </c>
      <c r="T376" s="73"/>
      <c r="U376" s="3"/>
      <c r="V376" s="3"/>
      <c r="W376" s="3"/>
      <c r="X376" s="3"/>
    </row>
    <row r="377" spans="1:24" ht="13">
      <c r="A377" s="40">
        <v>44522</v>
      </c>
      <c r="B377" s="41">
        <f t="array" aca="1" ref="B377" ca="1">IF(AND(A377 &gt; TODAY(), A377 &lt;= TODAY() + 7),
   INDEX(calculations!B:B, MATCH(143^143, calculations!B:B)),
   IF(ISNUMBER(MATCH(A377, calculations!A:A, 0)),
      INDEX(calculations!B:B, MATCH(A377, calculations!A:A, 0)),
      ""
   )
)</f>
        <v>56383.57</v>
      </c>
      <c r="C377" s="42">
        <f t="array" aca="1" ref="C377" ca="1">IF(B377&lt;&gt;"", IF(MATCH(A377, calculations!A:A, 0), INDEX(calculations!D:D, MATCH(A377, calculations!A:A, 0)), "No Match"),"")</f>
        <v>253419951009</v>
      </c>
      <c r="D377" s="43">
        <f t="shared" ca="1" si="30"/>
        <v>-0.11560039840949909</v>
      </c>
      <c r="E377" s="43">
        <f t="shared" ca="1" si="22"/>
        <v>1.6473753757771825E-2</v>
      </c>
      <c r="F377" s="43">
        <f t="shared" ca="1" si="33"/>
        <v>9.9256786215617981E-2</v>
      </c>
      <c r="G377" s="42">
        <f t="shared" ca="1" si="23"/>
        <v>1.4288721547112522E+16</v>
      </c>
      <c r="H377" s="41">
        <f t="shared" ca="1" si="34"/>
        <v>54334.922284902954</v>
      </c>
      <c r="I377" s="3"/>
      <c r="J377" s="43">
        <f t="shared" ca="1" si="36"/>
        <v>1</v>
      </c>
      <c r="K377" s="44" t="str">
        <f t="shared" ca="1" si="31"/>
        <v/>
      </c>
      <c r="L377" s="3"/>
      <c r="M377" s="45">
        <f t="shared" ca="1" si="24"/>
        <v>43548.702754353297</v>
      </c>
      <c r="N377" s="47">
        <f t="shared" ca="1" si="25"/>
        <v>65121.141815452611</v>
      </c>
      <c r="O377" s="45">
        <f t="shared" ca="1" si="26"/>
        <v>38155.592989078461</v>
      </c>
      <c r="P377" s="47">
        <f t="shared" ca="1" si="27"/>
        <v>70514.251580727432</v>
      </c>
      <c r="Q377" s="45">
        <f t="shared" ca="1" si="28"/>
        <v>32762.483223803636</v>
      </c>
      <c r="R377" s="47">
        <f t="shared" ca="1" si="29"/>
        <v>75907.361346002261</v>
      </c>
      <c r="S377" s="73">
        <f t="shared" ca="1" si="37"/>
        <v>1</v>
      </c>
      <c r="T377" s="73"/>
      <c r="U377" s="3"/>
      <c r="V377" s="3"/>
      <c r="W377" s="3"/>
      <c r="X377" s="3"/>
    </row>
    <row r="378" spans="1:24" ht="13">
      <c r="A378" s="40">
        <v>44529</v>
      </c>
      <c r="B378" s="41">
        <f t="array" aca="1" ref="B378" ca="1">IF(AND(A378 &gt; TODAY(), A378 &lt;= TODAY() + 7),
   INDEX(calculations!B:B, MATCH(143^143, calculations!B:B)),
   IF(ISNUMBER(MATCH(A378, calculations!A:A, 0)),
      INDEX(calculations!B:B, MATCH(A378, calculations!A:A, 0)),
      ""
   )
)</f>
        <v>57920.71</v>
      </c>
      <c r="C378" s="42">
        <f t="array" aca="1" ref="C378" ca="1">IF(B378&lt;&gt;"", IF(MATCH(A378, calculations!A:A, 0), INDEX(calculations!D:D, MATCH(A378, calculations!A:A, 0)), "No Match"),"")</f>
        <v>243930001011</v>
      </c>
      <c r="D378" s="43">
        <f t="shared" ca="1" si="30"/>
        <v>2.7262197125864848E-2</v>
      </c>
      <c r="E378" s="43">
        <f t="shared" ca="1" si="22"/>
        <v>2.1061189485844508E-4</v>
      </c>
      <c r="F378" s="43">
        <f t="shared" ca="1" si="33"/>
        <v>9.7840095594857721E-2</v>
      </c>
      <c r="G378" s="42">
        <f t="shared" ca="1" si="23"/>
        <v>1.4128598848857838E+16</v>
      </c>
      <c r="H378" s="41">
        <f t="shared" ca="1" si="34"/>
        <v>54900.272737060717</v>
      </c>
      <c r="I378" s="3"/>
      <c r="J378" s="43">
        <f t="shared" ca="1" si="36"/>
        <v>1</v>
      </c>
      <c r="K378" s="44" t="str">
        <f t="shared" ca="1" si="31"/>
        <v/>
      </c>
      <c r="L378" s="3"/>
      <c r="M378" s="45">
        <f t="shared" ca="1" si="24"/>
        <v>44157.376871505156</v>
      </c>
      <c r="N378" s="47">
        <f t="shared" ca="1" si="25"/>
        <v>65643.168602616279</v>
      </c>
      <c r="O378" s="45">
        <f t="shared" ca="1" si="26"/>
        <v>38785.928938727367</v>
      </c>
      <c r="P378" s="47">
        <f t="shared" ca="1" si="27"/>
        <v>71014.61653539406</v>
      </c>
      <c r="Q378" s="45">
        <f t="shared" ca="1" si="28"/>
        <v>33414.481005949587</v>
      </c>
      <c r="R378" s="47">
        <f t="shared" ca="1" si="29"/>
        <v>76386.06446817184</v>
      </c>
      <c r="S378" s="73">
        <f t="shared" ca="1" si="37"/>
        <v>1</v>
      </c>
      <c r="T378" s="73"/>
      <c r="U378" s="3"/>
      <c r="V378" s="3"/>
      <c r="W378" s="3"/>
      <c r="X378" s="3"/>
    </row>
    <row r="379" spans="1:24" ht="13">
      <c r="A379" s="40">
        <v>44536</v>
      </c>
      <c r="B379" s="41">
        <f t="array" aca="1" ref="B379" ca="1">IF(AND(A379 &gt; TODAY(), A379 &lt;= TODAY() + 7),
   INDEX(calculations!B:B, MATCH(143^143, calculations!B:B)),
   IF(ISNUMBER(MATCH(A379, calculations!A:A, 0)),
      INDEX(calculations!B:B, MATCH(A379, calculations!A:A, 0)),
      ""
   )
)</f>
        <v>50535.43</v>
      </c>
      <c r="C379" s="42">
        <f t="array" aca="1" ref="C379" ca="1">IF(B379&lt;&gt;"", IF(MATCH(A379, calculations!A:A, 0), INDEX(calculations!D:D, MATCH(A379, calculations!A:A, 0)), "No Match"),"")</f>
        <v>276690611812</v>
      </c>
      <c r="D379" s="43">
        <f t="shared" ca="1" si="30"/>
        <v>-0.1275067242787597</v>
      </c>
      <c r="E379" s="43">
        <f t="shared" ca="1" si="22"/>
        <v>1.9671871103726802E-2</v>
      </c>
      <c r="F379" s="43">
        <f t="shared" ca="1" si="33"/>
        <v>0.10385533048390279</v>
      </c>
      <c r="G379" s="42">
        <f t="shared" ca="1" si="23"/>
        <v>1.39826790448825E+16</v>
      </c>
      <c r="H379" s="41">
        <f t="shared" ca="1" si="34"/>
        <v>55049.148299363624</v>
      </c>
      <c r="I379" s="3"/>
      <c r="J379" s="43">
        <f t="shared" ca="1" si="36"/>
        <v>1</v>
      </c>
      <c r="K379" s="44" t="str">
        <f t="shared" ca="1" si="31"/>
        <v/>
      </c>
      <c r="L379" s="3"/>
      <c r="M379" s="45">
        <f t="shared" ca="1" si="24"/>
        <v>43614.853320388058</v>
      </c>
      <c r="N379" s="47">
        <f t="shared" ca="1" si="25"/>
        <v>66483.443278339197</v>
      </c>
      <c r="O379" s="45">
        <f t="shared" ca="1" si="26"/>
        <v>37897.705830900268</v>
      </c>
      <c r="P379" s="47">
        <f t="shared" ca="1" si="27"/>
        <v>72200.590767826972</v>
      </c>
      <c r="Q379" s="45">
        <f t="shared" ca="1" si="28"/>
        <v>32180.558341412489</v>
      </c>
      <c r="R379" s="47">
        <f t="shared" ca="1" si="29"/>
        <v>77917.738257314762</v>
      </c>
      <c r="S379" s="73">
        <f t="shared" ca="1" si="37"/>
        <v>1</v>
      </c>
      <c r="T379" s="73"/>
      <c r="U379" s="3"/>
      <c r="V379" s="3"/>
      <c r="W379" s="3"/>
      <c r="X379" s="3"/>
    </row>
    <row r="380" spans="1:24" ht="13">
      <c r="A380" s="40">
        <v>44543</v>
      </c>
      <c r="B380" s="41">
        <f t="array" aca="1" ref="B380" ca="1">IF(AND(A380 &gt; TODAY(), A380 &lt;= TODAY() + 7),
   INDEX(calculations!B:B, MATCH(143^143, calculations!B:B)),
   IF(ISNUMBER(MATCH(A380, calculations!A:A, 0)),
      INDEX(calculations!B:B, MATCH(A380, calculations!A:A, 0)),
      ""
   )
)</f>
        <v>46785.33</v>
      </c>
      <c r="C380" s="42">
        <f t="array" aca="1" ref="C380" ca="1">IF(B380&lt;&gt;"", IF(MATCH(A380, calculations!A:A, 0), INDEX(calculations!D:D, MATCH(A380, calculations!A:A, 0)), "No Match"),"")</f>
        <v>208148497532</v>
      </c>
      <c r="D380" s="43">
        <f t="shared" ca="1" si="30"/>
        <v>-7.4207343244135818E-2</v>
      </c>
      <c r="E380" s="43">
        <f t="shared" ca="1" si="22"/>
        <v>7.5615314320753683E-3</v>
      </c>
      <c r="F380" s="43">
        <f t="shared" ca="1" si="33"/>
        <v>0.10123632038948352</v>
      </c>
      <c r="G380" s="42">
        <f t="shared" ca="1" si="23"/>
        <v>9738296146038806</v>
      </c>
      <c r="H380" s="41">
        <f t="shared" ca="1" si="34"/>
        <v>54737.099271248939</v>
      </c>
      <c r="I380" s="3"/>
      <c r="J380" s="43">
        <f t="shared" ca="1" si="36"/>
        <v>1</v>
      </c>
      <c r="K380" s="44" t="str">
        <f t="shared" ca="1" si="31"/>
        <v/>
      </c>
      <c r="L380" s="3"/>
      <c r="M380" s="45">
        <f t="shared" ca="1" si="24"/>
        <v>43654.334233218695</v>
      </c>
      <c r="N380" s="47">
        <f t="shared" ca="1" si="25"/>
        <v>65819.864309279175</v>
      </c>
      <c r="O380" s="45">
        <f t="shared" ca="1" si="26"/>
        <v>38112.951714203569</v>
      </c>
      <c r="P380" s="47">
        <f t="shared" ca="1" si="27"/>
        <v>71361.246828294301</v>
      </c>
      <c r="Q380" s="45">
        <f t="shared" ca="1" si="28"/>
        <v>32571.569195188447</v>
      </c>
      <c r="R380" s="47">
        <f t="shared" ca="1" si="29"/>
        <v>76902.629347309427</v>
      </c>
      <c r="S380" s="73">
        <f t="shared" ca="1" si="37"/>
        <v>1</v>
      </c>
      <c r="T380" s="73"/>
      <c r="U380" s="3"/>
      <c r="V380" s="3"/>
      <c r="W380" s="3"/>
      <c r="X380" s="3"/>
    </row>
    <row r="381" spans="1:24" ht="13">
      <c r="A381" s="40">
        <v>44550</v>
      </c>
      <c r="B381" s="41">
        <f t="array" aca="1" ref="B381" ca="1">IF(AND(A381 &gt; TODAY(), A381 &lt;= TODAY() + 7),
   INDEX(calculations!B:B, MATCH(143^143, calculations!B:B)),
   IF(ISNUMBER(MATCH(A381, calculations!A:A, 0)),
      INDEX(calculations!B:B, MATCH(A381, calculations!A:A, 0)),
      ""
   )
)</f>
        <v>46954.76</v>
      </c>
      <c r="C381" s="42">
        <f t="array" aca="1" ref="C381" ca="1">IF(B381&lt;&gt;"", IF(MATCH(A381, calculations!A:A, 0), INDEX(calculations!D:D, MATCH(A381, calculations!A:A, 0)), "No Match"),"")</f>
        <v>214770398202</v>
      </c>
      <c r="D381" s="43">
        <f t="shared" ca="1" si="30"/>
        <v>3.6214343256743145E-3</v>
      </c>
      <c r="E381" s="43">
        <f t="shared" ca="1" si="22"/>
        <v>8.3325660660520614E-5</v>
      </c>
      <c r="F381" s="43">
        <f t="shared" ca="1" si="33"/>
        <v>9.2671768525968756E-2</v>
      </c>
      <c r="G381" s="42">
        <f t="shared" ca="1" si="23"/>
        <v>1.0084492502679342E+16</v>
      </c>
      <c r="H381" s="41">
        <f t="shared" ca="1" si="34"/>
        <v>55080.574332191631</v>
      </c>
      <c r="I381" s="3"/>
      <c r="J381" s="43">
        <f t="shared" ca="1" si="36"/>
        <v>1</v>
      </c>
      <c r="K381" s="44" t="str">
        <f t="shared" ca="1" si="31"/>
        <v/>
      </c>
      <c r="L381" s="3"/>
      <c r="M381" s="45">
        <f t="shared" ca="1" si="24"/>
        <v>44871.745862611075</v>
      </c>
      <c r="N381" s="47">
        <f t="shared" ca="1" si="25"/>
        <v>65289.402801772194</v>
      </c>
      <c r="O381" s="45">
        <f t="shared" ca="1" si="26"/>
        <v>39767.3316278208</v>
      </c>
      <c r="P381" s="47">
        <f t="shared" ca="1" si="27"/>
        <v>70393.817036562468</v>
      </c>
      <c r="Q381" s="45">
        <f t="shared" ca="1" si="28"/>
        <v>34662.917393030511</v>
      </c>
      <c r="R381" s="47">
        <f t="shared" ca="1" si="29"/>
        <v>75498.23127135275</v>
      </c>
      <c r="S381" s="73">
        <f t="shared" ca="1" si="37"/>
        <v>1</v>
      </c>
      <c r="T381" s="73"/>
      <c r="U381" s="3"/>
      <c r="V381" s="3"/>
      <c r="W381" s="3"/>
      <c r="X381" s="3"/>
    </row>
    <row r="382" spans="1:24" ht="13">
      <c r="A382" s="40">
        <v>44557</v>
      </c>
      <c r="B382" s="41">
        <f t="array" aca="1" ref="B382" ca="1">IF(AND(A382 &gt; TODAY(), A382 &lt;= TODAY() + 7),
   INDEX(calculations!B:B, MATCH(143^143, calculations!B:B)),
   IF(ISNUMBER(MATCH(A382, calculations!A:A, 0)),
      INDEX(calculations!B:B, MATCH(A382, calculations!A:A, 0)),
      ""
   )
)</f>
        <v>50774</v>
      </c>
      <c r="C382" s="42">
        <f t="array" aca="1" ref="C382" ca="1">IF(B382&lt;&gt;"", IF(MATCH(A382, calculations!A:A, 0), INDEX(calculations!D:D, MATCH(A382, calculations!A:A, 0)), "No Match"),"")</f>
        <v>175052499792</v>
      </c>
      <c r="D382" s="43">
        <f t="shared" ca="1" si="30"/>
        <v>8.1338718374878244E-2</v>
      </c>
      <c r="E382" s="43">
        <f t="shared" ca="1" si="22"/>
        <v>4.704450237403986E-3</v>
      </c>
      <c r="F382" s="43">
        <f t="shared" ca="1" si="33"/>
        <v>9.3244418972280307E-2</v>
      </c>
      <c r="G382" s="42">
        <f t="shared" ca="1" si="23"/>
        <v>8888115624439008</v>
      </c>
      <c r="H382" s="41">
        <f t="shared" ca="1" si="34"/>
        <v>55671.100377650044</v>
      </c>
      <c r="I382" s="3"/>
      <c r="J382" s="43">
        <f t="shared" ca="1" si="36"/>
        <v>1</v>
      </c>
      <c r="K382" s="44" t="str">
        <f t="shared" ca="1" si="31"/>
        <v/>
      </c>
      <c r="L382" s="3"/>
      <c r="M382" s="45">
        <f t="shared" ca="1" si="24"/>
        <v>45289.061561127099</v>
      </c>
      <c r="N382" s="47">
        <f t="shared" ca="1" si="25"/>
        <v>66053.139194172996</v>
      </c>
      <c r="O382" s="45">
        <f t="shared" ca="1" si="26"/>
        <v>40098.042152865622</v>
      </c>
      <c r="P382" s="47">
        <f t="shared" ca="1" si="27"/>
        <v>71244.158602434458</v>
      </c>
      <c r="Q382" s="45">
        <f t="shared" ca="1" si="28"/>
        <v>34907.022744604154</v>
      </c>
      <c r="R382" s="47">
        <f t="shared" ca="1" si="29"/>
        <v>76435.178010695934</v>
      </c>
      <c r="S382" s="73">
        <f t="shared" ca="1" si="37"/>
        <v>1</v>
      </c>
      <c r="T382" s="73"/>
      <c r="U382" s="3"/>
      <c r="V382" s="3"/>
      <c r="W382" s="3"/>
      <c r="X382" s="3"/>
    </row>
    <row r="383" spans="1:24" ht="13">
      <c r="A383" s="40">
        <v>44564</v>
      </c>
      <c r="B383" s="41">
        <f t="array" aca="1" ref="B383" ca="1">IF(AND(A383 &gt; TODAY(), A383 &lt;= TODAY() + 7),
   INDEX(calculations!B:B, MATCH(143^143, calculations!B:B)),
   IF(ISNUMBER(MATCH(A383, calculations!A:A, 0)),
      INDEX(calculations!B:B, MATCH(A383, calculations!A:A, 0)),
      ""
   )
)</f>
        <v>46453.43</v>
      </c>
      <c r="C383" s="42">
        <f t="array" aca="1" ref="C383" ca="1">IF(B383&lt;&gt;"", IF(MATCH(A383, calculations!A:A, 0), INDEX(calculations!D:D, MATCH(A383, calculations!A:A, 0)), "No Match"),"")</f>
        <v>203998848909</v>
      </c>
      <c r="D383" s="43">
        <f t="shared" ca="1" si="30"/>
        <v>-8.5094142671446008E-2</v>
      </c>
      <c r="E383" s="43">
        <f t="shared" ca="1" si="22"/>
        <v>9.5734221196186534E-3</v>
      </c>
      <c r="F383" s="43">
        <f t="shared" ca="1" si="33"/>
        <v>9.6976972497793662E-2</v>
      </c>
      <c r="G383" s="42">
        <f t="shared" ca="1" si="23"/>
        <v>9476446247874808</v>
      </c>
      <c r="H383" s="41">
        <f t="shared" ca="1" si="34"/>
        <v>56173.661936725664</v>
      </c>
      <c r="I383" s="3"/>
      <c r="J383" s="43">
        <f t="shared" ca="1" si="36"/>
        <v>1</v>
      </c>
      <c r="K383" s="44" t="str">
        <f t="shared" ca="1" si="31"/>
        <v/>
      </c>
      <c r="L383" s="3"/>
      <c r="M383" s="45">
        <f t="shared" ca="1" si="24"/>
        <v>45278.558599249256</v>
      </c>
      <c r="N383" s="47">
        <f t="shared" ca="1" si="25"/>
        <v>67068.765274202073</v>
      </c>
      <c r="O383" s="45">
        <f t="shared" ca="1" si="26"/>
        <v>39831.006930511059</v>
      </c>
      <c r="P383" s="47">
        <f t="shared" ca="1" si="27"/>
        <v>72516.316942940277</v>
      </c>
      <c r="Q383" s="45">
        <f t="shared" ca="1" si="28"/>
        <v>34383.455261772848</v>
      </c>
      <c r="R383" s="47">
        <f t="shared" ca="1" si="29"/>
        <v>77963.868611678481</v>
      </c>
      <c r="S383" s="73">
        <f t="shared" ca="1" si="37"/>
        <v>1</v>
      </c>
      <c r="T383" s="73"/>
      <c r="U383" s="3"/>
      <c r="V383" s="3"/>
      <c r="W383" s="3"/>
      <c r="X383" s="3"/>
    </row>
    <row r="384" spans="1:24" ht="13">
      <c r="A384" s="40">
        <v>44571</v>
      </c>
      <c r="B384" s="41">
        <f t="array" aca="1" ref="B384" ca="1">IF(AND(A384 &gt; TODAY(), A384 &lt;= TODAY() + 7),
   INDEX(calculations!B:B, MATCH(143^143, calculations!B:B)),
   IF(ISNUMBER(MATCH(A384, calculations!A:A, 0)),
      INDEX(calculations!B:B, MATCH(A384, calculations!A:A, 0)),
      ""
   )
)</f>
        <v>41817</v>
      </c>
      <c r="C384" s="42">
        <f t="array" aca="1" ref="C384" ca="1">IF(B384&lt;&gt;"", IF(MATCH(A384, calculations!A:A, 0), INDEX(calculations!D:D, MATCH(A384, calculations!A:A, 0)), "No Match"),"")</f>
        <v>276182787152</v>
      </c>
      <c r="D384" s="43">
        <f t="shared" ca="1" si="30"/>
        <v>-9.9808130422231481E-2</v>
      </c>
      <c r="E384" s="43">
        <f t="shared" ca="1" si="22"/>
        <v>1.2669270447647029E-2</v>
      </c>
      <c r="F384" s="43">
        <f t="shared" ca="1" si="33"/>
        <v>9.0897140280888994E-2</v>
      </c>
      <c r="G384" s="42">
        <f t="shared" ca="1" si="23"/>
        <v>1.1549135610335184E+16</v>
      </c>
      <c r="H384" s="41">
        <f t="shared" ca="1" si="34"/>
        <v>55457.454631674373</v>
      </c>
      <c r="I384" s="3"/>
      <c r="J384" s="43">
        <f t="shared" ca="1" si="36"/>
        <v>2.3955900162917372</v>
      </c>
      <c r="K384" s="44">
        <f t="shared" ca="1" si="31"/>
        <v>2</v>
      </c>
      <c r="L384" s="3"/>
      <c r="M384" s="45">
        <f t="shared" ca="1" si="24"/>
        <v>45375.606565121685</v>
      </c>
      <c r="N384" s="47">
        <f t="shared" ca="1" si="25"/>
        <v>65539.302698227068</v>
      </c>
      <c r="O384" s="45">
        <f t="shared" ca="1" si="26"/>
        <v>40334.682531845348</v>
      </c>
      <c r="P384" s="47">
        <f t="shared" ca="1" si="27"/>
        <v>70580.226731503397</v>
      </c>
      <c r="Q384" s="45">
        <f t="shared" ca="1" si="28"/>
        <v>35293.758498569005</v>
      </c>
      <c r="R384" s="47">
        <f t="shared" ca="1" si="29"/>
        <v>75621.150764779755</v>
      </c>
      <c r="S384" s="73">
        <f t="shared" ca="1" si="37"/>
        <v>2.3955900162917372</v>
      </c>
      <c r="T384" s="73"/>
      <c r="U384" s="3"/>
      <c r="V384" s="3"/>
      <c r="W384" s="3"/>
      <c r="X384" s="3"/>
    </row>
    <row r="385" spans="1:24" ht="13">
      <c r="A385" s="40">
        <v>44578</v>
      </c>
      <c r="B385" s="41">
        <f t="array" aca="1" ref="B385" ca="1">IF(AND(A385 &gt; TODAY(), A385 &lt;= TODAY() + 7),
   INDEX(calculations!B:B, MATCH(143^143, calculations!B:B)),
   IF(ISNUMBER(MATCH(A385, calculations!A:A, 0)),
      INDEX(calculations!B:B, MATCH(A385, calculations!A:A, 0)),
      ""
   )
)</f>
        <v>42211.27</v>
      </c>
      <c r="C385" s="42">
        <f t="array" aca="1" ref="C385" ca="1">IF(B385&lt;&gt;"", IF(MATCH(A385, calculations!A:A, 0), INDEX(calculations!D:D, MATCH(A385, calculations!A:A, 0)), "No Match"),"")</f>
        <v>199473804544</v>
      </c>
      <c r="D385" s="43">
        <f t="shared" ca="1" si="30"/>
        <v>9.428462108711691E-3</v>
      </c>
      <c r="E385" s="43">
        <f t="shared" ca="1" si="22"/>
        <v>1.1030776287058626E-5</v>
      </c>
      <c r="F385" s="43">
        <f t="shared" ca="1" si="33"/>
        <v>7.6998907370085121E-2</v>
      </c>
      <c r="G385" s="42">
        <f t="shared" ca="1" si="23"/>
        <v>8420042621534010</v>
      </c>
      <c r="H385" s="41">
        <f t="shared" ca="1" si="34"/>
        <v>54519.783942005568</v>
      </c>
      <c r="I385" s="3"/>
      <c r="J385" s="43">
        <f t="shared" ca="1" si="36"/>
        <v>2.2009324467538933</v>
      </c>
      <c r="K385" s="44">
        <f t="shared" ca="1" si="31"/>
        <v>2</v>
      </c>
      <c r="L385" s="3"/>
      <c r="M385" s="45">
        <f t="shared" ca="1" si="24"/>
        <v>46123.856354830481</v>
      </c>
      <c r="N385" s="47">
        <f t="shared" ca="1" si="25"/>
        <v>62915.711529180648</v>
      </c>
      <c r="O385" s="45">
        <f t="shared" ca="1" si="26"/>
        <v>41925.892561242945</v>
      </c>
      <c r="P385" s="47">
        <f t="shared" ca="1" si="27"/>
        <v>67113.675322768191</v>
      </c>
      <c r="Q385" s="45">
        <f t="shared" ca="1" si="28"/>
        <v>37727.928767655401</v>
      </c>
      <c r="R385" s="47">
        <f t="shared" ca="1" si="29"/>
        <v>71311.639116355742</v>
      </c>
      <c r="S385" s="73">
        <f t="shared" ca="1" si="37"/>
        <v>2.2009324467538933</v>
      </c>
      <c r="T385" s="73"/>
      <c r="U385" s="3"/>
      <c r="V385" s="3"/>
      <c r="W385" s="3"/>
      <c r="X385" s="3"/>
    </row>
    <row r="386" spans="1:24" ht="13">
      <c r="A386" s="40">
        <v>44585</v>
      </c>
      <c r="B386" s="41">
        <f t="array" aca="1" ref="B386" ca="1">IF(AND(A386 &gt; TODAY(), A386 &lt;= TODAY() + 7),
   INDEX(calculations!B:B, MATCH(143^143, calculations!B:B)),
   IF(ISNUMBER(MATCH(A386, calculations!A:A, 0)),
      INDEX(calculations!B:B, MATCH(A386, calculations!A:A, 0)),
      ""
   )
)</f>
        <v>36660</v>
      </c>
      <c r="C386" s="42">
        <f t="array" aca="1" ref="C386" ca="1">IF(B386&lt;&gt;"", IF(MATCH(A386, calculations!A:A, 0), INDEX(calculations!D:D, MATCH(A386, calculations!A:A, 0)), "No Match"),"")</f>
        <v>196327492324</v>
      </c>
      <c r="D386" s="43">
        <f t="shared" ca="1" si="30"/>
        <v>-0.13151156077511994</v>
      </c>
      <c r="E386" s="43">
        <f t="shared" ca="1" si="22"/>
        <v>2.0811318099781699E-2</v>
      </c>
      <c r="F386" s="43">
        <f t="shared" ca="1" si="33"/>
        <v>7.6664877103714973E-2</v>
      </c>
      <c r="G386" s="42">
        <f t="shared" ca="1" si="23"/>
        <v>7197365868597840</v>
      </c>
      <c r="H386" s="41">
        <f t="shared" ca="1" si="34"/>
        <v>52804.488619430813</v>
      </c>
      <c r="I386" s="3"/>
      <c r="J386" s="43">
        <f t="shared" ca="1" si="36"/>
        <v>2.5762761745954599</v>
      </c>
      <c r="K386" s="44">
        <f t="shared" ca="1" si="31"/>
        <v>3</v>
      </c>
      <c r="L386" s="3"/>
      <c r="M386" s="45">
        <f t="shared" ca="1" si="24"/>
        <v>44707.989358364459</v>
      </c>
      <c r="N386" s="47">
        <f t="shared" ca="1" si="25"/>
        <v>60900.987880497167</v>
      </c>
      <c r="O386" s="45">
        <f t="shared" ca="1" si="26"/>
        <v>40659.739727831271</v>
      </c>
      <c r="P386" s="47">
        <f t="shared" ca="1" si="27"/>
        <v>64949.237511030355</v>
      </c>
      <c r="Q386" s="45">
        <f t="shared" ca="1" si="28"/>
        <v>36611.490097298098</v>
      </c>
      <c r="R386" s="47">
        <f t="shared" ca="1" si="29"/>
        <v>68997.487141563528</v>
      </c>
      <c r="S386" s="73">
        <f t="shared" ca="1" si="37"/>
        <v>2.5762761745954599</v>
      </c>
      <c r="T386" s="73"/>
      <c r="U386" s="3"/>
      <c r="V386" s="3"/>
      <c r="W386" s="3"/>
      <c r="X386" s="3"/>
    </row>
    <row r="387" spans="1:24" ht="13">
      <c r="A387" s="40">
        <v>44592</v>
      </c>
      <c r="B387" s="41">
        <f t="array" aca="1" ref="B387" ca="1">IF(AND(A387 &gt; TODAY(), A387 &lt;= TODAY() + 7),
   INDEX(calculations!B:B, MATCH(143^143, calculations!B:B)),
   IF(ISNUMBER(MATCH(A387, calculations!A:A, 0)),
      INDEX(calculations!B:B, MATCH(A387, calculations!A:A, 0)),
      ""
   )
)</f>
        <v>38463</v>
      </c>
      <c r="C387" s="42">
        <f t="array" aca="1" ref="C387" ca="1">IF(B387&lt;&gt;"", IF(MATCH(A387, calculations!A:A, 0), INDEX(calculations!D:D, MATCH(A387, calculations!A:A, 0)), "No Match"),"")</f>
        <v>178727434896</v>
      </c>
      <c r="D387" s="43">
        <f t="shared" ca="1" si="30"/>
        <v>4.918166939443535E-2</v>
      </c>
      <c r="E387" s="43">
        <f t="shared" ca="1" si="22"/>
        <v>1.3272866919903897E-3</v>
      </c>
      <c r="F387" s="43">
        <f t="shared" ca="1" si="33"/>
        <v>7.8765369197699303E-2</v>
      </c>
      <c r="G387" s="42">
        <f t="shared" ca="1" si="23"/>
        <v>6874393328404848</v>
      </c>
      <c r="H387" s="41">
        <f t="shared" ca="1" si="34"/>
        <v>51163.828154098352</v>
      </c>
      <c r="I387" s="3"/>
      <c r="J387" s="43">
        <f t="shared" ca="1" si="36"/>
        <v>2.3313869925473902</v>
      </c>
      <c r="K387" s="44">
        <f t="shared" ca="1" si="31"/>
        <v>3</v>
      </c>
      <c r="L387" s="3"/>
      <c r="M387" s="45">
        <f t="shared" ca="1" si="24"/>
        <v>43103.952525847955</v>
      </c>
      <c r="N387" s="47">
        <f t="shared" ca="1" si="25"/>
        <v>59223.703782348748</v>
      </c>
      <c r="O387" s="45">
        <f t="shared" ca="1" si="26"/>
        <v>39074.014711722753</v>
      </c>
      <c r="P387" s="47">
        <f t="shared" ca="1" si="27"/>
        <v>63253.641596473943</v>
      </c>
      <c r="Q387" s="45">
        <f t="shared" ca="1" si="28"/>
        <v>35044.076897597559</v>
      </c>
      <c r="R387" s="47">
        <f t="shared" ca="1" si="29"/>
        <v>67283.579410599137</v>
      </c>
      <c r="S387" s="73">
        <f t="shared" ca="1" si="37"/>
        <v>2.3313869925473902</v>
      </c>
      <c r="T387" s="73"/>
      <c r="U387" s="3"/>
      <c r="V387" s="3"/>
      <c r="W387" s="3"/>
      <c r="X387" s="3"/>
    </row>
    <row r="388" spans="1:24" ht="13">
      <c r="A388" s="40">
        <v>44599</v>
      </c>
      <c r="B388" s="41">
        <f t="array" aca="1" ref="B388" ca="1">IF(AND(A388 &gt; TODAY(), A388 &lt;= TODAY() + 7),
   INDEX(calculations!B:B, MATCH(143^143, calculations!B:B)),
   IF(ISNUMBER(MATCH(A388, calculations!A:A, 0)),
      INDEX(calculations!B:B, MATCH(A388, calculations!A:A, 0)),
      ""
   )
)</f>
        <v>43869.04</v>
      </c>
      <c r="C388" s="42">
        <f t="array" aca="1" ref="C388" ca="1">IF(B388&lt;&gt;"", IF(MATCH(A388, calculations!A:A, 0), INDEX(calculations!D:D, MATCH(A388, calculations!A:A, 0)), "No Match"),"")</f>
        <v>143977109319</v>
      </c>
      <c r="D388" s="43">
        <f t="shared" ca="1" si="30"/>
        <v>0.14055169903543668</v>
      </c>
      <c r="E388" s="43">
        <f t="shared" ca="1" si="22"/>
        <v>1.6333344987016309E-2</v>
      </c>
      <c r="F388" s="43">
        <f t="shared" ca="1" si="33"/>
        <v>9.1245391637816281E-2</v>
      </c>
      <c r="G388" s="42">
        <f t="shared" ca="1" si="23"/>
        <v>6316137567799584</v>
      </c>
      <c r="H388" s="41">
        <f t="shared" ca="1" si="34"/>
        <v>49988.683389894366</v>
      </c>
      <c r="I388" s="3"/>
      <c r="J388" s="43">
        <f t="shared" ca="1" si="36"/>
        <v>1</v>
      </c>
      <c r="K388" s="44" t="str">
        <f t="shared" ca="1" si="31"/>
        <v/>
      </c>
      <c r="L388" s="3"/>
      <c r="M388" s="45">
        <f t="shared" ca="1" si="24"/>
        <v>40866.209403154935</v>
      </c>
      <c r="N388" s="47">
        <f t="shared" ca="1" si="25"/>
        <v>59111.157376633797</v>
      </c>
      <c r="O388" s="45">
        <f t="shared" ca="1" si="26"/>
        <v>36304.97240978523</v>
      </c>
      <c r="P388" s="47">
        <f t="shared" ca="1" si="27"/>
        <v>63672.394370003502</v>
      </c>
      <c r="Q388" s="45">
        <f t="shared" ca="1" si="28"/>
        <v>31743.735416415515</v>
      </c>
      <c r="R388" s="47">
        <f t="shared" ca="1" si="29"/>
        <v>68233.631363373221</v>
      </c>
      <c r="S388" s="73">
        <f t="shared" ca="1" si="37"/>
        <v>1</v>
      </c>
      <c r="T388" s="73"/>
      <c r="U388" s="3"/>
      <c r="V388" s="3"/>
      <c r="W388" s="3"/>
      <c r="X388" s="3"/>
    </row>
    <row r="389" spans="1:24" ht="13">
      <c r="A389" s="40">
        <v>44606</v>
      </c>
      <c r="B389" s="41">
        <f t="array" aca="1" ref="B389" ca="1">IF(AND(A389 &gt; TODAY(), A389 &lt;= TODAY() + 7),
   INDEX(calculations!B:B, MATCH(143^143, calculations!B:B)),
   IF(ISNUMBER(MATCH(A389, calculations!A:A, 0)),
      INDEX(calculations!B:B, MATCH(A389, calculations!A:A, 0)),
      ""
   )
)</f>
        <v>42540.3</v>
      </c>
      <c r="C389" s="42">
        <f t="array" aca="1" ref="C389" ca="1">IF(B389&lt;&gt;"", IF(MATCH(A389, calculations!A:A, 0), INDEX(calculations!D:D, MATCH(A389, calculations!A:A, 0)), "No Match"),"")</f>
        <v>176814439070</v>
      </c>
      <c r="D389" s="43">
        <f t="shared" ca="1" si="30"/>
        <v>-3.0288786807279072E-2</v>
      </c>
      <c r="E389" s="43">
        <f t="shared" ca="1" si="22"/>
        <v>1.8523133572602352E-3</v>
      </c>
      <c r="F389" s="43">
        <f t="shared" ca="1" si="33"/>
        <v>8.3845953268917015E-2</v>
      </c>
      <c r="G389" s="42">
        <f t="shared" ca="1" si="23"/>
        <v>7521739282369522</v>
      </c>
      <c r="H389" s="41">
        <f t="shared" ca="1" si="34"/>
        <v>48225.413495653578</v>
      </c>
      <c r="I389" s="3"/>
      <c r="J389" s="43">
        <f t="shared" ref="J389:J452" ca="1" si="38">IF(B389="","",
 IF(B389&lt;Q389, 1+(4*ABS(D389))+(1+$X$2)+F389,
 IF(B389&lt;O389, 1+(3*ABS(D389))+(1+$X$2)+F389,
 IF(B389&lt;M389, 1+(2*ABS(D389))+(1+$X$2)+F389,
 IF(B389&gt;R389, 1-(4*ABS(D389))-(1+$X$2)-F389,
 IF(B389&gt;P389, 1-(3*ABS(D389))-(1+$X$2)-F389,
 IF(B389&gt;N389, 1-(2*ABS(D389))-(1+$X$2)-F389,
 1)))))))</f>
        <v>1</v>
      </c>
      <c r="K389" s="44" t="str">
        <f t="shared" ca="1" si="31"/>
        <v/>
      </c>
      <c r="L389" s="3"/>
      <c r="M389" s="45">
        <f t="shared" ca="1" si="24"/>
        <v>40138.401962992037</v>
      </c>
      <c r="N389" s="47">
        <f t="shared" ca="1" si="25"/>
        <v>56312.425028315112</v>
      </c>
      <c r="O389" s="45">
        <f t="shared" ca="1" si="26"/>
        <v>36094.89619666127</v>
      </c>
      <c r="P389" s="47">
        <f t="shared" ca="1" si="27"/>
        <v>60355.930794645887</v>
      </c>
      <c r="Q389" s="45">
        <f t="shared" ca="1" si="28"/>
        <v>32051.390430330495</v>
      </c>
      <c r="R389" s="47">
        <f t="shared" ca="1" si="29"/>
        <v>64399.436560976661</v>
      </c>
      <c r="S389" s="73">
        <f t="shared" ca="1" si="37"/>
        <v>1</v>
      </c>
      <c r="T389" s="73"/>
      <c r="U389" s="3"/>
      <c r="V389" s="3"/>
      <c r="W389" s="3"/>
      <c r="X389" s="3"/>
    </row>
    <row r="390" spans="1:24" ht="13">
      <c r="A390" s="40">
        <v>44613</v>
      </c>
      <c r="B390" s="41">
        <f t="array" aca="1" ref="B390" ca="1">IF(AND(A390 &gt; TODAY(), A390 &lt;= TODAY() + 7),
   INDEX(calculations!B:B, MATCH(143^143, calculations!B:B)),
   IF(ISNUMBER(MATCH(A390, calculations!A:A, 0)),
      INDEX(calculations!B:B, MATCH(A390, calculations!A:A, 0)),
      ""
   )
)</f>
        <v>37076.6</v>
      </c>
      <c r="C390" s="42">
        <f t="array" aca="1" ref="C390" ca="1">IF(B390&lt;&gt;"", IF(MATCH(A390, calculations!A:A, 0), INDEX(calculations!D:D, MATCH(A390, calculations!A:A, 0)), "No Match"),"")</f>
        <v>145184794705</v>
      </c>
      <c r="D390" s="43">
        <f t="shared" ca="1" si="30"/>
        <v>-0.12843585964367915</v>
      </c>
      <c r="E390" s="43">
        <f t="shared" ca="1" si="22"/>
        <v>1.9933368847568012E-2</v>
      </c>
      <c r="F390" s="43">
        <f t="shared" ca="1" si="33"/>
        <v>8.7768762868136757E-2</v>
      </c>
      <c r="G390" s="42">
        <f t="shared" ca="1" si="23"/>
        <v>5382958559359403</v>
      </c>
      <c r="H390" s="41">
        <f t="shared" ca="1" si="34"/>
        <v>46271.367348285901</v>
      </c>
      <c r="I390" s="3"/>
      <c r="J390" s="43">
        <f t="shared" ca="1" si="38"/>
        <v>2.44971709732188</v>
      </c>
      <c r="K390" s="44">
        <f t="shared" ca="1" si="31"/>
        <v>2</v>
      </c>
      <c r="L390" s="3"/>
      <c r="M390" s="45">
        <f t="shared" ca="1" si="24"/>
        <v>38149.006011533602</v>
      </c>
      <c r="N390" s="47">
        <f t="shared" ca="1" si="25"/>
        <v>54393.728685038201</v>
      </c>
      <c r="O390" s="45">
        <f t="shared" ca="1" si="26"/>
        <v>34087.825343157449</v>
      </c>
      <c r="P390" s="47">
        <f t="shared" ca="1" si="27"/>
        <v>58454.909353414354</v>
      </c>
      <c r="Q390" s="45">
        <f t="shared" ca="1" si="28"/>
        <v>30026.644674781295</v>
      </c>
      <c r="R390" s="47">
        <f t="shared" ca="1" si="29"/>
        <v>62516.0900217905</v>
      </c>
      <c r="S390" s="73">
        <f t="shared" ca="1" si="37"/>
        <v>2.44971709732188</v>
      </c>
      <c r="T390" s="73"/>
      <c r="U390" s="3"/>
      <c r="V390" s="3"/>
      <c r="W390" s="3"/>
      <c r="X390" s="3"/>
    </row>
    <row r="391" spans="1:24" ht="13">
      <c r="A391" s="40">
        <v>44620</v>
      </c>
      <c r="B391" s="41">
        <f t="array" aca="1" ref="B391" ca="1">IF(AND(A391 &gt; TODAY(), A391 &lt;= TODAY() + 7),
   INDEX(calculations!B:B, MATCH(143^143, calculations!B:B)),
   IF(ISNUMBER(MATCH(A391, calculations!A:A, 0)),
      INDEX(calculations!B:B, MATCH(A391, calculations!A:A, 0)),
      ""
   )
)</f>
        <v>43179.25</v>
      </c>
      <c r="C391" s="42">
        <f t="array" aca="1" ref="C391" ca="1">IF(B391&lt;&gt;"", IF(MATCH(A391, calculations!A:A, 0), INDEX(calculations!D:D, MATCH(A391, calculations!A:A, 0)), "No Match"),"")</f>
        <v>190469710084</v>
      </c>
      <c r="D391" s="43">
        <f t="shared" ca="1" si="30"/>
        <v>0.16459572884245055</v>
      </c>
      <c r="E391" s="43">
        <f t="shared" ca="1" si="22"/>
        <v>2.3057209381536489E-2</v>
      </c>
      <c r="F391" s="43">
        <f t="shared" ca="1" si="33"/>
        <v>9.9041680375000926E-2</v>
      </c>
      <c r="G391" s="42">
        <f t="shared" ca="1" si="23"/>
        <v>8224339229144557</v>
      </c>
      <c r="H391" s="41">
        <f t="shared" ca="1" si="34"/>
        <v>45157.63279761919</v>
      </c>
      <c r="I391" s="3"/>
      <c r="J391" s="43">
        <f t="shared" ca="1" si="38"/>
        <v>1</v>
      </c>
      <c r="K391" s="44" t="str">
        <f t="shared" ca="1" si="31"/>
        <v/>
      </c>
      <c r="L391" s="3"/>
      <c r="M391" s="45">
        <f t="shared" ca="1" si="24"/>
        <v>36212.657129552274</v>
      </c>
      <c r="N391" s="47">
        <f t="shared" ca="1" si="25"/>
        <v>54102.608465686106</v>
      </c>
      <c r="O391" s="45">
        <f t="shared" ca="1" si="26"/>
        <v>31740.169295518812</v>
      </c>
      <c r="P391" s="47">
        <f t="shared" ca="1" si="27"/>
        <v>58575.096299719567</v>
      </c>
      <c r="Q391" s="45">
        <f t="shared" ca="1" si="28"/>
        <v>27267.681461485354</v>
      </c>
      <c r="R391" s="47">
        <f t="shared" ca="1" si="29"/>
        <v>63047.584133753029</v>
      </c>
      <c r="S391" s="73">
        <f t="shared" ca="1" si="37"/>
        <v>1</v>
      </c>
      <c r="T391" s="73"/>
      <c r="U391" s="3"/>
      <c r="V391" s="3"/>
      <c r="W391" s="3"/>
      <c r="X391" s="3"/>
    </row>
    <row r="392" spans="1:24" ht="13">
      <c r="A392" s="40">
        <v>44627</v>
      </c>
      <c r="B392" s="41">
        <f t="array" aca="1" ref="B392" ca="1">IF(AND(A392 &gt; TODAY(), A392 &lt;= TODAY() + 7),
   INDEX(calculations!B:B, MATCH(143^143, calculations!B:B)),
   IF(ISNUMBER(MATCH(A392, calculations!A:A, 0)),
      INDEX(calculations!B:B, MATCH(A392, calculations!A:A, 0)),
      ""
   )
)</f>
        <v>38001.050000000003</v>
      </c>
      <c r="C392" s="42">
        <f t="array" aca="1" ref="C392" ca="1">IF(B392&lt;&gt;"", IF(MATCH(A392, calculations!A:A, 0), INDEX(calculations!D:D, MATCH(A392, calculations!A:A, 0)), "No Match"),"")</f>
        <v>187557375751</v>
      </c>
      <c r="D392" s="43">
        <f t="shared" ca="1" si="30"/>
        <v>-0.11992334280933543</v>
      </c>
      <c r="E392" s="43">
        <f t="shared" ca="1" si="22"/>
        <v>1.760214248628349E-2</v>
      </c>
      <c r="F392" s="43">
        <f t="shared" ca="1" si="33"/>
        <v>0.10205113354368602</v>
      </c>
      <c r="G392" s="42">
        <f t="shared" ca="1" si="23"/>
        <v>7127377213782539</v>
      </c>
      <c r="H392" s="41">
        <f t="shared" ca="1" si="34"/>
        <v>43551.082644130285</v>
      </c>
      <c r="I392" s="3"/>
      <c r="J392" s="43">
        <f t="shared" ca="1" si="38"/>
        <v>1</v>
      </c>
      <c r="K392" s="44" t="str">
        <f t="shared" ca="1" si="31"/>
        <v/>
      </c>
      <c r="L392" s="3"/>
      <c r="M392" s="45">
        <f t="shared" ca="1" si="24"/>
        <v>34662.207942353794</v>
      </c>
      <c r="N392" s="47">
        <f t="shared" ca="1" si="25"/>
        <v>52439.957345906776</v>
      </c>
      <c r="O392" s="45">
        <f t="shared" ca="1" si="26"/>
        <v>30217.770591465549</v>
      </c>
      <c r="P392" s="47">
        <f t="shared" ca="1" si="27"/>
        <v>56884.394696795018</v>
      </c>
      <c r="Q392" s="45">
        <f t="shared" ca="1" si="28"/>
        <v>25773.333240577304</v>
      </c>
      <c r="R392" s="47">
        <f t="shared" ca="1" si="29"/>
        <v>61328.832047683267</v>
      </c>
      <c r="S392" s="73">
        <f t="shared" ca="1" si="37"/>
        <v>1</v>
      </c>
      <c r="T392" s="73"/>
      <c r="U392" s="3"/>
      <c r="V392" s="3"/>
      <c r="W392" s="3"/>
      <c r="X392" s="3"/>
    </row>
    <row r="393" spans="1:24" ht="13">
      <c r="A393" s="40">
        <v>44634</v>
      </c>
      <c r="B393" s="41">
        <f t="array" aca="1" ref="B393" ca="1">IF(AND(A393 &gt; TODAY(), A393 &lt;= TODAY() + 7),
   INDEX(calculations!B:B, MATCH(143^143, calculations!B:B)),
   IF(ISNUMBER(MATCH(A393, calculations!A:A, 0)),
      INDEX(calculations!B:B, MATCH(A393, calculations!A:A, 0)),
      ""
   )
)</f>
        <v>39649.050000000003</v>
      </c>
      <c r="C393" s="42">
        <f t="array" aca="1" ref="C393" ca="1">IF(B393&lt;&gt;"", IF(MATCH(A393, calculations!A:A, 0), INDEX(calculations!D:D, MATCH(A393, calculations!A:A, 0)), "No Match"),"")</f>
        <v>175966999156</v>
      </c>
      <c r="D393" s="43">
        <f t="shared" ca="1" si="30"/>
        <v>4.3367222747792492E-2</v>
      </c>
      <c r="E393" s="43">
        <f t="shared" ca="1" si="22"/>
        <v>9.3743126887440697E-4</v>
      </c>
      <c r="F393" s="43">
        <f t="shared" ca="1" si="33"/>
        <v>9.9003155784203309E-2</v>
      </c>
      <c r="G393" s="42">
        <f t="shared" ca="1" si="23"/>
        <v>6976924347886202</v>
      </c>
      <c r="H393" s="41">
        <f t="shared" ca="1" si="34"/>
        <v>42571.10764910774</v>
      </c>
      <c r="I393" s="3"/>
      <c r="J393" s="43">
        <f t="shared" ca="1" si="38"/>
        <v>1</v>
      </c>
      <c r="K393" s="44" t="str">
        <f t="shared" ca="1" si="31"/>
        <v/>
      </c>
      <c r="L393" s="3"/>
      <c r="M393" s="45">
        <f t="shared" ca="1" si="24"/>
        <v>34141.75964412633</v>
      </c>
      <c r="N393" s="47">
        <f t="shared" ca="1" si="25"/>
        <v>51000.455654089143</v>
      </c>
      <c r="O393" s="45">
        <f t="shared" ca="1" si="26"/>
        <v>29927.085641635633</v>
      </c>
      <c r="P393" s="47">
        <f t="shared" ca="1" si="27"/>
        <v>55215.129656579855</v>
      </c>
      <c r="Q393" s="45">
        <f t="shared" ca="1" si="28"/>
        <v>25712.411639144928</v>
      </c>
      <c r="R393" s="47">
        <f t="shared" ca="1" si="29"/>
        <v>59429.803659070552</v>
      </c>
      <c r="S393" s="73">
        <f t="shared" ca="1" si="37"/>
        <v>1</v>
      </c>
      <c r="T393" s="73"/>
      <c r="U393" s="3"/>
      <c r="V393" s="3"/>
      <c r="W393" s="3"/>
      <c r="X393" s="3"/>
    </row>
    <row r="394" spans="1:24" ht="13">
      <c r="A394" s="40">
        <v>44641</v>
      </c>
      <c r="B394" s="41">
        <f t="array" aca="1" ref="B394" ca="1">IF(AND(A394 &gt; TODAY(), A394 &lt;= TODAY() + 7),
   INDEX(calculations!B:B, MATCH(143^143, calculations!B:B)),
   IF(ISNUMBER(MATCH(A394, calculations!A:A, 0)),
      INDEX(calculations!B:B, MATCH(A394, calculations!A:A, 0)),
      ""
   )
)</f>
        <v>41078</v>
      </c>
      <c r="C394" s="42">
        <f t="array" aca="1" ref="C394" ca="1">IF(B394&lt;&gt;"", IF(MATCH(A394, calculations!A:A, 0), INDEX(calculations!D:D, MATCH(A394, calculations!A:A, 0)), "No Match"),"")</f>
        <v>184097042034</v>
      </c>
      <c r="D394" s="43">
        <f t="shared" ca="1" si="30"/>
        <v>3.6039955560095309E-2</v>
      </c>
      <c r="E394" s="43">
        <f t="shared" ca="1" si="22"/>
        <v>5.4243491602026296E-4</v>
      </c>
      <c r="F394" s="43">
        <f t="shared" ca="1" si="33"/>
        <v>9.8111270736067735E-2</v>
      </c>
      <c r="G394" s="42">
        <f t="shared" ca="1" si="23"/>
        <v>7562338292672652</v>
      </c>
      <c r="H394" s="41">
        <f t="shared" ca="1" si="34"/>
        <v>42136.138068147076</v>
      </c>
      <c r="I394" s="3"/>
      <c r="J394" s="43">
        <f t="shared" ca="1" si="38"/>
        <v>1</v>
      </c>
      <c r="K394" s="44" t="str">
        <f t="shared" ca="1" si="31"/>
        <v/>
      </c>
      <c r="L394" s="3"/>
      <c r="M394" s="45">
        <f t="shared" ca="1" si="24"/>
        <v>33868.077968594458</v>
      </c>
      <c r="N394" s="47">
        <f t="shared" ca="1" si="25"/>
        <v>50404.198167699695</v>
      </c>
      <c r="O394" s="45">
        <f t="shared" ca="1" si="26"/>
        <v>29734.047918818153</v>
      </c>
      <c r="P394" s="47">
        <f t="shared" ca="1" si="27"/>
        <v>54538.228217476004</v>
      </c>
      <c r="Q394" s="45">
        <f t="shared" ca="1" si="28"/>
        <v>25600.017869041843</v>
      </c>
      <c r="R394" s="47">
        <f t="shared" ca="1" si="29"/>
        <v>58672.258267252306</v>
      </c>
      <c r="S394" s="73">
        <f t="shared" ca="1" si="37"/>
        <v>1</v>
      </c>
      <c r="T394" s="73"/>
      <c r="U394" s="3"/>
      <c r="V394" s="3"/>
      <c r="W394" s="3"/>
      <c r="X394" s="3"/>
    </row>
    <row r="395" spans="1:24" ht="13">
      <c r="A395" s="40">
        <v>44648</v>
      </c>
      <c r="B395" s="41">
        <f t="array" aca="1" ref="B395" ca="1">IF(AND(A395 &gt; TODAY(), A395 &lt;= TODAY() + 7),
   INDEX(calculations!B:B, MATCH(143^143, calculations!B:B)),
   IF(ISNUMBER(MATCH(A395, calculations!A:A, 0)),
      INDEX(calculations!B:B, MATCH(A395, calculations!A:A, 0)),
      ""
   )
)</f>
        <v>47223.65</v>
      </c>
      <c r="C395" s="42">
        <f t="array" aca="1" ref="C395" ca="1">IF(B395&lt;&gt;"", IF(MATCH(A395, calculations!A:A, 0), INDEX(calculations!D:D, MATCH(A395, calculations!A:A, 0)), "No Match"),"")</f>
        <v>188591889758</v>
      </c>
      <c r="D395" s="43">
        <f t="shared" ca="1" si="30"/>
        <v>0.14960927990651934</v>
      </c>
      <c r="E395" s="43">
        <f t="shared" ca="1" si="22"/>
        <v>1.8730538218614732E-2</v>
      </c>
      <c r="F395" s="43">
        <f t="shared" ca="1" si="33"/>
        <v>0.10647469170169534</v>
      </c>
      <c r="G395" s="42">
        <f t="shared" ca="1" si="23"/>
        <v>8905997394770377</v>
      </c>
      <c r="H395" s="41">
        <f t="shared" ca="1" si="34"/>
        <v>42107.37311149609</v>
      </c>
      <c r="I395" s="3"/>
      <c r="J395" s="43">
        <f t="shared" ca="1" si="38"/>
        <v>1</v>
      </c>
      <c r="K395" s="44" t="str">
        <f t="shared" ca="1" si="31"/>
        <v/>
      </c>
      <c r="L395" s="3"/>
      <c r="M395" s="45">
        <f t="shared" ca="1" si="24"/>
        <v>33140.633970666488</v>
      </c>
      <c r="N395" s="47">
        <f t="shared" ca="1" si="25"/>
        <v>51074.112252325693</v>
      </c>
      <c r="O395" s="45">
        <f t="shared" ca="1" si="26"/>
        <v>28657.264400251683</v>
      </c>
      <c r="P395" s="47">
        <f t="shared" ca="1" si="27"/>
        <v>55557.481822740498</v>
      </c>
      <c r="Q395" s="45">
        <f t="shared" ca="1" si="28"/>
        <v>24173.894829836885</v>
      </c>
      <c r="R395" s="47">
        <f t="shared" ca="1" si="29"/>
        <v>60040.851393155295</v>
      </c>
      <c r="S395" s="73">
        <f t="shared" ca="1" si="37"/>
        <v>1</v>
      </c>
      <c r="T395" s="73"/>
      <c r="U395" s="3"/>
      <c r="V395" s="3"/>
      <c r="W395" s="3"/>
      <c r="X395" s="3"/>
    </row>
    <row r="396" spans="1:24" ht="13">
      <c r="A396" s="40">
        <v>44655</v>
      </c>
      <c r="B396" s="41">
        <f t="array" aca="1" ref="B396" ca="1">IF(AND(A396 &gt; TODAY(), A396 &lt;= TODAY() + 7),
   INDEX(calculations!B:B, MATCH(143^143, calculations!B:B)),
   IF(ISNUMBER(MATCH(A396, calculations!A:A, 0)),
      INDEX(calculations!B:B, MATCH(A396, calculations!A:A, 0)),
      ""
   )
)</f>
        <v>46663</v>
      </c>
      <c r="C396" s="42">
        <f t="array" aca="1" ref="C396" ca="1">IF(B396&lt;&gt;"", IF(MATCH(A396, calculations!A:A, 0), INDEX(calculations!D:D, MATCH(A396, calculations!A:A, 0)), "No Match"),"")</f>
        <v>223334181931</v>
      </c>
      <c r="D396" s="43">
        <f t="shared" ca="1" si="30"/>
        <v>-1.1872229274950187E-2</v>
      </c>
      <c r="E396" s="43">
        <f t="shared" ca="1" si="22"/>
        <v>6.0624055146691171E-4</v>
      </c>
      <c r="F396" s="43">
        <f t="shared" ca="1" si="33"/>
        <v>0.10426894993161649</v>
      </c>
      <c r="G396" s="42">
        <f t="shared" ca="1" si="23"/>
        <v>1.0421442931446252E+16</v>
      </c>
      <c r="H396" s="41">
        <f t="shared" ca="1" si="34"/>
        <v>41920.273562396716</v>
      </c>
      <c r="I396" s="3"/>
      <c r="J396" s="43">
        <f t="shared" ca="1" si="38"/>
        <v>1</v>
      </c>
      <c r="K396" s="44" t="str">
        <f t="shared" ca="1" si="31"/>
        <v/>
      </c>
      <c r="L396" s="3"/>
      <c r="M396" s="45">
        <f t="shared" ca="1" si="24"/>
        <v>33178.307752002293</v>
      </c>
      <c r="N396" s="47">
        <f t="shared" ca="1" si="25"/>
        <v>50662.23937279114</v>
      </c>
      <c r="O396" s="45">
        <f t="shared" ca="1" si="26"/>
        <v>28807.324846805084</v>
      </c>
      <c r="P396" s="47">
        <f t="shared" ca="1" si="27"/>
        <v>55033.222277988345</v>
      </c>
      <c r="Q396" s="45">
        <f t="shared" ca="1" si="28"/>
        <v>24436.341941607876</v>
      </c>
      <c r="R396" s="47">
        <f t="shared" ca="1" si="29"/>
        <v>59404.205183185557</v>
      </c>
      <c r="S396" s="73">
        <f t="shared" ca="1" si="37"/>
        <v>1</v>
      </c>
      <c r="T396" s="73"/>
      <c r="U396" s="3"/>
      <c r="V396" s="3"/>
      <c r="W396" s="3"/>
      <c r="X396" s="3"/>
    </row>
    <row r="397" spans="1:24" ht="13">
      <c r="A397" s="40">
        <v>44662</v>
      </c>
      <c r="B397" s="41">
        <f t="array" aca="1" ref="B397" ca="1">IF(AND(A397 &gt; TODAY(), A397 &lt;= TODAY() + 7),
   INDEX(calculations!B:B, MATCH(143^143, calculations!B:B)),
   IF(ISNUMBER(MATCH(A397, calculations!A:A, 0)),
      INDEX(calculations!B:B, MATCH(A397, calculations!A:A, 0)),
      ""
   )
)</f>
        <v>39544.03</v>
      </c>
      <c r="C397" s="42">
        <f t="array" aca="1" ref="C397" ca="1">IF(B397&lt;&gt;"", IF(MATCH(A397, calculations!A:A, 0), INDEX(calculations!D:D, MATCH(A397, calculations!A:A, 0)), "No Match"),"")</f>
        <v>188557001876</v>
      </c>
      <c r="D397" s="43">
        <f t="shared" ca="1" si="30"/>
        <v>-0.15256134410560832</v>
      </c>
      <c r="E397" s="43">
        <f t="shared" ca="1" si="22"/>
        <v>2.7327749026009152E-2</v>
      </c>
      <c r="F397" s="43">
        <f t="shared" ca="1" si="33"/>
        <v>0.10986303517664452</v>
      </c>
      <c r="G397" s="42">
        <f t="shared" ca="1" si="23"/>
        <v>7456303738894600</v>
      </c>
      <c r="H397" s="41">
        <f t="shared" ca="1" si="34"/>
        <v>41403.256399991304</v>
      </c>
      <c r="I397" s="3"/>
      <c r="J397" s="43">
        <f t="shared" ca="1" si="38"/>
        <v>1</v>
      </c>
      <c r="K397" s="44" t="str">
        <f t="shared" ca="1" si="31"/>
        <v/>
      </c>
      <c r="L397" s="3"/>
      <c r="M397" s="45">
        <f t="shared" ca="1" si="24"/>
        <v>32305.88157139155</v>
      </c>
      <c r="N397" s="47">
        <f t="shared" ca="1" si="25"/>
        <v>50500.631228591061</v>
      </c>
      <c r="O397" s="45">
        <f t="shared" ca="1" si="26"/>
        <v>27757.194157091672</v>
      </c>
      <c r="P397" s="47">
        <f t="shared" ca="1" si="27"/>
        <v>55049.318642890932</v>
      </c>
      <c r="Q397" s="45">
        <f t="shared" ca="1" si="28"/>
        <v>23208.506742791793</v>
      </c>
      <c r="R397" s="47">
        <f t="shared" ca="1" si="29"/>
        <v>59598.006057190811</v>
      </c>
      <c r="S397" s="73">
        <f t="shared" ca="1" si="37"/>
        <v>1</v>
      </c>
      <c r="T397" s="73"/>
      <c r="U397" s="3"/>
      <c r="V397" s="3"/>
      <c r="W397" s="3"/>
      <c r="X397" s="3"/>
    </row>
    <row r="398" spans="1:24" ht="13">
      <c r="A398" s="40">
        <v>44669</v>
      </c>
      <c r="B398" s="41">
        <f t="array" aca="1" ref="B398" ca="1">IF(AND(A398 &gt; TODAY(), A398 &lt;= TODAY() + 7),
   INDEX(calculations!B:B, MATCH(143^143, calculations!B:B)),
   IF(ISNUMBER(MATCH(A398, calculations!A:A, 0)),
      INDEX(calculations!B:B, MATCH(A398, calculations!A:A, 0)),
      ""
   )
)</f>
        <v>40818.879999999997</v>
      </c>
      <c r="C398" s="42">
        <f t="array" aca="1" ref="C398" ca="1">IF(B398&lt;&gt;"", IF(MATCH(A398, calculations!A:A, 0), INDEX(calculations!D:D, MATCH(A398, calculations!A:A, 0)), "No Match"),"")</f>
        <v>174652159709</v>
      </c>
      <c r="D398" s="43">
        <f t="shared" ca="1" si="30"/>
        <v>3.2238747542928693E-2</v>
      </c>
      <c r="E398" s="43">
        <f t="shared" ca="1" si="22"/>
        <v>3.7982206367466513E-4</v>
      </c>
      <c r="F398" s="43">
        <f t="shared" ca="1" si="33"/>
        <v>0.10679979326976838</v>
      </c>
      <c r="G398" s="42">
        <f t="shared" ca="1" si="23"/>
        <v>7129105548902505</v>
      </c>
      <c r="H398" s="41">
        <f t="shared" ca="1" si="34"/>
        <v>41318.544492552683</v>
      </c>
      <c r="I398" s="3"/>
      <c r="J398" s="43">
        <f t="shared" ca="1" si="38"/>
        <v>1</v>
      </c>
      <c r="K398" s="44" t="str">
        <f t="shared" ca="1" si="31"/>
        <v/>
      </c>
      <c r="L398" s="3"/>
      <c r="M398" s="45">
        <f t="shared" ca="1" si="24"/>
        <v>32492.920472527974</v>
      </c>
      <c r="N398" s="47">
        <f t="shared" ca="1" si="25"/>
        <v>50144.168512577395</v>
      </c>
      <c r="O398" s="45">
        <f t="shared" ca="1" si="26"/>
        <v>28080.108462515625</v>
      </c>
      <c r="P398" s="47">
        <f t="shared" ca="1" si="27"/>
        <v>54556.980522589736</v>
      </c>
      <c r="Q398" s="45">
        <f t="shared" ca="1" si="28"/>
        <v>23667.296452503269</v>
      </c>
      <c r="R398" s="47">
        <f t="shared" ca="1" si="29"/>
        <v>58969.7925326021</v>
      </c>
      <c r="S398" s="73">
        <f t="shared" ca="1" si="37"/>
        <v>1</v>
      </c>
      <c r="T398" s="73"/>
      <c r="U398" s="3"/>
      <c r="V398" s="3"/>
      <c r="W398" s="3"/>
      <c r="X398" s="3"/>
    </row>
    <row r="399" spans="1:24" ht="13">
      <c r="A399" s="40">
        <v>44676</v>
      </c>
      <c r="B399" s="41">
        <f t="array" aca="1" ref="B399" ca="1">IF(AND(A399 &gt; TODAY(), A399 &lt;= TODAY() + 7),
   INDEX(calculations!B:B, MATCH(143^143, calculations!B:B)),
   IF(ISNUMBER(MATCH(A399, calculations!A:A, 0)),
      INDEX(calculations!B:B, MATCH(A399, calculations!A:A, 0)),
      ""
   )
)</f>
        <v>40473.75</v>
      </c>
      <c r="C399" s="42">
        <f t="array" aca="1" ref="C399" ca="1">IF(B399&lt;&gt;"", IF(MATCH(A399, calculations!A:A, 0), INDEX(calculations!D:D, MATCH(A399, calculations!A:A, 0)), "No Match"),"")</f>
        <v>184314843516</v>
      </c>
      <c r="D399" s="43">
        <f t="shared" ca="1" si="30"/>
        <v>-8.4551560454377336E-3</v>
      </c>
      <c r="E399" s="43">
        <f t="shared" ca="1" si="22"/>
        <v>4.496469105209426E-4</v>
      </c>
      <c r="F399" s="43">
        <f t="shared" ca="1" si="33"/>
        <v>0.10683168191580573</v>
      </c>
      <c r="G399" s="42">
        <f t="shared" ca="1" si="23"/>
        <v>7459912897755705</v>
      </c>
      <c r="H399" s="41">
        <f t="shared" ca="1" si="34"/>
        <v>41187.059761868935</v>
      </c>
      <c r="I399" s="3"/>
      <c r="J399" s="43">
        <f t="shared" ca="1" si="38"/>
        <v>1</v>
      </c>
      <c r="K399" s="44" t="str">
        <f t="shared" ca="1" si="31"/>
        <v/>
      </c>
      <c r="L399" s="3"/>
      <c r="M399" s="45">
        <f t="shared" ca="1" si="24"/>
        <v>32386.894026814411</v>
      </c>
      <c r="N399" s="47">
        <f t="shared" ca="1" si="25"/>
        <v>49987.225496923464</v>
      </c>
      <c r="O399" s="45">
        <f t="shared" ca="1" si="26"/>
        <v>27986.811159287146</v>
      </c>
      <c r="P399" s="47">
        <f t="shared" ca="1" si="27"/>
        <v>54387.308364450728</v>
      </c>
      <c r="Q399" s="45">
        <f t="shared" ca="1" si="28"/>
        <v>23586.728291759882</v>
      </c>
      <c r="R399" s="47">
        <f t="shared" ca="1" si="29"/>
        <v>58787.391231977985</v>
      </c>
      <c r="S399" s="73">
        <f t="shared" ca="1" si="37"/>
        <v>1</v>
      </c>
      <c r="T399" s="73"/>
      <c r="U399" s="3"/>
      <c r="V399" s="3"/>
      <c r="W399" s="3"/>
      <c r="X399" s="3"/>
    </row>
    <row r="400" spans="1:24" ht="13">
      <c r="A400" s="40">
        <v>44683</v>
      </c>
      <c r="B400" s="41">
        <f t="array" aca="1" ref="B400" ca="1">IF(AND(A400 &gt; TODAY(), A400 &lt;= TODAY() + 7),
   INDEX(calculations!B:B, MATCH(143^143, calculations!B:B)),
   IF(ISNUMBER(MATCH(A400, calculations!A:A, 0)),
      INDEX(calculations!B:B, MATCH(A400, calculations!A:A, 0)),
      ""
   )
)</f>
        <v>38566.06</v>
      </c>
      <c r="C400" s="42">
        <f t="array" aca="1" ref="C400" ca="1">IF(B400&lt;&gt;"", IF(MATCH(A400, calculations!A:A, 0), INDEX(calculations!D:D, MATCH(A400, calculations!A:A, 0)), "No Match"),"")</f>
        <v>216681007567</v>
      </c>
      <c r="D400" s="43">
        <f t="shared" ca="1" si="30"/>
        <v>-4.7134006609222082E-2</v>
      </c>
      <c r="E400" s="43">
        <f t="shared" ca="1" si="22"/>
        <v>3.5860611148058243E-3</v>
      </c>
      <c r="F400" s="43">
        <f t="shared" ca="1" si="33"/>
        <v>0.10091683680758191</v>
      </c>
      <c r="G400" s="42">
        <f t="shared" ca="1" si="23"/>
        <v>8356532738689376</v>
      </c>
      <c r="H400" s="41">
        <f t="shared" ca="1" si="34"/>
        <v>41312.450422930109</v>
      </c>
      <c r="I400" s="3"/>
      <c r="J400" s="43">
        <f t="shared" ca="1" si="38"/>
        <v>1</v>
      </c>
      <c r="K400" s="44" t="str">
        <f t="shared" ca="1" si="31"/>
        <v/>
      </c>
      <c r="L400" s="3"/>
      <c r="M400" s="45">
        <f t="shared" ca="1" si="24"/>
        <v>32974.206788025796</v>
      </c>
      <c r="N400" s="47">
        <f t="shared" ca="1" si="25"/>
        <v>49650.694057834422</v>
      </c>
      <c r="O400" s="45">
        <f t="shared" ca="1" si="26"/>
        <v>28805.084970573644</v>
      </c>
      <c r="P400" s="47">
        <f t="shared" ca="1" si="27"/>
        <v>53819.815875286578</v>
      </c>
      <c r="Q400" s="45">
        <f t="shared" ca="1" si="28"/>
        <v>24635.963153121487</v>
      </c>
      <c r="R400" s="47">
        <f t="shared" ca="1" si="29"/>
        <v>57988.937692738735</v>
      </c>
      <c r="S400" s="73">
        <f t="shared" ca="1" si="37"/>
        <v>1</v>
      </c>
      <c r="T400" s="73"/>
      <c r="U400" s="3"/>
      <c r="V400" s="3"/>
      <c r="W400" s="3"/>
      <c r="X400" s="3"/>
    </row>
    <row r="401" spans="1:24" ht="13">
      <c r="A401" s="40">
        <v>44690</v>
      </c>
      <c r="B401" s="41">
        <f t="array" aca="1" ref="B401" ca="1">IF(AND(A401 &gt; TODAY(), A401 &lt;= TODAY() + 7),
   INDEX(calculations!B:B, MATCH(143^143, calculations!B:B)),
   IF(ISNUMBER(MATCH(A401, calculations!A:A, 0)),
      INDEX(calculations!B:B, MATCH(A401, calculations!A:A, 0)),
      ""
   )
)</f>
        <v>30076.31</v>
      </c>
      <c r="C401" s="42">
        <f t="array" aca="1" ref="C401" ca="1">IF(B401&lt;&gt;"", IF(MATCH(A401, calculations!A:A, 0), INDEX(calculations!D:D, MATCH(A401, calculations!A:A, 0)), "No Match"),"")</f>
        <v>239044762282</v>
      </c>
      <c r="D401" s="43">
        <f t="shared" ca="1" si="30"/>
        <v>-0.22013526919783863</v>
      </c>
      <c r="E401" s="43">
        <f t="shared" ca="1" si="22"/>
        <v>5.4235419757805554E-2</v>
      </c>
      <c r="F401" s="43">
        <f t="shared" ca="1" si="33"/>
        <v>0.11693281741084789</v>
      </c>
      <c r="G401" s="42">
        <f t="shared" ca="1" si="23"/>
        <v>7189584374269740</v>
      </c>
      <c r="H401" s="41">
        <f t="shared" ca="1" si="34"/>
        <v>40481.422034888994</v>
      </c>
      <c r="I401" s="3"/>
      <c r="J401" s="43">
        <f t="shared" ca="1" si="38"/>
        <v>2.6622799709729099</v>
      </c>
      <c r="K401" s="44">
        <f t="shared" ca="1" si="31"/>
        <v>2</v>
      </c>
      <c r="L401" s="3"/>
      <c r="M401" s="45">
        <f t="shared" ca="1" si="24"/>
        <v>31014.208572214695</v>
      </c>
      <c r="N401" s="47">
        <f t="shared" ca="1" si="25"/>
        <v>49948.635497563293</v>
      </c>
      <c r="O401" s="45">
        <f t="shared" ca="1" si="26"/>
        <v>26280.601840877545</v>
      </c>
      <c r="P401" s="47">
        <f t="shared" ca="1" si="27"/>
        <v>54682.242228900439</v>
      </c>
      <c r="Q401" s="45">
        <f t="shared" ca="1" si="28"/>
        <v>21546.995109540399</v>
      </c>
      <c r="R401" s="47">
        <f t="shared" ca="1" si="29"/>
        <v>59415.848960237592</v>
      </c>
      <c r="S401" s="73">
        <f t="shared" ca="1" si="37"/>
        <v>2.6622799709729099</v>
      </c>
      <c r="T401" s="73"/>
      <c r="U401" s="3"/>
      <c r="V401" s="3"/>
      <c r="W401" s="3"/>
      <c r="X401" s="3"/>
    </row>
    <row r="402" spans="1:24" ht="13">
      <c r="A402" s="40">
        <v>44697</v>
      </c>
      <c r="B402" s="41">
        <f t="array" aca="1" ref="B402" ca="1">IF(AND(A402 &gt; TODAY(), A402 &lt;= TODAY() + 7),
   INDEX(calculations!B:B, MATCH(143^143, calculations!B:B)),
   IF(ISNUMBER(MATCH(A402, calculations!A:A, 0)),
      INDEX(calculations!B:B, MATCH(A402, calculations!A:A, 0)),
      ""
   )
)</f>
        <v>29889.61</v>
      </c>
      <c r="C402" s="42">
        <f t="array" aca="1" ref="C402" ca="1">IF(B402&lt;&gt;"", IF(MATCH(A402, calculations!A:A, 0), INDEX(calculations!D:D, MATCH(A402, calculations!A:A, 0)), "No Match"),"")</f>
        <v>357800928090</v>
      </c>
      <c r="D402" s="43">
        <f t="shared" ca="1" si="30"/>
        <v>-6.207543412074178E-3</v>
      </c>
      <c r="E402" s="43">
        <f t="shared" ca="1" si="22"/>
        <v>3.5937796339766337E-4</v>
      </c>
      <c r="F402" s="43">
        <f t="shared" ca="1" si="33"/>
        <v>0.10859337197315486</v>
      </c>
      <c r="G402" s="42">
        <f t="shared" ca="1" si="23"/>
        <v>1.0694530198248146E+16</v>
      </c>
      <c r="H402" s="41">
        <f t="shared" ca="1" si="34"/>
        <v>38971.574433789625</v>
      </c>
      <c r="I402" s="3"/>
      <c r="J402" s="43">
        <f t="shared" ca="1" si="38"/>
        <v>2.2260850739636884</v>
      </c>
      <c r="K402" s="44">
        <f t="shared" ca="1" si="31"/>
        <v>2</v>
      </c>
      <c r="L402" s="3"/>
      <c r="M402" s="45">
        <f t="shared" ca="1" si="24"/>
        <v>30507.465076053606</v>
      </c>
      <c r="N402" s="47">
        <f t="shared" ca="1" si="25"/>
        <v>47435.683791525647</v>
      </c>
      <c r="O402" s="45">
        <f t="shared" ca="1" si="26"/>
        <v>26275.410397185598</v>
      </c>
      <c r="P402" s="47">
        <f t="shared" ca="1" si="27"/>
        <v>51667.738470393655</v>
      </c>
      <c r="Q402" s="45">
        <f t="shared" ca="1" si="28"/>
        <v>22043.355718317591</v>
      </c>
      <c r="R402" s="47">
        <f t="shared" ca="1" si="29"/>
        <v>55899.793149261663</v>
      </c>
      <c r="S402" s="73">
        <f t="shared" ca="1" si="37"/>
        <v>2.2260850739636884</v>
      </c>
      <c r="T402" s="73"/>
      <c r="U402" s="3"/>
      <c r="V402" s="3"/>
      <c r="W402" s="3"/>
      <c r="X402" s="3"/>
    </row>
    <row r="403" spans="1:24" ht="13">
      <c r="A403" s="40">
        <v>44704</v>
      </c>
      <c r="B403" s="41">
        <f t="array" aca="1" ref="B403" ca="1">IF(AND(A403 &gt; TODAY(), A403 &lt;= TODAY() + 7),
   INDEX(calculations!B:B, MATCH(143^143, calculations!B:B)),
   IF(ISNUMBER(MATCH(A403, calculations!A:A, 0)),
      INDEX(calculations!B:B, MATCH(A403, calculations!A:A, 0)),
      ""
   )
)</f>
        <v>29088.25</v>
      </c>
      <c r="C403" s="42">
        <f t="array" aca="1" ref="C403" ca="1">IF(B403&lt;&gt;"", IF(MATCH(A403, calculations!A:A, 0), INDEX(calculations!D:D, MATCH(A403, calculations!A:A, 0)), "No Match"),"")</f>
        <v>196429842104</v>
      </c>
      <c r="D403" s="43">
        <f t="shared" ca="1" si="30"/>
        <v>-2.6810654270831923E-2</v>
      </c>
      <c r="E403" s="43">
        <f t="shared" ca="1" si="22"/>
        <v>1.5650234781481075E-3</v>
      </c>
      <c r="F403" s="43">
        <f t="shared" ca="1" si="33"/>
        <v>0.10857537222198549</v>
      </c>
      <c r="G403" s="42">
        <f t="shared" ca="1" si="23"/>
        <v>5713800354581678</v>
      </c>
      <c r="H403" s="41">
        <f t="shared" ca="1" si="34"/>
        <v>38069.832991339477</v>
      </c>
      <c r="I403" s="3"/>
      <c r="J403" s="43">
        <f t="shared" ca="1" si="38"/>
        <v>2.2672732959300341</v>
      </c>
      <c r="K403" s="44">
        <f t="shared" ca="1" si="31"/>
        <v>2</v>
      </c>
      <c r="L403" s="3"/>
      <c r="M403" s="45">
        <f t="shared" ca="1" si="24"/>
        <v>29802.940416412464</v>
      </c>
      <c r="N403" s="47">
        <f t="shared" ca="1" si="25"/>
        <v>46336.725566266497</v>
      </c>
      <c r="O403" s="45">
        <f t="shared" ca="1" si="26"/>
        <v>25669.494128948958</v>
      </c>
      <c r="P403" s="47">
        <f t="shared" ca="1" si="27"/>
        <v>50470.171853729997</v>
      </c>
      <c r="Q403" s="45">
        <f t="shared" ca="1" si="28"/>
        <v>21536.047841485448</v>
      </c>
      <c r="R403" s="47">
        <f t="shared" ca="1" si="29"/>
        <v>54603.618141193503</v>
      </c>
      <c r="S403" s="73">
        <f t="shared" ca="1" si="37"/>
        <v>2.2672732959300341</v>
      </c>
      <c r="T403" s="73"/>
      <c r="U403" s="3"/>
      <c r="V403" s="3"/>
      <c r="W403" s="3"/>
      <c r="X403" s="3"/>
    </row>
    <row r="404" spans="1:24" ht="13">
      <c r="A404" s="40">
        <v>44711</v>
      </c>
      <c r="B404" s="41">
        <f t="array" aca="1" ref="B404" ca="1">IF(AND(A404 &gt; TODAY(), A404 &lt;= TODAY() + 7),
   INDEX(calculations!B:B, MATCH(143^143, calculations!B:B)),
   IF(ISNUMBER(MATCH(A404, calculations!A:A, 0)),
      INDEX(calculations!B:B, MATCH(A404, calculations!A:A, 0)),
      ""
   )
)</f>
        <v>31735.95</v>
      </c>
      <c r="C404" s="42">
        <f t="array" aca="1" ref="C404" ca="1">IF(B404&lt;&gt;"", IF(MATCH(A404, calculations!A:A, 0), INDEX(calculations!D:D, MATCH(A404, calculations!A:A, 0)), "No Match"),"")</f>
        <v>196327562570</v>
      </c>
      <c r="D404" s="43">
        <f t="shared" ca="1" si="30"/>
        <v>9.1023007571785886E-2</v>
      </c>
      <c r="E404" s="43">
        <f t="shared" ca="1" si="22"/>
        <v>6.1267070215877233E-3</v>
      </c>
      <c r="F404" s="43">
        <f t="shared" ca="1" si="33"/>
        <v>0.10772875222538363</v>
      </c>
      <c r="G404" s="42">
        <f t="shared" ca="1" si="23"/>
        <v>6230641709343392</v>
      </c>
      <c r="H404" s="41">
        <f t="shared" ca="1" si="34"/>
        <v>37691.258743461018</v>
      </c>
      <c r="I404" s="3"/>
      <c r="J404" s="43">
        <f t="shared" ca="1" si="38"/>
        <v>1</v>
      </c>
      <c r="K404" s="44" t="str">
        <f t="shared" ca="1" si="31"/>
        <v/>
      </c>
      <c r="L404" s="3"/>
      <c r="M404" s="45">
        <f t="shared" ca="1" si="24"/>
        <v>29570.394194986744</v>
      </c>
      <c r="N404" s="47">
        <f t="shared" ca="1" si="25"/>
        <v>45812.123291935284</v>
      </c>
      <c r="O404" s="45">
        <f t="shared" ca="1" si="26"/>
        <v>25509.961920749611</v>
      </c>
      <c r="P404" s="47">
        <f t="shared" ca="1" si="27"/>
        <v>49872.555566172421</v>
      </c>
      <c r="Q404" s="45">
        <f t="shared" ca="1" si="28"/>
        <v>21449.52964651247</v>
      </c>
      <c r="R404" s="47">
        <f t="shared" ca="1" si="29"/>
        <v>53932.987840409565</v>
      </c>
      <c r="S404" s="73">
        <f t="shared" ca="1" si="37"/>
        <v>1</v>
      </c>
      <c r="T404" s="73"/>
      <c r="U404" s="3"/>
      <c r="V404" s="3"/>
      <c r="W404" s="3"/>
      <c r="X404" s="3"/>
    </row>
    <row r="405" spans="1:24" ht="13">
      <c r="A405" s="40">
        <v>44718</v>
      </c>
      <c r="B405" s="41">
        <f t="array" aca="1" ref="B405" ca="1">IF(AND(A405 &gt; TODAY(), A405 &lt;= TODAY() + 7),
   INDEX(calculations!B:B, MATCH(143^143, calculations!B:B)),
   IF(ISNUMBER(MATCH(A405, calculations!A:A, 0)),
      INDEX(calculations!B:B, MATCH(A405, calculations!A:A, 0)),
      ""
   )
)</f>
        <v>31333.68</v>
      </c>
      <c r="C405" s="42">
        <f t="array" aca="1" ref="C405" ca="1">IF(B405&lt;&gt;"", IF(MATCH(A405, calculations!A:A, 0), INDEX(calculations!D:D, MATCH(A405, calculations!A:A, 0)), "No Match"),"")</f>
        <v>203063587161</v>
      </c>
      <c r="D405" s="43">
        <f t="shared" ca="1" si="30"/>
        <v>-1.2675530431576822E-2</v>
      </c>
      <c r="E405" s="43">
        <f t="shared" ca="1" si="22"/>
        <v>6.464435302723098E-4</v>
      </c>
      <c r="F405" s="43">
        <f t="shared" ca="1" si="33"/>
        <v>9.5982845108497486E-2</v>
      </c>
      <c r="G405" s="42">
        <f t="shared" ca="1" si="23"/>
        <v>6362729459754883</v>
      </c>
      <c r="H405" s="41">
        <f t="shared" ca="1" si="34"/>
        <v>36890.177450999334</v>
      </c>
      <c r="I405" s="3"/>
      <c r="J405" s="43">
        <f t="shared" ca="1" si="38"/>
        <v>1</v>
      </c>
      <c r="K405" s="44" t="str">
        <f t="shared" ca="1" si="31"/>
        <v/>
      </c>
      <c r="L405" s="3"/>
      <c r="M405" s="45">
        <f t="shared" ca="1" si="24"/>
        <v>29808.529074390823</v>
      </c>
      <c r="N405" s="47">
        <f t="shared" ca="1" si="25"/>
        <v>43971.825827607849</v>
      </c>
      <c r="O405" s="45">
        <f t="shared" ca="1" si="26"/>
        <v>26267.704886086565</v>
      </c>
      <c r="P405" s="47">
        <f t="shared" ca="1" si="27"/>
        <v>47512.650015912099</v>
      </c>
      <c r="Q405" s="45">
        <f t="shared" ca="1" si="28"/>
        <v>22726.880697782311</v>
      </c>
      <c r="R405" s="47">
        <f t="shared" ca="1" si="29"/>
        <v>51053.474204216356</v>
      </c>
      <c r="S405" s="73">
        <f t="shared" ca="1" si="37"/>
        <v>1</v>
      </c>
      <c r="T405" s="73"/>
      <c r="U405" s="3"/>
      <c r="V405" s="3"/>
      <c r="W405" s="3"/>
      <c r="X405" s="3"/>
    </row>
    <row r="406" spans="1:24" ht="13">
      <c r="A406" s="40">
        <v>44725</v>
      </c>
      <c r="B406" s="41">
        <f t="array" aca="1" ref="B406" ca="1">IF(AND(A406 &gt; TODAY(), A406 &lt;= TODAY() + 7),
   INDEX(calculations!B:B, MATCH(143^143, calculations!B:B)),
   IF(ISNUMBER(MATCH(A406, calculations!A:A, 0)),
      INDEX(calculations!B:B, MATCH(A406, calculations!A:A, 0)),
      ""
   )
)</f>
        <v>22316.26</v>
      </c>
      <c r="C406" s="42">
        <f t="array" aca="1" ref="C406" ca="1">IF(B406&lt;&gt;"", IF(MATCH(A406, calculations!A:A, 0), INDEX(calculations!D:D, MATCH(A406, calculations!A:A, 0)), "No Match"),"")</f>
        <v>215929645934</v>
      </c>
      <c r="D406" s="43">
        <f t="shared" ca="1" si="30"/>
        <v>-0.28778681597565309</v>
      </c>
      <c r="E406" s="43">
        <f t="shared" ca="1" si="22"/>
        <v>9.0322211474742009E-2</v>
      </c>
      <c r="F406" s="43">
        <f t="shared" ca="1" si="33"/>
        <v>0.11770665077632694</v>
      </c>
      <c r="G406" s="42">
        <f t="shared" ca="1" si="23"/>
        <v>4818742120371086</v>
      </c>
      <c r="H406" s="41">
        <f t="shared" ca="1" si="34"/>
        <v>35750.778200520013</v>
      </c>
      <c r="I406" s="3"/>
      <c r="J406" s="43">
        <f t="shared" ca="1" si="38"/>
        <v>3.0861437138696712</v>
      </c>
      <c r="K406" s="44">
        <f t="shared" ca="1" si="31"/>
        <v>3</v>
      </c>
      <c r="L406" s="3"/>
      <c r="M406" s="45">
        <f t="shared" ca="1" si="24"/>
        <v>27334.569471258954</v>
      </c>
      <c r="N406" s="47">
        <f t="shared" ca="1" si="25"/>
        <v>44166.986929781073</v>
      </c>
      <c r="O406" s="45">
        <f t="shared" ca="1" si="26"/>
        <v>23126.465106628417</v>
      </c>
      <c r="P406" s="47">
        <f t="shared" ca="1" si="27"/>
        <v>48375.091294411613</v>
      </c>
      <c r="Q406" s="45">
        <f t="shared" ca="1" si="28"/>
        <v>18918.360741997887</v>
      </c>
      <c r="R406" s="47">
        <f t="shared" ca="1" si="29"/>
        <v>52583.195659042132</v>
      </c>
      <c r="S406" s="73">
        <f t="shared" ca="1" si="37"/>
        <v>3.0861437138696712</v>
      </c>
      <c r="T406" s="73"/>
      <c r="U406" s="3"/>
      <c r="V406" s="3"/>
      <c r="W406" s="3"/>
      <c r="X406" s="3"/>
    </row>
    <row r="407" spans="1:24" ht="13">
      <c r="A407" s="40">
        <v>44732</v>
      </c>
      <c r="B407" s="41">
        <f t="array" aca="1" ref="B407" ca="1">IF(AND(A407 &gt; TODAY(), A407 &lt;= TODAY() + 7),
   INDEX(calculations!B:B, MATCH(143^143, calculations!B:B)),
   IF(ISNUMBER(MATCH(A407, calculations!A:A, 0)),
      INDEX(calculations!B:B, MATCH(A407, calculations!A:A, 0)),
      ""
   )
)</f>
        <v>20571.63</v>
      </c>
      <c r="C407" s="42">
        <f t="array" aca="1" ref="C407" ca="1">IF(B407&lt;&gt;"", IF(MATCH(A407, calculations!A:A, 0), INDEX(calculations!D:D, MATCH(A407, calculations!A:A, 0)), "No Match"),"")</f>
        <v>309685915250</v>
      </c>
      <c r="D407" s="43">
        <f t="shared" ca="1" si="30"/>
        <v>-7.8177526162537883E-2</v>
      </c>
      <c r="E407" s="43">
        <f t="shared" ca="1" si="22"/>
        <v>8.2677647053984778E-3</v>
      </c>
      <c r="F407" s="43">
        <f t="shared" ca="1" si="33"/>
        <v>0.11634583871006224</v>
      </c>
      <c r="G407" s="42">
        <f t="shared" ca="1" si="23"/>
        <v>6370744064734358</v>
      </c>
      <c r="H407" s="41">
        <f t="shared" ca="1" si="34"/>
        <v>34000.991795212612</v>
      </c>
      <c r="I407" s="3"/>
      <c r="J407" s="43">
        <f t="shared" ca="1" si="38"/>
        <v>2.4559550323640607</v>
      </c>
      <c r="K407" s="44">
        <f t="shared" ca="1" si="31"/>
        <v>3</v>
      </c>
      <c r="L407" s="3"/>
      <c r="M407" s="45">
        <f t="shared" ca="1" si="24"/>
        <v>26089.243980436702</v>
      </c>
      <c r="N407" s="47">
        <f t="shared" ca="1" si="25"/>
        <v>41912.739609988523</v>
      </c>
      <c r="O407" s="45">
        <f t="shared" ca="1" si="26"/>
        <v>22133.370073048744</v>
      </c>
      <c r="P407" s="47">
        <f t="shared" ca="1" si="27"/>
        <v>45868.613517376478</v>
      </c>
      <c r="Q407" s="45">
        <f t="shared" ca="1" si="28"/>
        <v>18177.496165660788</v>
      </c>
      <c r="R407" s="47">
        <f t="shared" ca="1" si="29"/>
        <v>49824.487424764433</v>
      </c>
      <c r="S407" s="73">
        <f t="shared" ca="1" si="37"/>
        <v>2.4559550323640607</v>
      </c>
      <c r="T407" s="73"/>
      <c r="U407" s="3"/>
      <c r="V407" s="3"/>
      <c r="W407" s="3"/>
      <c r="X407" s="3"/>
    </row>
    <row r="408" spans="1:24" ht="13">
      <c r="A408" s="40">
        <v>44739</v>
      </c>
      <c r="B408" s="41">
        <f t="array" aca="1" ref="B408" ca="1">IF(AND(A408 &gt; TODAY(), A408 &lt;= TODAY() + 7),
   INDEX(calculations!B:B, MATCH(143^143, calculations!B:B)),
   IF(ISNUMBER(MATCH(A408, calculations!A:A, 0)),
      INDEX(calculations!B:B, MATCH(A408, calculations!A:A, 0)),
      ""
   )
)</f>
        <v>20751.05</v>
      </c>
      <c r="C408" s="42">
        <f t="array" aca="1" ref="C408" ca="1">IF(B408&lt;&gt;"", IF(MATCH(A408, calculations!A:A, 0), INDEX(calculations!D:D, MATCH(A408, calculations!A:A, 0)), "No Match"),"")</f>
        <v>175909056122</v>
      </c>
      <c r="D408" s="43">
        <f t="shared" ca="1" si="30"/>
        <v>8.7217201553789481E-3</v>
      </c>
      <c r="E408" s="43">
        <f t="shared" ca="1" si="22"/>
        <v>1.6224809801580071E-5</v>
      </c>
      <c r="F408" s="43">
        <f t="shared" ca="1" si="33"/>
        <v>0.11521810225712192</v>
      </c>
      <c r="G408" s="42">
        <f t="shared" ca="1" si="23"/>
        <v>3650297619040428</v>
      </c>
      <c r="H408" s="41">
        <f t="shared" ca="1" si="34"/>
        <v>32817.519645542474</v>
      </c>
      <c r="I408" s="3"/>
      <c r="J408" s="43">
        <f t="shared" ca="1" si="38"/>
        <v>2.2464598778896439</v>
      </c>
      <c r="K408" s="44">
        <f t="shared" ca="1" si="31"/>
        <v>3</v>
      </c>
      <c r="L408" s="3"/>
      <c r="M408" s="45">
        <f t="shared" ca="1" si="24"/>
        <v>25255.174976852035</v>
      </c>
      <c r="N408" s="47">
        <f t="shared" ca="1" si="25"/>
        <v>40379.864314232917</v>
      </c>
      <c r="O408" s="45">
        <f t="shared" ca="1" si="26"/>
        <v>21474.002642506814</v>
      </c>
      <c r="P408" s="47">
        <f t="shared" ca="1" si="27"/>
        <v>44161.036648578134</v>
      </c>
      <c r="Q408" s="45">
        <f t="shared" ca="1" si="28"/>
        <v>17692.830308161592</v>
      </c>
      <c r="R408" s="47">
        <f t="shared" ca="1" si="29"/>
        <v>47942.208982923352</v>
      </c>
      <c r="S408" s="73">
        <f t="shared" ca="1" si="37"/>
        <v>2.2464598778896439</v>
      </c>
      <c r="T408" s="73"/>
      <c r="U408" s="3"/>
      <c r="V408" s="3"/>
      <c r="W408" s="3"/>
      <c r="X408" s="3"/>
    </row>
    <row r="409" spans="1:24" ht="13">
      <c r="A409" s="40">
        <v>44746</v>
      </c>
      <c r="B409" s="41">
        <f t="array" aca="1" ref="B409" ca="1">IF(AND(A409 &gt; TODAY(), A409 &lt;= TODAY() + 7),
   INDEX(calculations!B:B, MATCH(143^143, calculations!B:B)),
   IF(ISNUMBER(MATCH(A409, calculations!A:A, 0)),
      INDEX(calculations!B:B, MATCH(A409, calculations!A:A, 0)),
      ""
   )
)</f>
        <v>20226.3</v>
      </c>
      <c r="C409" s="42">
        <f t="array" aca="1" ref="C409" ca="1">IF(B409&lt;&gt;"", IF(MATCH(A409, calculations!A:A, 0), INDEX(calculations!D:D, MATCH(A409, calculations!A:A, 0)), "No Match"),"")</f>
        <v>157426002965</v>
      </c>
      <c r="D409" s="43">
        <f t="shared" ca="1" si="30"/>
        <v>-2.5287876998995231E-2</v>
      </c>
      <c r="E409" s="43">
        <f t="shared" ca="1" si="22"/>
        <v>1.4468590409303314E-3</v>
      </c>
      <c r="F409" s="43">
        <f t="shared" ca="1" si="33"/>
        <v>0.10167903845355235</v>
      </c>
      <c r="G409" s="42">
        <f t="shared" ca="1" si="23"/>
        <v>3184145563770979.5</v>
      </c>
      <c r="H409" s="41">
        <f t="shared" ca="1" si="34"/>
        <v>31271.345655022789</v>
      </c>
      <c r="I409" s="3"/>
      <c r="J409" s="43">
        <f t="shared" ca="1" si="38"/>
        <v>2.2826192846169229</v>
      </c>
      <c r="K409" s="44">
        <f t="shared" ca="1" si="31"/>
        <v>3</v>
      </c>
      <c r="L409" s="3"/>
      <c r="M409" s="45">
        <f t="shared" ca="1" si="24"/>
        <v>24912.064940320011</v>
      </c>
      <c r="N409" s="47">
        <f t="shared" ca="1" si="25"/>
        <v>37630.626369725564</v>
      </c>
      <c r="O409" s="45">
        <f t="shared" ca="1" si="26"/>
        <v>21732.424582968622</v>
      </c>
      <c r="P409" s="47">
        <f t="shared" ca="1" si="27"/>
        <v>40810.26672707696</v>
      </c>
      <c r="Q409" s="45">
        <f t="shared" ca="1" si="28"/>
        <v>18552.78422561723</v>
      </c>
      <c r="R409" s="47">
        <f t="shared" ca="1" si="29"/>
        <v>43989.907084428349</v>
      </c>
      <c r="S409" s="73">
        <f t="shared" ca="1" si="37"/>
        <v>2.2826192846169229</v>
      </c>
      <c r="T409" s="73"/>
      <c r="U409" s="3"/>
      <c r="V409" s="3"/>
      <c r="W409" s="3"/>
      <c r="X409" s="3"/>
    </row>
    <row r="410" spans="1:24" ht="13">
      <c r="A410" s="40">
        <v>44753</v>
      </c>
      <c r="B410" s="41">
        <f t="array" aca="1" ref="B410" ca="1">IF(AND(A410 &gt; TODAY(), A410 &lt;= TODAY() + 7),
   INDEX(calculations!B:B, MATCH(143^143, calculations!B:B)),
   IF(ISNUMBER(MATCH(A410, calculations!A:A, 0)),
      INDEX(calculations!B:B, MATCH(A410, calculations!A:A, 0)),
      ""
   )
)</f>
        <v>19971.330000000002</v>
      </c>
      <c r="C410" s="42">
        <f t="array" aca="1" ref="C410" ca="1">IF(B410&lt;&gt;"", IF(MATCH(A410, calculations!A:A, 0), INDEX(calculations!D:D, MATCH(A410, calculations!A:A, 0)), "No Match"),"")</f>
        <v>206953871021</v>
      </c>
      <c r="D410" s="43">
        <f t="shared" ca="1" si="30"/>
        <v>-1.2605864641580394E-2</v>
      </c>
      <c r="E410" s="43">
        <f t="shared" ca="1" si="22"/>
        <v>6.4290584281236302E-4</v>
      </c>
      <c r="F410" s="43">
        <f t="shared" ca="1" si="33"/>
        <v>0.10165627467535442</v>
      </c>
      <c r="G410" s="42">
        <f t="shared" ca="1" si="23"/>
        <v>4133144052937828.5</v>
      </c>
      <c r="H410" s="41">
        <f t="shared" ca="1" si="34"/>
        <v>29360.498090278223</v>
      </c>
      <c r="I410" s="3"/>
      <c r="J410" s="43">
        <f t="shared" ca="1" si="38"/>
        <v>2.24455048376648</v>
      </c>
      <c r="K410" s="44">
        <f t="shared" ca="1" si="31"/>
        <v>3</v>
      </c>
      <c r="L410" s="3"/>
      <c r="M410" s="45">
        <f t="shared" ca="1" si="24"/>
        <v>23391.140373337137</v>
      </c>
      <c r="N410" s="47">
        <f t="shared" ca="1" si="25"/>
        <v>35329.855807219305</v>
      </c>
      <c r="O410" s="45">
        <f t="shared" ca="1" si="26"/>
        <v>20406.461514866594</v>
      </c>
      <c r="P410" s="47">
        <f t="shared" ca="1" si="27"/>
        <v>38314.534665689847</v>
      </c>
      <c r="Q410" s="45">
        <f t="shared" ca="1" si="28"/>
        <v>17421.782656396055</v>
      </c>
      <c r="R410" s="47">
        <f t="shared" ca="1" si="29"/>
        <v>41299.21352416039</v>
      </c>
      <c r="S410" s="73">
        <f t="shared" ca="1" si="37"/>
        <v>2.24455048376648</v>
      </c>
      <c r="T410" s="73"/>
      <c r="U410" s="3"/>
      <c r="V410" s="3"/>
      <c r="W410" s="3"/>
      <c r="X410" s="3"/>
    </row>
    <row r="411" spans="1:24" ht="13">
      <c r="A411" s="40">
        <v>44760</v>
      </c>
      <c r="B411" s="41">
        <f t="array" aca="1" ref="B411" ca="1">IF(AND(A411 &gt; TODAY(), A411 &lt;= TODAY() + 7),
   INDEX(calculations!B:B, MATCH(143^143, calculations!B:B)),
   IF(ISNUMBER(MATCH(A411, calculations!A:A, 0)),
      INDEX(calculations!B:B, MATCH(A411, calculations!A:A, 0)),
      ""
   )
)</f>
        <v>22305.71</v>
      </c>
      <c r="C411" s="42">
        <f t="array" aca="1" ref="C411" ca="1">IF(B411&lt;&gt;"", IF(MATCH(A411, calculations!A:A, 0), INDEX(calculations!D:D, MATCH(A411, calculations!A:A, 0)), "No Match"),"")</f>
        <v>187297974219</v>
      </c>
      <c r="D411" s="43">
        <f t="shared" ca="1" si="30"/>
        <v>0.11688655687928631</v>
      </c>
      <c r="E411" s="43">
        <f t="shared" ca="1" si="22"/>
        <v>1.0844480095807666E-2</v>
      </c>
      <c r="F411" s="43">
        <f t="shared" ca="1" si="33"/>
        <v>0.10679003215765252</v>
      </c>
      <c r="G411" s="42">
        <f t="shared" ca="1" si="23"/>
        <v>4177814296516490.5</v>
      </c>
      <c r="H411" s="41">
        <f t="shared" ca="1" si="34"/>
        <v>28287.684800395189</v>
      </c>
      <c r="I411" s="3"/>
      <c r="J411" s="43">
        <f t="shared" ca="1" si="38"/>
        <v>1</v>
      </c>
      <c r="K411" s="44" t="str">
        <f t="shared" ca="1" si="31"/>
        <v/>
      </c>
      <c r="L411" s="3"/>
      <c r="M411" s="45">
        <f t="shared" ca="1" si="24"/>
        <v>22245.999261395707</v>
      </c>
      <c r="N411" s="47">
        <f t="shared" ca="1" si="25"/>
        <v>34329.370339394671</v>
      </c>
      <c r="O411" s="45">
        <f t="shared" ca="1" si="26"/>
        <v>19225.156491895967</v>
      </c>
      <c r="P411" s="47">
        <f t="shared" ca="1" si="27"/>
        <v>37350.213108894415</v>
      </c>
      <c r="Q411" s="45">
        <f t="shared" ca="1" si="28"/>
        <v>16204.313722396224</v>
      </c>
      <c r="R411" s="47">
        <f t="shared" ca="1" si="29"/>
        <v>40371.055878394152</v>
      </c>
      <c r="S411" s="73">
        <f t="shared" ca="1" si="37"/>
        <v>1</v>
      </c>
      <c r="T411" s="73"/>
      <c r="U411" s="3"/>
      <c r="V411" s="3"/>
      <c r="W411" s="3"/>
      <c r="X411" s="3"/>
    </row>
    <row r="412" spans="1:24" ht="13">
      <c r="A412" s="40">
        <v>44767</v>
      </c>
      <c r="B412" s="41">
        <f t="array" aca="1" ref="B412" ca="1">IF(AND(A412 &gt; TODAY(), A412 &lt;= TODAY() + 7),
   INDEX(calculations!B:B, MATCH(143^143, calculations!B:B)),
   IF(ISNUMBER(MATCH(A412, calculations!A:A, 0)),
      INDEX(calculations!B:B, MATCH(A412, calculations!A:A, 0)),
      ""
   )
)</f>
        <v>21510.13</v>
      </c>
      <c r="C412" s="42">
        <f t="array" aca="1" ref="C412" ca="1">IF(B412&lt;&gt;"", IF(MATCH(A412, calculations!A:A, 0), INDEX(calculations!D:D, MATCH(A412, calculations!A:A, 0)), "No Match"),"")</f>
        <v>244312089708</v>
      </c>
      <c r="D412" s="43">
        <f t="shared" ca="1" si="30"/>
        <v>-3.5667100486825934E-2</v>
      </c>
      <c r="E412" s="43">
        <f t="shared" ca="1" si="22"/>
        <v>2.3441888312359859E-3</v>
      </c>
      <c r="F412" s="43">
        <f t="shared" ca="1" si="33"/>
        <v>0.10507701857166139</v>
      </c>
      <c r="G412" s="42">
        <f t="shared" ca="1" si="23"/>
        <v>5255184810190742</v>
      </c>
      <c r="H412" s="41">
        <f t="shared" ca="1" si="34"/>
        <v>27044.003583931659</v>
      </c>
      <c r="I412" s="3"/>
      <c r="J412" s="43">
        <f t="shared" ca="1" si="38"/>
        <v>1</v>
      </c>
      <c r="K412" s="44" t="str">
        <f t="shared" ca="1" si="31"/>
        <v/>
      </c>
      <c r="L412" s="3"/>
      <c r="M412" s="45">
        <f t="shared" ca="1" si="24"/>
        <v>21360.597050249929</v>
      </c>
      <c r="N412" s="47">
        <f t="shared" ca="1" si="25"/>
        <v>32727.410117613388</v>
      </c>
      <c r="O412" s="45">
        <f t="shared" ca="1" si="26"/>
        <v>18518.893783409065</v>
      </c>
      <c r="P412" s="47">
        <f t="shared" ca="1" si="27"/>
        <v>35569.113384454249</v>
      </c>
      <c r="Q412" s="45">
        <f t="shared" ca="1" si="28"/>
        <v>15677.1905165682</v>
      </c>
      <c r="R412" s="47">
        <f t="shared" ca="1" si="29"/>
        <v>38410.816651295114</v>
      </c>
      <c r="S412" s="73">
        <f t="shared" ca="1" si="37"/>
        <v>1</v>
      </c>
      <c r="T412" s="73"/>
      <c r="U412" s="3"/>
      <c r="V412" s="3"/>
      <c r="W412" s="3"/>
      <c r="X412" s="3"/>
    </row>
    <row r="413" spans="1:24" ht="13">
      <c r="A413" s="40">
        <v>44774</v>
      </c>
      <c r="B413" s="41">
        <f t="array" aca="1" ref="B413" ca="1">IF(AND(A413 &gt; TODAY(), A413 &lt;= TODAY() + 7),
   INDEX(calculations!B:B, MATCH(143^143, calculations!B:B)),
   IF(ISNUMBER(MATCH(A413, calculations!A:A, 0)),
      INDEX(calculations!B:B, MATCH(A413, calculations!A:A, 0)),
      ""
   )
)</f>
        <v>23331.439999999999</v>
      </c>
      <c r="C413" s="42">
        <f t="array" aca="1" ref="C413" ca="1">IF(B413&lt;&gt;"", IF(MATCH(A413, calculations!A:A, 0), INDEX(calculations!D:D, MATCH(A413, calculations!A:A, 0)), "No Match"),"")</f>
        <v>223759636595</v>
      </c>
      <c r="D413" s="43">
        <f t="shared" ca="1" si="30"/>
        <v>8.4672198633852863E-2</v>
      </c>
      <c r="E413" s="43">
        <f t="shared" ca="1" si="22"/>
        <v>5.1728424497832649E-3</v>
      </c>
      <c r="F413" s="43">
        <f t="shared" ca="1" si="33"/>
        <v>0.10998434432777417</v>
      </c>
      <c r="G413" s="42">
        <f t="shared" ca="1" si="23"/>
        <v>5220634535638047</v>
      </c>
      <c r="H413" s="41">
        <f t="shared" ca="1" si="34"/>
        <v>25987.975864021708</v>
      </c>
      <c r="I413" s="3"/>
      <c r="J413" s="43">
        <f t="shared" ca="1" si="38"/>
        <v>1</v>
      </c>
      <c r="K413" s="44" t="str">
        <f t="shared" ca="1" si="31"/>
        <v/>
      </c>
      <c r="L413" s="3"/>
      <c r="M413" s="45">
        <f t="shared" ca="1" si="24"/>
        <v>20271.434892400812</v>
      </c>
      <c r="N413" s="47">
        <f t="shared" ca="1" si="25"/>
        <v>31704.516835642604</v>
      </c>
      <c r="O413" s="45">
        <f t="shared" ca="1" si="26"/>
        <v>17413.164406590364</v>
      </c>
      <c r="P413" s="47">
        <f t="shared" ca="1" si="27"/>
        <v>34562.787321453048</v>
      </c>
      <c r="Q413" s="45">
        <f t="shared" ca="1" si="28"/>
        <v>14554.893920779918</v>
      </c>
      <c r="R413" s="47">
        <f t="shared" ca="1" si="29"/>
        <v>37421.057807263496</v>
      </c>
      <c r="S413" s="73">
        <f t="shared" ref="S413:S476" ca="1" si="39">IF(B413="","",
 IF(B413&lt;Q413, 1+(4*ABS(D413))+(1+$X$2)+F413,
 IF(B413&lt;O413, 1+(3*ABS(D413))+(1+$X$2)+F413,
 IF(B413&lt;M413, 1+(2*ABS(D413))+(1+$X$2)+F413,
 IF(B413&gt;R413, 1-(4*ABS(D413))-(1+$X$2)-F413,
 IF(B413&gt;P413, 1-(3*ABS(D413))-(1+$X$2)-F413,
 IF(B413&gt;N413, 1-(2*ABS(D413))-(1+$X$2)-F413,
 1)))))))</f>
        <v>1</v>
      </c>
      <c r="T413" s="73"/>
      <c r="U413" s="3"/>
      <c r="V413" s="3"/>
      <c r="W413" s="3"/>
      <c r="X413" s="3"/>
    </row>
    <row r="414" spans="1:24" ht="13">
      <c r="A414" s="40">
        <v>44781</v>
      </c>
      <c r="B414" s="41">
        <f t="array" aca="1" ref="B414" ca="1">IF(AND(A414 &gt; TODAY(), A414 &lt;= TODAY() + 7),
   INDEX(calculations!B:B, MATCH(143^143, calculations!B:B)),
   IF(ISNUMBER(MATCH(A414, calculations!A:A, 0)),
      INDEX(calculations!B:B, MATCH(A414, calculations!A:A, 0)),
      ""
   )
)</f>
        <v>23803.65</v>
      </c>
      <c r="C414" s="42">
        <f t="array" aca="1" ref="C414" ca="1">IF(B414&lt;&gt;"", IF(MATCH(A414, calculations!A:A, 0), INDEX(calculations!D:D, MATCH(A414, calculations!A:A, 0)), "No Match"),"")</f>
        <v>166393135564</v>
      </c>
      <c r="D414" s="43">
        <f t="shared" ca="1" si="30"/>
        <v>2.0239213696197182E-2</v>
      </c>
      <c r="E414" s="43">
        <f t="shared" ca="1" si="22"/>
        <v>5.6092465523616161E-5</v>
      </c>
      <c r="F414" s="43">
        <f t="shared" ca="1" si="33"/>
        <v>0.11075320873023026</v>
      </c>
      <c r="G414" s="42">
        <f t="shared" ca="1" si="23"/>
        <v>3960763961368009</v>
      </c>
      <c r="H414" s="41">
        <f t="shared" ca="1" si="34"/>
        <v>24985.198644459557</v>
      </c>
      <c r="I414" s="3"/>
      <c r="J414" s="43">
        <f t="shared" ca="1" si="38"/>
        <v>1</v>
      </c>
      <c r="K414" s="44" t="str">
        <f t="shared" ca="1" si="31"/>
        <v/>
      </c>
      <c r="L414" s="3"/>
      <c r="M414" s="45">
        <f t="shared" ca="1" si="24"/>
        <v>19450.816803187365</v>
      </c>
      <c r="N414" s="47">
        <f t="shared" ca="1" si="25"/>
        <v>30519.580485731749</v>
      </c>
      <c r="O414" s="45">
        <f t="shared" ca="1" si="26"/>
        <v>16683.62588255127</v>
      </c>
      <c r="P414" s="47">
        <f t="shared" ca="1" si="27"/>
        <v>33286.771406367843</v>
      </c>
      <c r="Q414" s="45">
        <f t="shared" ca="1" si="28"/>
        <v>13916.434961915174</v>
      </c>
      <c r="R414" s="47">
        <f t="shared" ca="1" si="29"/>
        <v>36053.962327003937</v>
      </c>
      <c r="S414" s="73">
        <f t="shared" ca="1" si="39"/>
        <v>1</v>
      </c>
      <c r="T414" s="73"/>
      <c r="U414" s="3"/>
      <c r="V414" s="3"/>
      <c r="W414" s="3"/>
      <c r="X414" s="3"/>
    </row>
    <row r="415" spans="1:24" ht="13">
      <c r="A415" s="40">
        <v>44788</v>
      </c>
      <c r="B415" s="41">
        <f t="array" aca="1" ref="B415" ca="1">IF(AND(A415 &gt; TODAY(), A415 &lt;= TODAY() + 7),
   INDEX(calculations!B:B, MATCH(143^143, calculations!B:B)),
   IF(ISNUMBER(MATCH(A415, calculations!A:A, 0)),
      INDEX(calculations!B:B, MATCH(A415, calculations!A:A, 0)),
      ""
   )
)</f>
        <v>24083.95</v>
      </c>
      <c r="C415" s="42">
        <f t="array" aca="1" ref="C415" ca="1">IF(B415&lt;&gt;"", IF(MATCH(A415, calculations!A:A, 0), INDEX(calculations!D:D, MATCH(A415, calculations!A:A, 0)), "No Match"),"")</f>
        <v>195343016900</v>
      </c>
      <c r="D415" s="43">
        <f t="shared" ca="1" si="30"/>
        <v>1.1775505017087684E-2</v>
      </c>
      <c r="E415" s="43">
        <f t="shared" ca="1" si="22"/>
        <v>9.4910137607338912E-7</v>
      </c>
      <c r="F415" s="43">
        <f t="shared" ca="1" si="33"/>
        <v>9.6082808869346295E-2</v>
      </c>
      <c r="G415" s="42">
        <f t="shared" ca="1" si="23"/>
        <v>4704631451868755</v>
      </c>
      <c r="H415" s="41">
        <f t="shared" ca="1" si="34"/>
        <v>24526.448288236308</v>
      </c>
      <c r="I415" s="3"/>
      <c r="J415" s="43">
        <f t="shared" ca="1" si="38"/>
        <v>1</v>
      </c>
      <c r="K415" s="44" t="str">
        <f t="shared" ca="1" si="31"/>
        <v/>
      </c>
      <c r="L415" s="3"/>
      <c r="M415" s="45">
        <f t="shared" ca="1" si="24"/>
        <v>19813.30820199128</v>
      </c>
      <c r="N415" s="47">
        <f t="shared" ca="1" si="25"/>
        <v>29239.588374481336</v>
      </c>
      <c r="O415" s="45">
        <f t="shared" ca="1" si="26"/>
        <v>17456.73815886876</v>
      </c>
      <c r="P415" s="47">
        <f t="shared" ca="1" si="27"/>
        <v>31596.158417603856</v>
      </c>
      <c r="Q415" s="45">
        <f t="shared" ca="1" si="28"/>
        <v>15100.16811574625</v>
      </c>
      <c r="R415" s="47">
        <f t="shared" ca="1" si="29"/>
        <v>33952.728460726365</v>
      </c>
      <c r="S415" s="73">
        <f t="shared" ca="1" si="39"/>
        <v>1</v>
      </c>
      <c r="T415" s="73"/>
      <c r="U415" s="3"/>
      <c r="V415" s="3"/>
      <c r="W415" s="3"/>
      <c r="X415" s="3"/>
    </row>
    <row r="416" spans="1:24" ht="13">
      <c r="A416" s="40">
        <v>44795</v>
      </c>
      <c r="B416" s="41">
        <f t="array" aca="1" ref="B416" ca="1">IF(AND(A416 &gt; TODAY(), A416 &lt;= TODAY() + 7),
   INDEX(calculations!B:B, MATCH(143^143, calculations!B:B)),
   IF(ISNUMBER(MATCH(A416, calculations!A:A, 0)),
      INDEX(calculations!B:B, MATCH(A416, calculations!A:A, 0)),
      ""
   )
)</f>
        <v>21301.08</v>
      </c>
      <c r="C416" s="42">
        <f t="array" aca="1" ref="C416" ca="1">IF(B416&lt;&gt;"", IF(MATCH(A416, calculations!A:A, 0), INDEX(calculations!D:D, MATCH(A416, calculations!A:A, 0)), "No Match"),"")</f>
        <v>208764012537</v>
      </c>
      <c r="D416" s="43">
        <f t="shared" ca="1" si="30"/>
        <v>-0.11554873681435142</v>
      </c>
      <c r="E416" s="43">
        <f t="shared" ca="1" si="22"/>
        <v>1.6460494882636404E-2</v>
      </c>
      <c r="F416" s="43">
        <f t="shared" ca="1" si="33"/>
        <v>0.10003886861239532</v>
      </c>
      <c r="G416" s="42">
        <f t="shared" ca="1" si="23"/>
        <v>4446898932171640.5</v>
      </c>
      <c r="H416" s="41">
        <f t="shared" ca="1" si="34"/>
        <v>23628.716871353561</v>
      </c>
      <c r="I416" s="3"/>
      <c r="J416" s="43">
        <f t="shared" ca="1" si="38"/>
        <v>1</v>
      </c>
      <c r="K416" s="44" t="str">
        <f t="shared" ca="1" si="31"/>
        <v/>
      </c>
      <c r="L416" s="3"/>
      <c r="M416" s="45">
        <f t="shared" ca="1" si="24"/>
        <v>18901.136666207905</v>
      </c>
      <c r="N416" s="47">
        <f t="shared" ca="1" si="25"/>
        <v>28356.297076499217</v>
      </c>
      <c r="O416" s="45">
        <f t="shared" ca="1" si="26"/>
        <v>16537.346563635077</v>
      </c>
      <c r="P416" s="47">
        <f t="shared" ca="1" si="27"/>
        <v>30720.087179072045</v>
      </c>
      <c r="Q416" s="45">
        <f t="shared" ca="1" si="28"/>
        <v>14173.556461062253</v>
      </c>
      <c r="R416" s="47">
        <f t="shared" ca="1" si="29"/>
        <v>33083.877281644869</v>
      </c>
      <c r="S416" s="73">
        <f t="shared" ca="1" si="39"/>
        <v>1</v>
      </c>
      <c r="T416" s="73"/>
      <c r="U416" s="3"/>
      <c r="V416" s="3"/>
      <c r="W416" s="3"/>
      <c r="X416" s="3"/>
    </row>
    <row r="417" spans="1:24" ht="13">
      <c r="A417" s="40">
        <v>44802</v>
      </c>
      <c r="B417" s="41">
        <f t="array" aca="1" ref="B417" ca="1">IF(AND(A417 &gt; TODAY(), A417 &lt;= TODAY() + 7),
   INDEX(calculations!B:B, MATCH(143^143, calculations!B:B)),
   IF(ISNUMBER(MATCH(A417, calculations!A:A, 0)),
      INDEX(calculations!B:B, MATCH(A417, calculations!A:A, 0)),
      ""
   )
)</f>
        <v>20270.96</v>
      </c>
      <c r="C417" s="42">
        <f t="array" aca="1" ref="C417" ca="1">IF(B417&lt;&gt;"", IF(MATCH(A417, calculations!A:A, 0), INDEX(calculations!D:D, MATCH(A417, calculations!A:A, 0)), "No Match"),"")</f>
        <v>223346042309</v>
      </c>
      <c r="D417" s="43">
        <f t="shared" ca="1" si="30"/>
        <v>-4.8359989258760706E-2</v>
      </c>
      <c r="E417" s="43">
        <f t="shared" ca="1" si="22"/>
        <v>3.7343969761221168E-3</v>
      </c>
      <c r="F417" s="43">
        <f t="shared" ca="1" si="33"/>
        <v>0.10033925484167501</v>
      </c>
      <c r="G417" s="42">
        <f t="shared" ca="1" si="23"/>
        <v>4527438689804046</v>
      </c>
      <c r="H417" s="41">
        <f t="shared" ca="1" si="34"/>
        <v>23003.446767555146</v>
      </c>
      <c r="I417" s="3"/>
      <c r="J417" s="43">
        <f t="shared" ca="1" si="38"/>
        <v>1</v>
      </c>
      <c r="K417" s="44" t="str">
        <f t="shared" ca="1" si="31"/>
        <v/>
      </c>
      <c r="L417" s="3"/>
      <c r="M417" s="45">
        <f t="shared" ca="1" si="24"/>
        <v>18387.149352661905</v>
      </c>
      <c r="N417" s="47">
        <f t="shared" ca="1" si="25"/>
        <v>27619.74418244839</v>
      </c>
      <c r="O417" s="45">
        <f t="shared" ca="1" si="26"/>
        <v>16079.000645215283</v>
      </c>
      <c r="P417" s="47">
        <f t="shared" ca="1" si="27"/>
        <v>29927.892889895007</v>
      </c>
      <c r="Q417" s="45">
        <f t="shared" ca="1" si="28"/>
        <v>13770.851937768663</v>
      </c>
      <c r="R417" s="47">
        <f t="shared" ca="1" si="29"/>
        <v>32236.041597341627</v>
      </c>
      <c r="S417" s="73">
        <f t="shared" ca="1" si="39"/>
        <v>1</v>
      </c>
      <c r="T417" s="73"/>
      <c r="U417" s="3"/>
      <c r="V417" s="3"/>
      <c r="W417" s="3"/>
      <c r="X417" s="3"/>
    </row>
    <row r="418" spans="1:24" ht="13">
      <c r="A418" s="40">
        <v>44809</v>
      </c>
      <c r="B418" s="41">
        <f t="array" aca="1" ref="B418" ca="1">IF(AND(A418 &gt; TODAY(), A418 &lt;= TODAY() + 7),
   INDEX(calculations!B:B, MATCH(143^143, calculations!B:B)),
   IF(ISNUMBER(MATCH(A418, calculations!A:A, 0)),
      INDEX(calculations!B:B, MATCH(A418, calculations!A:A, 0)),
      ""
   )
)</f>
        <v>19797.8</v>
      </c>
      <c r="C418" s="42">
        <f t="array" aca="1" ref="C418" ca="1">IF(B418&lt;&gt;"", IF(MATCH(A418, calculations!A:A, 0), INDEX(calculations!D:D, MATCH(A418, calculations!A:A, 0)), "No Match"),"")</f>
        <v>208511390280</v>
      </c>
      <c r="D418" s="43">
        <f t="shared" ca="1" si="30"/>
        <v>-2.334176575751715E-2</v>
      </c>
      <c r="E418" s="43">
        <f t="shared" ca="1" si="22"/>
        <v>1.3025955865867344E-3</v>
      </c>
      <c r="F418" s="43">
        <f t="shared" ca="1" si="33"/>
        <v>9.5106733326725465E-2</v>
      </c>
      <c r="G418" s="42">
        <f t="shared" ca="1" si="23"/>
        <v>4128066802485384</v>
      </c>
      <c r="H418" s="41">
        <f t="shared" ca="1" si="34"/>
        <v>22189.270834490748</v>
      </c>
      <c r="I418" s="3"/>
      <c r="J418" s="43">
        <f t="shared" ca="1" si="38"/>
        <v>1</v>
      </c>
      <c r="K418" s="44" t="str">
        <f t="shared" ca="1" si="31"/>
        <v/>
      </c>
      <c r="L418" s="3"/>
      <c r="M418" s="45">
        <f t="shared" ca="1" si="24"/>
        <v>17968.572706549949</v>
      </c>
      <c r="N418" s="47">
        <f t="shared" ca="1" si="25"/>
        <v>26409.968962431547</v>
      </c>
      <c r="O418" s="45">
        <f t="shared" ca="1" si="26"/>
        <v>15858.223642579551</v>
      </c>
      <c r="P418" s="47">
        <f t="shared" ca="1" si="27"/>
        <v>28520.318026401943</v>
      </c>
      <c r="Q418" s="45">
        <f t="shared" ca="1" si="28"/>
        <v>13747.874578609153</v>
      </c>
      <c r="R418" s="47">
        <f t="shared" ca="1" si="29"/>
        <v>30630.667090372342</v>
      </c>
      <c r="S418" s="73">
        <f t="shared" ca="1" si="39"/>
        <v>1</v>
      </c>
      <c r="T418" s="73"/>
      <c r="U418" s="3"/>
      <c r="V418" s="3"/>
      <c r="W418" s="3"/>
      <c r="X418" s="3"/>
    </row>
    <row r="419" spans="1:24" ht="13">
      <c r="A419" s="40">
        <v>44816</v>
      </c>
      <c r="B419" s="41">
        <f t="array" aca="1" ref="B419" ca="1">IF(AND(A419 &gt; TODAY(), A419 &lt;= TODAY() + 7),
   INDEX(calculations!B:B, MATCH(143^143, calculations!B:B)),
   IF(ISNUMBER(MATCH(A419, calculations!A:A, 0)),
      INDEX(calculations!B:B, MATCH(A419, calculations!A:A, 0)),
      ""
   )
)</f>
        <v>22364.720000000001</v>
      </c>
      <c r="C419" s="42">
        <f t="array" aca="1" ref="C419" ca="1">IF(B419&lt;&gt;"", IF(MATCH(A419, calculations!A:A, 0), INDEX(calculations!D:D, MATCH(A419, calculations!A:A, 0)), "No Match"),"")</f>
        <v>259528892947</v>
      </c>
      <c r="D419" s="43">
        <f t="shared" ca="1" si="30"/>
        <v>0.12965683055693067</v>
      </c>
      <c r="E419" s="43">
        <f t="shared" ca="1" si="22"/>
        <v>1.3667271713585855E-2</v>
      </c>
      <c r="F419" s="43">
        <f t="shared" ca="1" si="33"/>
        <v>0.10409589465028982</v>
      </c>
      <c r="G419" s="42">
        <f t="shared" ca="1" si="23"/>
        <v>5804291022669630</v>
      </c>
      <c r="H419" s="41">
        <f t="shared" ca="1" si="34"/>
        <v>21582.075113978764</v>
      </c>
      <c r="I419" s="3"/>
      <c r="J419" s="43">
        <f t="shared" ca="1" si="38"/>
        <v>1</v>
      </c>
      <c r="K419" s="44" t="str">
        <f t="shared" ca="1" si="31"/>
        <v/>
      </c>
      <c r="L419" s="3"/>
      <c r="M419" s="45">
        <f t="shared" ca="1" si="24"/>
        <v>17088.864279180016</v>
      </c>
      <c r="N419" s="47">
        <f t="shared" ca="1" si="25"/>
        <v>26075.285948777513</v>
      </c>
      <c r="O419" s="45">
        <f t="shared" ca="1" si="26"/>
        <v>14842.25886178064</v>
      </c>
      <c r="P419" s="47">
        <f t="shared" ca="1" si="27"/>
        <v>28321.891366176889</v>
      </c>
      <c r="Q419" s="45">
        <f t="shared" ca="1" si="28"/>
        <v>12595.653444381263</v>
      </c>
      <c r="R419" s="47">
        <f t="shared" ca="1" si="29"/>
        <v>30568.496783576262</v>
      </c>
      <c r="S419" s="73">
        <f t="shared" ca="1" si="39"/>
        <v>1</v>
      </c>
      <c r="T419" s="73"/>
      <c r="U419" s="3"/>
      <c r="V419" s="3"/>
      <c r="W419" s="3"/>
      <c r="X419" s="3"/>
    </row>
    <row r="420" spans="1:24" ht="13">
      <c r="A420" s="40">
        <v>44823</v>
      </c>
      <c r="B420" s="41">
        <f t="array" aca="1" ref="B420" ca="1">IF(AND(A420 &gt; TODAY(), A420 &lt;= TODAY() + 7),
   INDEX(calculations!B:B, MATCH(143^143, calculations!B:B)),
   IF(ISNUMBER(MATCH(A420, calculations!A:A, 0)),
      INDEX(calculations!B:B, MATCH(A420, calculations!A:A, 0)),
      ""
   )
)</f>
        <v>19557.98</v>
      </c>
      <c r="C420" s="42">
        <f t="array" aca="1" ref="C420" ca="1">IF(B420&lt;&gt;"", IF(MATCH(A420, calculations!A:A, 0), INDEX(calculations!D:D, MATCH(A420, calculations!A:A, 0)), "No Match"),"")</f>
        <v>261900187496</v>
      </c>
      <c r="D420" s="43">
        <f t="shared" ca="1" si="30"/>
        <v>-0.12549855307824115</v>
      </c>
      <c r="E420" s="43">
        <f t="shared" ca="1" si="22"/>
        <v>1.9112585937634412E-2</v>
      </c>
      <c r="F420" s="43">
        <f t="shared" ca="1" si="33"/>
        <v>7.7371554384657162E-2</v>
      </c>
      <c r="G420" s="42">
        <f t="shared" ca="1" si="23"/>
        <v>5122238629043018</v>
      </c>
      <c r="H420" s="41">
        <f t="shared" ca="1" si="34"/>
        <v>21354.734955548829</v>
      </c>
      <c r="I420" s="3"/>
      <c r="J420" s="43">
        <f t="shared" ca="1" si="38"/>
        <v>1</v>
      </c>
      <c r="K420" s="44" t="str">
        <f t="shared" ca="1" si="31"/>
        <v/>
      </c>
      <c r="L420" s="3"/>
      <c r="M420" s="45">
        <f t="shared" ca="1" si="24"/>
        <v>18050.236881582459</v>
      </c>
      <c r="N420" s="47">
        <f t="shared" ca="1" si="25"/>
        <v>24659.233029515199</v>
      </c>
      <c r="O420" s="45">
        <f t="shared" ca="1" si="26"/>
        <v>16397.987844599273</v>
      </c>
      <c r="P420" s="47">
        <f t="shared" ca="1" si="27"/>
        <v>26311.482066498385</v>
      </c>
      <c r="Q420" s="45">
        <f t="shared" ca="1" si="28"/>
        <v>14745.738807616088</v>
      </c>
      <c r="R420" s="47">
        <f t="shared" ca="1" si="29"/>
        <v>27963.731103481568</v>
      </c>
      <c r="S420" s="73">
        <f t="shared" ca="1" si="39"/>
        <v>1</v>
      </c>
      <c r="T420" s="73"/>
      <c r="U420" s="3"/>
      <c r="V420" s="3"/>
      <c r="W420" s="3"/>
      <c r="X420" s="3"/>
    </row>
    <row r="421" spans="1:24" ht="13">
      <c r="A421" s="40">
        <v>44830</v>
      </c>
      <c r="B421" s="41">
        <f t="array" aca="1" ref="B421" ca="1">IF(AND(A421 &gt; TODAY(), A421 &lt;= TODAY() + 7),
   INDEX(calculations!B:B, MATCH(143^143, calculations!B:B)),
   IF(ISNUMBER(MATCH(A421, calculations!A:A, 0)),
      INDEX(calculations!B:B, MATCH(A421, calculations!A:A, 0)),
      ""
   )
)</f>
        <v>19201.13</v>
      </c>
      <c r="C421" s="42">
        <f t="array" aca="1" ref="C421" ca="1">IF(B421&lt;&gt;"", IF(MATCH(A421, calculations!A:A, 0), INDEX(calculations!D:D, MATCH(A421, calculations!A:A, 0)), "No Match"),"")</f>
        <v>252873598365</v>
      </c>
      <c r="D421" s="43">
        <f t="shared" ca="1" si="30"/>
        <v>-1.8245749305398542E-2</v>
      </c>
      <c r="E421" s="43">
        <f t="shared" ca="1" si="22"/>
        <v>9.6071932563714048E-4</v>
      </c>
      <c r="F421" s="43">
        <f t="shared" ca="1" si="33"/>
        <v>7.4719747425599309E-2</v>
      </c>
      <c r="G421" s="42">
        <f t="shared" ca="1" si="23"/>
        <v>4855458835774153</v>
      </c>
      <c r="H421" s="41">
        <f t="shared" ca="1" si="34"/>
        <v>21253.106136731265</v>
      </c>
      <c r="I421" s="3"/>
      <c r="J421" s="43">
        <f t="shared" ca="1" si="38"/>
        <v>1</v>
      </c>
      <c r="K421" s="44" t="str">
        <f t="shared" ca="1" si="31"/>
        <v/>
      </c>
      <c r="L421" s="3"/>
      <c r="M421" s="45">
        <f t="shared" ca="1" si="24"/>
        <v>18077.052691639237</v>
      </c>
      <c r="N421" s="47">
        <f t="shared" ca="1" si="25"/>
        <v>24429.159581823293</v>
      </c>
      <c r="O421" s="45">
        <f t="shared" ca="1" si="26"/>
        <v>16489.025969093222</v>
      </c>
      <c r="P421" s="47">
        <f t="shared" ca="1" si="27"/>
        <v>26017.186304369308</v>
      </c>
      <c r="Q421" s="45">
        <f t="shared" ca="1" si="28"/>
        <v>14900.999246547206</v>
      </c>
      <c r="R421" s="47">
        <f t="shared" ca="1" si="29"/>
        <v>27605.21302691532</v>
      </c>
      <c r="S421" s="73">
        <f t="shared" ca="1" si="39"/>
        <v>1</v>
      </c>
      <c r="T421" s="73"/>
      <c r="U421" s="3"/>
      <c r="V421" s="3"/>
      <c r="W421" s="3"/>
      <c r="X421" s="3"/>
    </row>
    <row r="422" spans="1:24" ht="13">
      <c r="A422" s="40">
        <v>44837</v>
      </c>
      <c r="B422" s="41">
        <f t="array" aca="1" ref="B422" ca="1">IF(AND(A422 &gt; TODAY(), A422 &lt;= TODAY() + 7),
   INDEX(calculations!B:B, MATCH(143^143, calculations!B:B)),
   IF(ISNUMBER(MATCH(A422, calculations!A:A, 0)),
      INDEX(calculations!B:B, MATCH(A422, calculations!A:A, 0)),
      ""
   )
)</f>
        <v>19633.43</v>
      </c>
      <c r="C422" s="42">
        <f t="array" aca="1" ref="C422" ca="1">IF(B422&lt;&gt;"", IF(MATCH(A422, calculations!A:A, 0), INDEX(calculations!D:D, MATCH(A422, calculations!A:A, 0)), "No Match"),"")</f>
        <v>280290121527</v>
      </c>
      <c r="D422" s="43">
        <f t="shared" ca="1" si="30"/>
        <v>2.2514299939638931E-2</v>
      </c>
      <c r="E422" s="43">
        <f t="shared" ca="1" si="22"/>
        <v>9.5346955815650008E-5</v>
      </c>
      <c r="F422" s="43">
        <f t="shared" ca="1" si="33"/>
        <v>7.4967175748590673E-2</v>
      </c>
      <c r="G422" s="42">
        <f t="shared" ca="1" si="23"/>
        <v>5503056480691848</v>
      </c>
      <c r="H422" s="41">
        <f t="shared" ca="1" si="34"/>
        <v>21134.257044085753</v>
      </c>
      <c r="I422" s="3"/>
      <c r="J422" s="43">
        <f t="shared" ca="1" si="38"/>
        <v>1</v>
      </c>
      <c r="K422" s="44" t="str">
        <f t="shared" ca="1" si="31"/>
        <v/>
      </c>
      <c r="L422" s="3"/>
      <c r="M422" s="45">
        <f t="shared" ca="1" si="24"/>
        <v>17965.505919806019</v>
      </c>
      <c r="N422" s="47">
        <f t="shared" ca="1" si="25"/>
        <v>24303.008168365486</v>
      </c>
      <c r="O422" s="45">
        <f t="shared" ca="1" si="26"/>
        <v>16381.130357666152</v>
      </c>
      <c r="P422" s="47">
        <f t="shared" ca="1" si="27"/>
        <v>25887.383730505353</v>
      </c>
      <c r="Q422" s="45">
        <f t="shared" ca="1" si="28"/>
        <v>14796.754795526283</v>
      </c>
      <c r="R422" s="47">
        <f t="shared" ca="1" si="29"/>
        <v>27471.759292645223</v>
      </c>
      <c r="S422" s="73">
        <f t="shared" ca="1" si="39"/>
        <v>1</v>
      </c>
      <c r="T422" s="73"/>
      <c r="U422" s="3"/>
      <c r="V422" s="3"/>
      <c r="W422" s="3"/>
      <c r="X422" s="3"/>
    </row>
    <row r="423" spans="1:24" ht="13">
      <c r="A423" s="40">
        <v>44844</v>
      </c>
      <c r="B423" s="41">
        <f t="array" aca="1" ref="B423" ca="1">IF(AND(A423 &gt; TODAY(), A423 &lt;= TODAY() + 7),
   INDEX(calculations!B:B, MATCH(143^143, calculations!B:B)),
   IF(ISNUMBER(MATCH(A423, calculations!A:A, 0)),
      INDEX(calculations!B:B, MATCH(A423, calculations!A:A, 0)),
      ""
   )
)</f>
        <v>19154.400000000001</v>
      </c>
      <c r="C423" s="42">
        <f t="array" aca="1" ref="C423" ca="1">IF(B423&lt;&gt;"", IF(MATCH(A423, calculations!A:A, 0), INDEX(calculations!D:D, MATCH(A423, calculations!A:A, 0)), "No Match"),"")</f>
        <v>196809212801</v>
      </c>
      <c r="D423" s="43">
        <f t="shared" ca="1" si="30"/>
        <v>-2.4398691415610966E-2</v>
      </c>
      <c r="E423" s="43">
        <f t="shared" ca="1" si="22"/>
        <v>1.380004720203808E-3</v>
      </c>
      <c r="F423" s="43">
        <f t="shared" ca="1" si="33"/>
        <v>7.4945702992078714E-2</v>
      </c>
      <c r="G423" s="42">
        <f t="shared" ca="1" si="23"/>
        <v>3769762385675474.5</v>
      </c>
      <c r="H423" s="41">
        <f t="shared" ca="1" si="34"/>
        <v>21055.081347045776</v>
      </c>
      <c r="I423" s="3"/>
      <c r="J423" s="43">
        <f t="shared" ca="1" si="38"/>
        <v>1</v>
      </c>
      <c r="K423" s="44" t="str">
        <f t="shared" ca="1" si="31"/>
        <v/>
      </c>
      <c r="L423" s="3"/>
      <c r="M423" s="45">
        <f t="shared" ca="1" si="24"/>
        <v>17899.105600826279</v>
      </c>
      <c r="N423" s="47">
        <f t="shared" ca="1" si="25"/>
        <v>24211.057093265274</v>
      </c>
      <c r="O423" s="45">
        <f t="shared" ca="1" si="26"/>
        <v>16321.117727716526</v>
      </c>
      <c r="P423" s="47">
        <f t="shared" ca="1" si="27"/>
        <v>25789.044966375026</v>
      </c>
      <c r="Q423" s="45">
        <f t="shared" ca="1" si="28"/>
        <v>14743.129854606779</v>
      </c>
      <c r="R423" s="47">
        <f t="shared" ca="1" si="29"/>
        <v>27367.032839484771</v>
      </c>
      <c r="S423" s="73">
        <f t="shared" ca="1" si="39"/>
        <v>1</v>
      </c>
      <c r="T423" s="73"/>
      <c r="U423" s="3"/>
      <c r="V423" s="3"/>
      <c r="W423" s="3"/>
      <c r="X423" s="3"/>
    </row>
    <row r="424" spans="1:24" ht="13">
      <c r="A424" s="40">
        <v>44851</v>
      </c>
      <c r="B424" s="41">
        <f t="array" aca="1" ref="B424" ca="1">IF(AND(A424 &gt; TODAY(), A424 &lt;= TODAY() + 7),
   INDEX(calculations!B:B, MATCH(143^143, calculations!B:B)),
   IF(ISNUMBER(MATCH(A424, calculations!A:A, 0)),
      INDEX(calculations!B:B, MATCH(A424, calculations!A:A, 0)),
      ""
   )
)</f>
        <v>19557.02</v>
      </c>
      <c r="C424" s="42">
        <f t="array" aca="1" ref="C424" ca="1">IF(B424&lt;&gt;"", IF(MATCH(A424, calculations!A:A, 0), INDEX(calculations!D:D, MATCH(A424, calculations!A:A, 0)), "No Match"),"")</f>
        <v>197940078443</v>
      </c>
      <c r="D424" s="43">
        <f t="shared" ca="1" si="30"/>
        <v>2.1019713486196329E-2</v>
      </c>
      <c r="E424" s="43">
        <f t="shared" ca="1" si="22"/>
        <v>6.8392736717888848E-5</v>
      </c>
      <c r="F424" s="43">
        <f t="shared" ca="1" si="33"/>
        <v>7.509348390166061E-2</v>
      </c>
      <c r="G424" s="42">
        <f t="shared" ca="1" si="23"/>
        <v>3871118072911320</v>
      </c>
      <c r="H424" s="41">
        <f t="shared" ca="1" si="34"/>
        <v>21031.831192320875</v>
      </c>
      <c r="I424" s="3"/>
      <c r="J424" s="43">
        <f t="shared" ca="1" si="38"/>
        <v>1</v>
      </c>
      <c r="K424" s="44" t="str">
        <f t="shared" ca="1" si="31"/>
        <v/>
      </c>
      <c r="L424" s="3"/>
      <c r="M424" s="45">
        <f t="shared" ca="1" si="24"/>
        <v>17873.124238194894</v>
      </c>
      <c r="N424" s="47">
        <f t="shared" ca="1" si="25"/>
        <v>24190.538146446856</v>
      </c>
      <c r="O424" s="45">
        <f t="shared" ca="1" si="26"/>
        <v>16293.770761131902</v>
      </c>
      <c r="P424" s="47">
        <f t="shared" ca="1" si="27"/>
        <v>25769.891623509848</v>
      </c>
      <c r="Q424" s="45">
        <f t="shared" ca="1" si="28"/>
        <v>14714.417284068912</v>
      </c>
      <c r="R424" s="47">
        <f t="shared" ca="1" si="29"/>
        <v>27349.245100572836</v>
      </c>
      <c r="S424" s="73">
        <f t="shared" ca="1" si="39"/>
        <v>1</v>
      </c>
      <c r="T424" s="73"/>
      <c r="U424" s="3"/>
      <c r="V424" s="3"/>
      <c r="W424" s="3"/>
      <c r="X424" s="3"/>
    </row>
    <row r="425" spans="1:24" ht="13">
      <c r="A425" s="40">
        <v>44858</v>
      </c>
      <c r="B425" s="41">
        <f t="array" aca="1" ref="B425" ca="1">IF(AND(A425 &gt; TODAY(), A425 &lt;= TODAY() + 7),
   INDEX(calculations!B:B, MATCH(143^143, calculations!B:B)),
   IF(ISNUMBER(MATCH(A425, calculations!A:A, 0)),
      INDEX(calculations!B:B, MATCH(A425, calculations!A:A, 0)),
      ""
   )
)</f>
        <v>19341.46</v>
      </c>
      <c r="C425" s="42">
        <f t="array" aca="1" ref="C425" ca="1">IF(B425&lt;&gt;"", IF(MATCH(A425, calculations!A:A, 0), INDEX(calculations!D:D, MATCH(A425, calculations!A:A, 0)), "No Match"),"")</f>
        <v>175664450104</v>
      </c>
      <c r="D425" s="43">
        <f t="shared" ca="1" si="30"/>
        <v>-1.1022129138283916E-2</v>
      </c>
      <c r="E425" s="43">
        <f t="shared" ca="1" si="22"/>
        <v>5.6510097111248418E-4</v>
      </c>
      <c r="F425" s="43">
        <f t="shared" ca="1" si="33"/>
        <v>6.7302280168757792E-2</v>
      </c>
      <c r="G425" s="42">
        <f t="shared" ca="1" si="23"/>
        <v>3397606935108511.5</v>
      </c>
      <c r="H425" s="41">
        <f t="shared" ca="1" si="34"/>
        <v>20858.823877905121</v>
      </c>
      <c r="I425" s="3"/>
      <c r="J425" s="43">
        <f t="shared" ca="1" si="38"/>
        <v>1</v>
      </c>
      <c r="K425" s="44" t="str">
        <f t="shared" ca="1" si="31"/>
        <v/>
      </c>
      <c r="L425" s="3"/>
      <c r="M425" s="45">
        <f t="shared" ca="1" si="24"/>
        <v>18051.131060662032</v>
      </c>
      <c r="N425" s="47">
        <f t="shared" ca="1" si="25"/>
        <v>23666.516695148213</v>
      </c>
      <c r="O425" s="45">
        <f t="shared" ca="1" si="26"/>
        <v>16647.284652040486</v>
      </c>
      <c r="P425" s="47">
        <f t="shared" ca="1" si="27"/>
        <v>25070.363103769756</v>
      </c>
      <c r="Q425" s="45">
        <f t="shared" ca="1" si="28"/>
        <v>15243.438243418941</v>
      </c>
      <c r="R425" s="47">
        <f t="shared" ca="1" si="29"/>
        <v>26474.209512391302</v>
      </c>
      <c r="S425" s="73">
        <f t="shared" ca="1" si="39"/>
        <v>1</v>
      </c>
      <c r="T425" s="73"/>
      <c r="U425" s="3"/>
      <c r="V425" s="3"/>
      <c r="W425" s="3"/>
      <c r="X425" s="3"/>
    </row>
    <row r="426" spans="1:24" ht="13">
      <c r="A426" s="40">
        <v>44865</v>
      </c>
      <c r="B426" s="41">
        <f t="array" aca="1" ref="B426" ca="1">IF(AND(A426 &gt; TODAY(), A426 &lt;= TODAY() + 7),
   INDEX(calculations!B:B, MATCH(143^143, calculations!B:B)),
   IF(ISNUMBER(MATCH(A426, calculations!A:A, 0)),
      INDEX(calculations!B:B, MATCH(A426, calculations!A:A, 0)),
      ""
   )
)</f>
        <v>20490.86</v>
      </c>
      <c r="C426" s="42">
        <f t="array" aca="1" ref="C426" ca="1">IF(B426&lt;&gt;"", IF(MATCH(A426, calculations!A:A, 0), INDEX(calculations!D:D, MATCH(A426, calculations!A:A, 0)), "No Match"),"")</f>
        <v>302335723765</v>
      </c>
      <c r="D426" s="43">
        <f t="shared" ca="1" si="30"/>
        <v>5.9426744413296699E-2</v>
      </c>
      <c r="E426" s="43">
        <f t="shared" ca="1" si="22"/>
        <v>2.1787442945820725E-3</v>
      </c>
      <c r="F426" s="43">
        <f t="shared" ca="1" si="33"/>
        <v>6.9072160978656108E-2</v>
      </c>
      <c r="G426" s="42">
        <f t="shared" ca="1" si="23"/>
        <v>6195118988667288</v>
      </c>
      <c r="H426" s="41">
        <f t="shared" ca="1" si="34"/>
        <v>20773.086107971529</v>
      </c>
      <c r="I426" s="3"/>
      <c r="J426" s="43">
        <f t="shared" ca="1" si="38"/>
        <v>1</v>
      </c>
      <c r="K426" s="44" t="str">
        <f t="shared" ca="1" si="31"/>
        <v/>
      </c>
      <c r="L426" s="3"/>
      <c r="M426" s="45">
        <f t="shared" ca="1" si="24"/>
        <v>17903.40221262494</v>
      </c>
      <c r="N426" s="47">
        <f t="shared" ca="1" si="25"/>
        <v>23642.770003318117</v>
      </c>
      <c r="O426" s="45">
        <f t="shared" ca="1" si="26"/>
        <v>16468.560264951644</v>
      </c>
      <c r="P426" s="47">
        <f t="shared" ca="1" si="27"/>
        <v>25077.611950991413</v>
      </c>
      <c r="Q426" s="45">
        <f t="shared" ca="1" si="28"/>
        <v>15033.718317278353</v>
      </c>
      <c r="R426" s="47">
        <f t="shared" ca="1" si="29"/>
        <v>26512.453898664706</v>
      </c>
      <c r="S426" s="73">
        <f t="shared" ca="1" si="39"/>
        <v>1</v>
      </c>
      <c r="T426" s="73"/>
      <c r="U426" s="3"/>
      <c r="V426" s="3"/>
      <c r="W426" s="3"/>
      <c r="X426" s="3"/>
    </row>
    <row r="427" spans="1:24" ht="13">
      <c r="A427" s="40">
        <v>44872</v>
      </c>
      <c r="B427" s="41">
        <f t="array" aca="1" ref="B427" ca="1">IF(AND(A427 &gt; TODAY(), A427 &lt;= TODAY() + 7),
   INDEX(calculations!B:B, MATCH(143^143, calculations!B:B)),
   IF(ISNUMBER(MATCH(A427, calculations!A:A, 0)),
      INDEX(calculations!B:B, MATCH(A427, calculations!A:A, 0)),
      ""
   )
)</f>
        <v>20568.57</v>
      </c>
      <c r="C427" s="42">
        <f t="array" aca="1" ref="C427" ca="1">IF(B427&lt;&gt;"", IF(MATCH(A427, calculations!A:A, 0), INDEX(calculations!D:D, MATCH(A427, calculations!A:A, 0)), "No Match"),"")</f>
        <v>321270158405</v>
      </c>
      <c r="D427" s="43">
        <f t="shared" ca="1" si="30"/>
        <v>3.7924225727958283E-3</v>
      </c>
      <c r="E427" s="43">
        <f t="shared" ca="1" si="22"/>
        <v>8.0233237359409243E-5</v>
      </c>
      <c r="F427" s="43">
        <f t="shared" ca="1" si="33"/>
        <v>6.4571109826470061E-2</v>
      </c>
      <c r="G427" s="42">
        <f t="shared" ca="1" si="23"/>
        <v>6608067742064331</v>
      </c>
      <c r="H427" s="41">
        <f t="shared" ca="1" si="34"/>
        <v>20576.787386249442</v>
      </c>
      <c r="I427" s="3"/>
      <c r="J427" s="43">
        <f t="shared" ca="1" si="38"/>
        <v>1</v>
      </c>
      <c r="K427" s="44" t="str">
        <f t="shared" ca="1" si="31"/>
        <v/>
      </c>
      <c r="L427" s="3"/>
      <c r="M427" s="45">
        <f t="shared" ca="1" si="24"/>
        <v>17919.455389862567</v>
      </c>
      <c r="N427" s="47">
        <f t="shared" ca="1" si="25"/>
        <v>23234.119382636316</v>
      </c>
      <c r="O427" s="45">
        <f t="shared" ca="1" si="26"/>
        <v>16590.789391669132</v>
      </c>
      <c r="P427" s="47">
        <f t="shared" ca="1" si="27"/>
        <v>24562.785380829751</v>
      </c>
      <c r="Q427" s="45">
        <f t="shared" ca="1" si="28"/>
        <v>15262.123393475695</v>
      </c>
      <c r="R427" s="47">
        <f t="shared" ca="1" si="29"/>
        <v>25891.45137902319</v>
      </c>
      <c r="S427" s="73">
        <f t="shared" ca="1" si="39"/>
        <v>1</v>
      </c>
      <c r="T427" s="73"/>
      <c r="U427" s="3"/>
      <c r="V427" s="3"/>
      <c r="W427" s="3"/>
      <c r="X427" s="3"/>
    </row>
    <row r="428" spans="1:24" ht="13">
      <c r="A428" s="40">
        <v>44879</v>
      </c>
      <c r="B428" s="41">
        <f t="array" aca="1" ref="B428" ca="1">IF(AND(A428 &gt; TODAY(), A428 &lt;= TODAY() + 7),
   INDEX(calculations!B:B, MATCH(143^143, calculations!B:B)),
   IF(ISNUMBER(MATCH(A428, calculations!A:A, 0)),
      INDEX(calculations!B:B, MATCH(A428, calculations!A:A, 0)),
      ""
   )
)</f>
        <v>16629.48</v>
      </c>
      <c r="C428" s="42">
        <f t="array" aca="1" ref="C428" ca="1">IF(B428&lt;&gt;"", IF(MATCH(A428, calculations!A:A, 0), INDEX(calculations!D:D, MATCH(A428, calculations!A:A, 0)), "No Match"),"")</f>
        <v>471409252759</v>
      </c>
      <c r="D428" s="43">
        <f t="shared" ca="1" si="30"/>
        <v>-0.19151015359842713</v>
      </c>
      <c r="E428" s="43">
        <f t="shared" ca="1" si="22"/>
        <v>4.1722097334318378E-2</v>
      </c>
      <c r="F428" s="43">
        <f t="shared" ca="1" si="33"/>
        <v>8.0528143693631371E-2</v>
      </c>
      <c r="G428" s="42">
        <f t="shared" ca="1" si="23"/>
        <v>7839290740570735</v>
      </c>
      <c r="H428" s="41">
        <f t="shared" ca="1" si="34"/>
        <v>19902.508882279653</v>
      </c>
      <c r="I428" s="3"/>
      <c r="J428" s="43">
        <f t="shared" ca="1" si="38"/>
        <v>2.5686250660568706</v>
      </c>
      <c r="K428" s="44">
        <f t="shared" ca="1" si="31"/>
        <v>2</v>
      </c>
      <c r="L428" s="3"/>
      <c r="M428" s="45">
        <f t="shared" ca="1" si="24"/>
        <v>16697.084692007673</v>
      </c>
      <c r="N428" s="47">
        <f t="shared" ca="1" si="25"/>
        <v>23107.933072551634</v>
      </c>
      <c r="O428" s="45">
        <f t="shared" ca="1" si="26"/>
        <v>15094.372596871681</v>
      </c>
      <c r="P428" s="47">
        <f t="shared" ca="1" si="27"/>
        <v>24710.645167687624</v>
      </c>
      <c r="Q428" s="45">
        <f t="shared" ca="1" si="28"/>
        <v>13491.660501735691</v>
      </c>
      <c r="R428" s="47">
        <f t="shared" ca="1" si="29"/>
        <v>26313.357262823614</v>
      </c>
      <c r="S428" s="73">
        <f t="shared" ca="1" si="39"/>
        <v>2.5686250660568706</v>
      </c>
      <c r="T428" s="73"/>
      <c r="U428" s="3"/>
      <c r="V428" s="3"/>
      <c r="W428" s="3"/>
      <c r="X428" s="3"/>
    </row>
    <row r="429" spans="1:24" ht="13">
      <c r="A429" s="40">
        <v>44886</v>
      </c>
      <c r="B429" s="41">
        <f t="array" aca="1" ref="B429" ca="1">IF(AND(A429 &gt; TODAY(), A429 &lt;= TODAY() + 7),
   INDEX(calculations!B:B, MATCH(143^143, calculations!B:B)),
   IF(ISNUMBER(MATCH(A429, calculations!A:A, 0)),
      INDEX(calculations!B:B, MATCH(A429, calculations!A:A, 0)),
      ""
   )
)</f>
        <v>15778.02</v>
      </c>
      <c r="C429" s="42">
        <f t="array" aca="1" ref="C429" ca="1">IF(B429&lt;&gt;"", IF(MATCH(A429, calculations!A:A, 0), INDEX(calculations!D:D, MATCH(A429, calculations!A:A, 0)), "No Match"),"")</f>
        <v>212305927001</v>
      </c>
      <c r="D429" s="43">
        <f t="shared" ca="1" si="30"/>
        <v>-5.1201841548863772E-2</v>
      </c>
      <c r="E429" s="43">
        <f t="shared" ca="1" si="22"/>
        <v>4.0898026540567281E-3</v>
      </c>
      <c r="F429" s="43">
        <f t="shared" ca="1" si="33"/>
        <v>8.0247298091573341E-2</v>
      </c>
      <c r="G429" s="42">
        <f t="shared" ca="1" si="23"/>
        <v>3349767162340318</v>
      </c>
      <c r="H429" s="41">
        <f t="shared" ca="1" si="34"/>
        <v>19428.819295499732</v>
      </c>
      <c r="I429" s="3"/>
      <c r="J429" s="43">
        <f t="shared" ca="1" si="38"/>
        <v>2.2877275963556856</v>
      </c>
      <c r="K429" s="44">
        <f t="shared" ca="1" si="31"/>
        <v>2</v>
      </c>
      <c r="L429" s="3"/>
      <c r="M429" s="45">
        <f t="shared" ca="1" si="24"/>
        <v>16310.598788353174</v>
      </c>
      <c r="N429" s="47">
        <f t="shared" ca="1" si="25"/>
        <v>22547.03980264629</v>
      </c>
      <c r="O429" s="45">
        <f t="shared" ca="1" si="26"/>
        <v>14751.488534779895</v>
      </c>
      <c r="P429" s="47">
        <f t="shared" ca="1" si="27"/>
        <v>24106.150056219569</v>
      </c>
      <c r="Q429" s="45">
        <f t="shared" ca="1" si="28"/>
        <v>13192.378281206617</v>
      </c>
      <c r="R429" s="47">
        <f t="shared" ca="1" si="29"/>
        <v>25665.260309792848</v>
      </c>
      <c r="S429" s="73">
        <f t="shared" ca="1" si="39"/>
        <v>2.2877275963556856</v>
      </c>
      <c r="T429" s="73"/>
      <c r="U429" s="3"/>
      <c r="V429" s="3"/>
      <c r="W429" s="3"/>
      <c r="X429" s="3"/>
    </row>
    <row r="430" spans="1:24" ht="13">
      <c r="A430" s="40">
        <v>44893</v>
      </c>
      <c r="B430" s="41">
        <f t="array" aca="1" ref="B430" ca="1">IF(AND(A430 &gt; TODAY(), A430 &lt;= TODAY() + 7),
   INDEX(calculations!B:B, MATCH(143^143, calculations!B:B)),
   IF(ISNUMBER(MATCH(A430, calculations!A:A, 0)),
      INDEX(calculations!B:B, MATCH(A430, calculations!A:A, 0)),
      ""
   )
)</f>
        <v>16212.58</v>
      </c>
      <c r="C430" s="42">
        <f t="array" aca="1" ref="C430" ca="1">IF(B430&lt;&gt;"", IF(MATCH(A430, calculations!A:A, 0), INDEX(calculations!D:D, MATCH(A430, calculations!A:A, 0)), "No Match"),"")</f>
        <v>184366390569</v>
      </c>
      <c r="D430" s="43">
        <f t="shared" ca="1" si="30"/>
        <v>2.7542112381654951E-2</v>
      </c>
      <c r="E430" s="43">
        <f t="shared" ca="1" si="22"/>
        <v>2.1881477302254003E-4</v>
      </c>
      <c r="F430" s="43">
        <f t="shared" ca="1" si="33"/>
        <v>7.7100662704917639E-2</v>
      </c>
      <c r="G430" s="42">
        <f t="shared" ca="1" si="23"/>
        <v>2989054856411158</v>
      </c>
      <c r="H430" s="41">
        <f t="shared" ca="1" si="34"/>
        <v>19151.571774192278</v>
      </c>
      <c r="I430" s="3"/>
      <c r="J430" s="43">
        <f t="shared" ca="1" si="38"/>
        <v>1</v>
      </c>
      <c r="K430" s="44" t="str">
        <f t="shared" ca="1" si="31"/>
        <v/>
      </c>
      <c r="L430" s="3"/>
      <c r="M430" s="45">
        <f t="shared" ca="1" si="24"/>
        <v>16198.374022930237</v>
      </c>
      <c r="N430" s="47">
        <f t="shared" ca="1" si="25"/>
        <v>22104.769525454318</v>
      </c>
      <c r="O430" s="45">
        <f t="shared" ca="1" si="26"/>
        <v>14721.775147299219</v>
      </c>
      <c r="P430" s="47">
        <f t="shared" ca="1" si="27"/>
        <v>23581.368401085336</v>
      </c>
      <c r="Q430" s="45">
        <f t="shared" ca="1" si="28"/>
        <v>13245.176271668199</v>
      </c>
      <c r="R430" s="47">
        <f t="shared" ca="1" si="29"/>
        <v>25057.967276716361</v>
      </c>
      <c r="S430" s="73">
        <f t="shared" ca="1" si="39"/>
        <v>1</v>
      </c>
      <c r="T430" s="73"/>
      <c r="U430" s="3"/>
      <c r="V430" s="3"/>
      <c r="W430" s="3"/>
      <c r="X430" s="3"/>
    </row>
    <row r="431" spans="1:24" ht="13">
      <c r="A431" s="40">
        <v>44900</v>
      </c>
      <c r="B431" s="41">
        <f t="array" aca="1" ref="B431" ca="1">IF(AND(A431 &gt; TODAY(), A431 &lt;= TODAY() + 7),
   INDEX(calculations!B:B, MATCH(143^143, calculations!B:B)),
   IF(ISNUMBER(MATCH(A431, calculations!A:A, 0)),
      INDEX(calculations!B:B, MATCH(A431, calculations!A:A, 0)),
      ""
   )
)</f>
        <v>16961.349999999999</v>
      </c>
      <c r="C431" s="42">
        <f t="array" aca="1" ref="C431" ca="1">IF(B431&lt;&gt;"", IF(MATCH(A431, calculations!A:A, 0), INDEX(calculations!D:D, MATCH(A431, calculations!A:A, 0)), "No Match"),"")</f>
        <v>156325682750</v>
      </c>
      <c r="D431" s="43">
        <f t="shared" ca="1" si="30"/>
        <v>4.6184506105752358E-2</v>
      </c>
      <c r="E431" s="43">
        <f t="shared" ca="1" si="22"/>
        <v>1.1178846973789846E-3</v>
      </c>
      <c r="F431" s="43">
        <f t="shared" ca="1" si="33"/>
        <v>7.8218590854239239E-2</v>
      </c>
      <c r="G431" s="42">
        <f t="shared" ca="1" si="23"/>
        <v>2651494619111712.5</v>
      </c>
      <c r="H431" s="41">
        <f t="shared" ca="1" si="34"/>
        <v>18981.417082813819</v>
      </c>
      <c r="I431" s="3"/>
      <c r="J431" s="43">
        <f t="shared" ca="1" si="38"/>
        <v>1</v>
      </c>
      <c r="K431" s="44" t="str">
        <f t="shared" ca="1" si="31"/>
        <v/>
      </c>
      <c r="L431" s="3"/>
      <c r="M431" s="45">
        <f t="shared" ca="1" si="24"/>
        <v>16012.017689545257</v>
      </c>
      <c r="N431" s="47">
        <f t="shared" ca="1" si="25"/>
        <v>21950.816476082382</v>
      </c>
      <c r="O431" s="45">
        <f t="shared" ca="1" si="26"/>
        <v>14527.317992910974</v>
      </c>
      <c r="P431" s="47">
        <f t="shared" ca="1" si="27"/>
        <v>23435.516172716663</v>
      </c>
      <c r="Q431" s="45">
        <f t="shared" ca="1" si="28"/>
        <v>13042.618296276694</v>
      </c>
      <c r="R431" s="47">
        <f t="shared" ca="1" si="29"/>
        <v>24920.215869350945</v>
      </c>
      <c r="S431" s="73">
        <f t="shared" ca="1" si="39"/>
        <v>1</v>
      </c>
      <c r="T431" s="73"/>
      <c r="U431" s="3"/>
      <c r="V431" s="3"/>
      <c r="W431" s="3"/>
      <c r="X431" s="3"/>
    </row>
    <row r="432" spans="1:24" ht="13">
      <c r="A432" s="40">
        <v>44907</v>
      </c>
      <c r="B432" s="41">
        <f t="array" aca="1" ref="B432" ca="1">IF(AND(A432 &gt; TODAY(), A432 &lt;= TODAY() + 7),
   INDEX(calculations!B:B, MATCH(143^143, calculations!B:B)),
   IF(ISNUMBER(MATCH(A432, calculations!A:A, 0)),
      INDEX(calculations!B:B, MATCH(A432, calculations!A:A, 0)),
      ""
   )
)</f>
        <v>17195.53</v>
      </c>
      <c r="C432" s="42">
        <f t="array" aca="1" ref="C432" ca="1">IF(B432&lt;&gt;"", IF(MATCH(A432, calculations!A:A, 0), INDEX(calculations!D:D, MATCH(A432, calculations!A:A, 0)), "No Match"),"")</f>
        <v>129428712529</v>
      </c>
      <c r="D432" s="43">
        <f t="shared" ca="1" si="30"/>
        <v>1.3806684019845137E-2</v>
      </c>
      <c r="E432" s="43">
        <f t="shared" ca="1" si="22"/>
        <v>1.1171658403588951E-6</v>
      </c>
      <c r="F432" s="43">
        <f t="shared" ca="1" si="33"/>
        <v>7.8348338977767565E-2</v>
      </c>
      <c r="G432" s="42">
        <f t="shared" ca="1" si="23"/>
        <v>2225595309153795.2</v>
      </c>
      <c r="H432" s="41">
        <f t="shared" ca="1" si="34"/>
        <v>18863.451971525923</v>
      </c>
      <c r="I432" s="3"/>
      <c r="J432" s="43">
        <f t="shared" ca="1" si="38"/>
        <v>1</v>
      </c>
      <c r="K432" s="44" t="str">
        <f t="shared" ca="1" si="31"/>
        <v/>
      </c>
      <c r="L432" s="3"/>
      <c r="M432" s="45">
        <f t="shared" ca="1" si="24"/>
        <v>15907.611712814021</v>
      </c>
      <c r="N432" s="47">
        <f t="shared" ca="1" si="25"/>
        <v>21819.292230237825</v>
      </c>
      <c r="O432" s="45">
        <f t="shared" ca="1" si="26"/>
        <v>14429.69158345807</v>
      </c>
      <c r="P432" s="47">
        <f t="shared" ca="1" si="27"/>
        <v>23297.212359593777</v>
      </c>
      <c r="Q432" s="45">
        <f t="shared" ca="1" si="28"/>
        <v>12951.77145410212</v>
      </c>
      <c r="R432" s="47">
        <f t="shared" ca="1" si="29"/>
        <v>24775.132488949726</v>
      </c>
      <c r="S432" s="73">
        <f t="shared" ca="1" si="39"/>
        <v>1</v>
      </c>
      <c r="T432" s="73"/>
      <c r="U432" s="3"/>
      <c r="V432" s="3"/>
      <c r="W432" s="3"/>
      <c r="X432" s="3"/>
    </row>
    <row r="433" spans="1:24" ht="13">
      <c r="A433" s="40">
        <v>44914</v>
      </c>
      <c r="B433" s="41">
        <f t="array" aca="1" ref="B433" ca="1">IF(AND(A433 &gt; TODAY(), A433 &lt;= TODAY() + 7),
   INDEX(calculations!B:B, MATCH(143^143, calculations!B:B)),
   IF(ISNUMBER(MATCH(A433, calculations!A:A, 0)),
      INDEX(calculations!B:B, MATCH(A433, calculations!A:A, 0)),
      ""
   )
)</f>
        <v>16424.13</v>
      </c>
      <c r="C433" s="42">
        <f t="array" aca="1" ref="C433" ca="1">IF(B433&lt;&gt;"", IF(MATCH(A433, calculations!A:A, 0), INDEX(calculations!D:D, MATCH(A433, calculations!A:A, 0)), "No Match"),"")</f>
        <v>142170798266</v>
      </c>
      <c r="D433" s="43">
        <f t="shared" ca="1" si="30"/>
        <v>-4.4860495721853175E-2</v>
      </c>
      <c r="E433" s="43">
        <f t="shared" ca="1" si="22"/>
        <v>3.3189373424466232E-3</v>
      </c>
      <c r="F433" s="43">
        <f t="shared" ca="1" si="33"/>
        <v>6.8153975666155386E-2</v>
      </c>
      <c r="G433" s="42">
        <f t="shared" ca="1" si="23"/>
        <v>2335031672924558.5</v>
      </c>
      <c r="H433" s="41">
        <f t="shared" ca="1" si="34"/>
        <v>18481.276611154492</v>
      </c>
      <c r="I433" s="3"/>
      <c r="J433" s="43">
        <f t="shared" ca="1" si="38"/>
        <v>1</v>
      </c>
      <c r="K433" s="44" t="str">
        <f t="shared" ca="1" si="31"/>
        <v/>
      </c>
      <c r="L433" s="3"/>
      <c r="M433" s="45">
        <f t="shared" ca="1" si="24"/>
        <v>15962.131658282271</v>
      </c>
      <c r="N433" s="47">
        <f t="shared" ca="1" si="25"/>
        <v>21000.42156402671</v>
      </c>
      <c r="O433" s="45">
        <f t="shared" ca="1" si="26"/>
        <v>14702.559181846162</v>
      </c>
      <c r="P433" s="47">
        <f t="shared" ca="1" si="27"/>
        <v>22259.994040462821</v>
      </c>
      <c r="Q433" s="45">
        <f t="shared" ca="1" si="28"/>
        <v>13442.986705410052</v>
      </c>
      <c r="R433" s="47">
        <f t="shared" ca="1" si="29"/>
        <v>23519.566516898933</v>
      </c>
      <c r="S433" s="73">
        <f t="shared" ca="1" si="39"/>
        <v>1</v>
      </c>
      <c r="T433" s="73"/>
      <c r="U433" s="3"/>
      <c r="V433" s="3"/>
      <c r="W433" s="3"/>
      <c r="X433" s="3"/>
    </row>
    <row r="434" spans="1:24" ht="13">
      <c r="A434" s="40">
        <v>44921</v>
      </c>
      <c r="B434" s="41">
        <f t="array" aca="1" ref="B434" ca="1">IF(AND(A434 &gt; TODAY(), A434 &lt;= TODAY() + 7),
   INDEX(calculations!B:B, MATCH(143^143, calculations!B:B)),
   IF(ISNUMBER(MATCH(A434, calculations!A:A, 0)),
      INDEX(calculations!B:B, MATCH(A434, calculations!A:A, 0)),
      ""
   )
)</f>
        <v>16879.939999999999</v>
      </c>
      <c r="C434" s="42">
        <f t="array" aca="1" ref="C434" ca="1">IF(B434&lt;&gt;"", IF(MATCH(A434, calculations!A:A, 0), INDEX(calculations!D:D, MATCH(A434, calculations!A:A, 0)), "No Match"),"")</f>
        <v>107997970888</v>
      </c>
      <c r="D434" s="43">
        <f t="shared" ca="1" si="30"/>
        <v>2.7752459338789795E-2</v>
      </c>
      <c r="E434" s="43">
        <f t="shared" ca="1" si="22"/>
        <v>2.2508208690461177E-4</v>
      </c>
      <c r="F434" s="43">
        <f t="shared" ca="1" si="33"/>
        <v>6.1826096127905572E-2</v>
      </c>
      <c r="G434" s="42">
        <f t="shared" ca="1" si="23"/>
        <v>1822999268711186.5</v>
      </c>
      <c r="H434" s="41">
        <f t="shared" ca="1" si="34"/>
        <v>18335.986736266117</v>
      </c>
      <c r="I434" s="3"/>
      <c r="J434" s="43">
        <f t="shared" ca="1" si="38"/>
        <v>1</v>
      </c>
      <c r="K434" s="44" t="str">
        <f t="shared" ca="1" si="31"/>
        <v/>
      </c>
      <c r="L434" s="3"/>
      <c r="M434" s="45">
        <f t="shared" ca="1" si="24"/>
        <v>16068.701779153336</v>
      </c>
      <c r="N434" s="47">
        <f t="shared" ca="1" si="25"/>
        <v>20603.271693378898</v>
      </c>
      <c r="O434" s="45">
        <f t="shared" ca="1" si="26"/>
        <v>14935.059300596946</v>
      </c>
      <c r="P434" s="47">
        <f t="shared" ca="1" si="27"/>
        <v>21736.914171935288</v>
      </c>
      <c r="Q434" s="45">
        <f t="shared" ca="1" si="28"/>
        <v>13801.416822040555</v>
      </c>
      <c r="R434" s="47">
        <f t="shared" ca="1" si="29"/>
        <v>22870.556650491679</v>
      </c>
      <c r="S434" s="73">
        <f t="shared" ca="1" si="39"/>
        <v>1</v>
      </c>
      <c r="T434" s="73"/>
      <c r="U434" s="3"/>
      <c r="V434" s="3"/>
      <c r="W434" s="3"/>
      <c r="X434" s="3"/>
    </row>
    <row r="435" spans="1:24" ht="13">
      <c r="A435" s="40">
        <v>44928</v>
      </c>
      <c r="B435" s="41">
        <f t="array" aca="1" ref="B435" ca="1">IF(AND(A435 &gt; TODAY(), A435 &lt;= TODAY() + 7),
   INDEX(calculations!B:B, MATCH(143^143, calculations!B:B)),
   IF(ISNUMBER(MATCH(A435, calculations!A:A, 0)),
      INDEX(calculations!B:B, MATCH(A435, calculations!A:A, 0)),
      ""
   )
)</f>
        <v>16688.72</v>
      </c>
      <c r="C435" s="42">
        <f t="array" aca="1" ref="C435" ca="1">IF(B435&lt;&gt;"", IF(MATCH(A435, calculations!A:A, 0), INDEX(calculations!D:D, MATCH(A435, calculations!A:A, 0)), "No Match"),"")</f>
        <v>95526200508</v>
      </c>
      <c r="D435" s="43">
        <f t="shared" ca="1" si="30"/>
        <v>-1.1328239318386057E-2</v>
      </c>
      <c r="E435" s="43">
        <f t="shared" ca="1" si="22"/>
        <v>5.7974828665293982E-4</v>
      </c>
      <c r="F435" s="43">
        <f t="shared" ca="1" si="33"/>
        <v>6.1769957337830673E-2</v>
      </c>
      <c r="G435" s="42">
        <f t="shared" ca="1" si="23"/>
        <v>1594210012941869.8</v>
      </c>
      <c r="H435" s="41">
        <f t="shared" ca="1" si="34"/>
        <v>18209.507525315079</v>
      </c>
      <c r="I435" s="3"/>
      <c r="J435" s="43">
        <f t="shared" ca="1" si="38"/>
        <v>1</v>
      </c>
      <c r="K435" s="44" t="str">
        <f t="shared" ca="1" si="31"/>
        <v/>
      </c>
      <c r="L435" s="3"/>
      <c r="M435" s="45">
        <f t="shared" ca="1" si="24"/>
        <v>15959.90651935184</v>
      </c>
      <c r="N435" s="47">
        <f t="shared" ca="1" si="25"/>
        <v>20459.108531278314</v>
      </c>
      <c r="O435" s="45">
        <f t="shared" ca="1" si="26"/>
        <v>14835.106016370222</v>
      </c>
      <c r="P435" s="47">
        <f t="shared" ca="1" si="27"/>
        <v>21583.909034259937</v>
      </c>
      <c r="Q435" s="45">
        <f t="shared" ca="1" si="28"/>
        <v>13710.305513388603</v>
      </c>
      <c r="R435" s="47">
        <f t="shared" ca="1" si="29"/>
        <v>22708.709537241557</v>
      </c>
      <c r="S435" s="73">
        <f t="shared" ca="1" si="39"/>
        <v>1</v>
      </c>
      <c r="T435" s="73"/>
      <c r="U435" s="3"/>
      <c r="V435" s="3"/>
      <c r="W435" s="3"/>
      <c r="X435" s="3"/>
    </row>
    <row r="436" spans="1:24" ht="13">
      <c r="A436" s="40">
        <v>44935</v>
      </c>
      <c r="B436" s="41">
        <f t="array" aca="1" ref="B436" ca="1">IF(AND(A436 &gt; TODAY(), A436 &lt;= TODAY() + 7),
   INDEX(calculations!B:B, MATCH(143^143, calculations!B:B)),
   IF(ISNUMBER(MATCH(A436, calculations!A:A, 0)),
      INDEX(calculations!B:B, MATCH(A436, calculations!A:A, 0)),
      ""
   )
)</f>
        <v>17182.32</v>
      </c>
      <c r="C436" s="42">
        <f t="array" aca="1" ref="C436" ca="1">IF(B436&lt;&gt;"", IF(MATCH(A436, calculations!A:A, 0), INDEX(calculations!D:D, MATCH(A436, calculations!A:A, 0)), "No Match"),"")</f>
        <v>90012614323</v>
      </c>
      <c r="D436" s="43">
        <f t="shared" ca="1" si="30"/>
        <v>2.9576863893695772E-2</v>
      </c>
      <c r="E436" s="43">
        <f t="shared" ca="1" si="22"/>
        <v>2.8315265860281454E-4</v>
      </c>
      <c r="F436" s="43">
        <f t="shared" ca="1" si="33"/>
        <v>6.2066638923150619E-2</v>
      </c>
      <c r="G436" s="42">
        <f t="shared" ca="1" si="23"/>
        <v>1546625543334369.2</v>
      </c>
      <c r="H436" s="41">
        <f t="shared" ca="1" si="34"/>
        <v>18032.909687415588</v>
      </c>
      <c r="I436" s="3"/>
      <c r="J436" s="43">
        <f t="shared" ca="1" si="38"/>
        <v>1</v>
      </c>
      <c r="K436" s="44" t="str">
        <f t="shared" ca="1" si="31"/>
        <v/>
      </c>
      <c r="L436" s="3"/>
      <c r="M436" s="45">
        <f t="shared" ca="1" si="24"/>
        <v>15794.425498810371</v>
      </c>
      <c r="N436" s="47">
        <f t="shared" ca="1" si="25"/>
        <v>20271.3938760208</v>
      </c>
      <c r="O436" s="45">
        <f t="shared" ca="1" si="26"/>
        <v>14675.183404507761</v>
      </c>
      <c r="P436" s="47">
        <f t="shared" ca="1" si="27"/>
        <v>21390.635970323412</v>
      </c>
      <c r="Q436" s="45">
        <f t="shared" ca="1" si="28"/>
        <v>13555.941310205155</v>
      </c>
      <c r="R436" s="47">
        <f t="shared" ca="1" si="29"/>
        <v>22509.87806462602</v>
      </c>
      <c r="S436" s="73">
        <f t="shared" ca="1" si="39"/>
        <v>1</v>
      </c>
      <c r="T436" s="73"/>
      <c r="U436" s="3"/>
      <c r="V436" s="3"/>
      <c r="W436" s="3"/>
      <c r="X436" s="3"/>
    </row>
    <row r="437" spans="1:24" ht="13">
      <c r="A437" s="40">
        <v>44942</v>
      </c>
      <c r="B437" s="41">
        <f t="array" aca="1" ref="B437" ca="1">IF(AND(A437 &gt; TODAY(), A437 &lt;= TODAY() + 7),
   INDEX(calculations!B:B, MATCH(143^143, calculations!B:B)),
   IF(ISNUMBER(MATCH(A437, calculations!A:A, 0)),
      INDEX(calculations!B:B, MATCH(A437, calculations!A:A, 0)),
      ""
   )
)</f>
        <v>21180.41</v>
      </c>
      <c r="C437" s="42">
        <f t="array" aca="1" ref="C437" ca="1">IF(B437&lt;&gt;"", IF(MATCH(A437, calculations!A:A, 0), INDEX(calculations!D:D, MATCH(A437, calculations!A:A, 0)), "No Match"),"")</f>
        <v>175267920183</v>
      </c>
      <c r="D437" s="43">
        <f t="shared" ca="1" si="30"/>
        <v>0.23268627286652793</v>
      </c>
      <c r="E437" s="43">
        <f t="shared" ca="1" si="22"/>
        <v>4.8372085809648649E-2</v>
      </c>
      <c r="F437" s="43">
        <f t="shared" ca="1" si="33"/>
        <v>8.8912461440144433E-2</v>
      </c>
      <c r="G437" s="42">
        <f t="shared" ca="1" si="23"/>
        <v>3712246409323215</v>
      </c>
      <c r="H437" s="41">
        <f t="shared" ca="1" si="34"/>
        <v>18152.726337064742</v>
      </c>
      <c r="I437" s="3"/>
      <c r="J437" s="43">
        <f t="shared" ca="1" si="38"/>
        <v>1</v>
      </c>
      <c r="K437" s="44" t="str">
        <f t="shared" ca="1" si="31"/>
        <v/>
      </c>
      <c r="L437" s="3"/>
      <c r="M437" s="45">
        <f t="shared" ca="1" si="24"/>
        <v>14924.719176109216</v>
      </c>
      <c r="N437" s="47">
        <f t="shared" ca="1" si="25"/>
        <v>21380.733498020269</v>
      </c>
      <c r="O437" s="45">
        <f t="shared" ca="1" si="26"/>
        <v>13310.715595631453</v>
      </c>
      <c r="P437" s="47">
        <f t="shared" ca="1" si="27"/>
        <v>22994.73707849803</v>
      </c>
      <c r="Q437" s="45">
        <f t="shared" ca="1" si="28"/>
        <v>11696.712015153689</v>
      </c>
      <c r="R437" s="47">
        <f t="shared" ca="1" si="29"/>
        <v>24608.740658975792</v>
      </c>
      <c r="S437" s="73">
        <f t="shared" ca="1" si="39"/>
        <v>1</v>
      </c>
      <c r="T437" s="73"/>
      <c r="U437" s="3"/>
      <c r="V437" s="3"/>
      <c r="W437" s="3"/>
      <c r="X437" s="3"/>
    </row>
    <row r="438" spans="1:24" ht="13">
      <c r="A438" s="40">
        <v>44949</v>
      </c>
      <c r="B438" s="41">
        <f t="array" aca="1" ref="B438" ca="1">IF(AND(A438 &gt; TODAY(), A438 &lt;= TODAY() + 7),
   INDEX(calculations!B:B, MATCH(143^143, calculations!B:B)),
   IF(ISNUMBER(MATCH(A438, calculations!A:A, 0)),
      INDEX(calculations!B:B, MATCH(A438, calculations!A:A, 0)),
      ""
   )
)</f>
        <v>22929.02</v>
      </c>
      <c r="C438" s="42">
        <f t="array" aca="1" ref="C438" ca="1">IF(B438&lt;&gt;"", IF(MATCH(A438, calculations!A:A, 0), INDEX(calculations!D:D, MATCH(A438, calculations!A:A, 0)), "No Match"),"")</f>
        <v>188938770069</v>
      </c>
      <c r="D438" s="43">
        <f t="shared" ca="1" si="30"/>
        <v>8.2557891938824637E-2</v>
      </c>
      <c r="E438" s="43">
        <f t="shared" ca="1" si="22"/>
        <v>4.8731804005870891E-3</v>
      </c>
      <c r="F438" s="43">
        <f t="shared" ca="1" si="33"/>
        <v>9.0951781916146349E-2</v>
      </c>
      <c r="G438" s="42">
        <f t="shared" ca="1" si="23"/>
        <v>4332180837687502.5</v>
      </c>
      <c r="H438" s="41">
        <f t="shared" ca="1" si="34"/>
        <v>18379.553938241832</v>
      </c>
      <c r="I438" s="3"/>
      <c r="J438" s="43">
        <f t="shared" ca="1" si="38"/>
        <v>-0.36114418096018047</v>
      </c>
      <c r="K438" s="44">
        <f t="shared" ca="1" si="31"/>
        <v>-2</v>
      </c>
      <c r="L438" s="3"/>
      <c r="M438" s="45">
        <f t="shared" ca="1" si="24"/>
        <v>15036.247575227793</v>
      </c>
      <c r="N438" s="47">
        <f t="shared" ca="1" si="25"/>
        <v>21722.860301255874</v>
      </c>
      <c r="O438" s="45">
        <f t="shared" ca="1" si="26"/>
        <v>13364.594393720772</v>
      </c>
      <c r="P438" s="47">
        <f t="shared" ca="1" si="27"/>
        <v>23394.513482762894</v>
      </c>
      <c r="Q438" s="45">
        <f t="shared" ca="1" si="28"/>
        <v>11692.941212213753</v>
      </c>
      <c r="R438" s="47">
        <f t="shared" ca="1" si="29"/>
        <v>25066.166664269909</v>
      </c>
      <c r="S438" s="73">
        <f t="shared" ca="1" si="39"/>
        <v>-0.36114418096018047</v>
      </c>
      <c r="T438" s="73"/>
      <c r="U438" s="3"/>
      <c r="V438" s="3"/>
      <c r="W438" s="3"/>
      <c r="X438" s="3"/>
    </row>
    <row r="439" spans="1:24" ht="13">
      <c r="A439" s="40">
        <v>44956</v>
      </c>
      <c r="B439" s="41">
        <f t="array" aca="1" ref="B439" ca="1">IF(AND(A439 &gt; TODAY(), A439 &lt;= TODAY() + 7),
   INDEX(calculations!B:B, MATCH(143^143, calculations!B:B)),
   IF(ISNUMBER(MATCH(A439, calculations!A:A, 0)),
      INDEX(calculations!B:B, MATCH(A439, calculations!A:A, 0)),
      ""
   )
)</f>
        <v>22799.43</v>
      </c>
      <c r="C439" s="42">
        <f t="array" aca="1" ref="C439" ca="1">IF(B439&lt;&gt;"", IF(MATCH(A439, calculations!A:A, 0), INDEX(calculations!D:D, MATCH(A439, calculations!A:A, 0)), "No Match"),"")</f>
        <v>177486927537</v>
      </c>
      <c r="D439" s="43">
        <f t="shared" ca="1" si="30"/>
        <v>-5.6517897406866994E-3</v>
      </c>
      <c r="E439" s="43">
        <f t="shared" ca="1" si="22"/>
        <v>3.3861568432686976E-4</v>
      </c>
      <c r="F439" s="43">
        <f t="shared" ca="1" si="33"/>
        <v>9.0843746064143749E-2</v>
      </c>
      <c r="G439" s="42">
        <f t="shared" ca="1" si="23"/>
        <v>4046600780294904</v>
      </c>
      <c r="H439" s="41">
        <f t="shared" ca="1" si="34"/>
        <v>18602.977745636392</v>
      </c>
      <c r="I439" s="3"/>
      <c r="J439" s="43">
        <f t="shared" ca="1" si="38"/>
        <v>-0.20722394071190203</v>
      </c>
      <c r="K439" s="44">
        <f t="shared" ca="1" si="31"/>
        <v>-2</v>
      </c>
      <c r="L439" s="3"/>
      <c r="M439" s="45">
        <f t="shared" ca="1" si="24"/>
        <v>15223.049372913372</v>
      </c>
      <c r="N439" s="47">
        <f t="shared" ca="1" si="25"/>
        <v>21982.906118359413</v>
      </c>
      <c r="O439" s="45">
        <f t="shared" ca="1" si="26"/>
        <v>13533.085186551863</v>
      </c>
      <c r="P439" s="47">
        <f t="shared" ca="1" si="27"/>
        <v>23672.87030472092</v>
      </c>
      <c r="Q439" s="45">
        <f t="shared" ca="1" si="28"/>
        <v>11843.121000190353</v>
      </c>
      <c r="R439" s="47">
        <f t="shared" ca="1" si="29"/>
        <v>25362.834491082431</v>
      </c>
      <c r="S439" s="73">
        <f t="shared" ca="1" si="39"/>
        <v>-0.20722394071190203</v>
      </c>
      <c r="T439" s="73"/>
      <c r="U439" s="3"/>
      <c r="V439" s="3"/>
      <c r="W439" s="3"/>
      <c r="X439" s="3"/>
    </row>
    <row r="440" spans="1:24" ht="13">
      <c r="A440" s="40">
        <v>44963</v>
      </c>
      <c r="B440" s="41">
        <f t="array" aca="1" ref="B440" ca="1">IF(AND(A440 &gt; TODAY(), A440 &lt;= TODAY() + 7),
   INDEX(calculations!B:B, MATCH(143^143, calculations!B:B)),
   IF(ISNUMBER(MATCH(A440, calculations!A:A, 0)),
      INDEX(calculations!B:B, MATCH(A440, calculations!A:A, 0)),
      ""
   )
)</f>
        <v>22745.17</v>
      </c>
      <c r="C440" s="42">
        <f t="array" aca="1" ref="C440" ca="1">IF(B440&lt;&gt;"", IF(MATCH(A440, calculations!A:A, 0), INDEX(calculations!D:D, MATCH(A440, calculations!A:A, 0)), "No Match"),"")</f>
        <v>171080243769</v>
      </c>
      <c r="D440" s="43">
        <f t="shared" ca="1" si="30"/>
        <v>-2.3798840585050607E-3</v>
      </c>
      <c r="E440" s="43">
        <f t="shared" ca="1" si="22"/>
        <v>2.2890502058227742E-4</v>
      </c>
      <c r="F440" s="43">
        <f t="shared" ca="1" si="33"/>
        <v>9.0049793569748543E-2</v>
      </c>
      <c r="G440" s="42">
        <f t="shared" ca="1" si="23"/>
        <v>3891249228167345.5</v>
      </c>
      <c r="H440" s="41">
        <f t="shared" ca="1" si="34"/>
        <v>18655.529074381175</v>
      </c>
      <c r="I440" s="3"/>
      <c r="J440" s="43">
        <f t="shared" ca="1" si="38"/>
        <v>-0.19988617685314361</v>
      </c>
      <c r="K440" s="44">
        <f t="shared" ca="1" si="31"/>
        <v>-2</v>
      </c>
      <c r="L440" s="3"/>
      <c r="M440" s="45">
        <f t="shared" ca="1" si="24"/>
        <v>15295.675990216241</v>
      </c>
      <c r="N440" s="47">
        <f t="shared" ca="1" si="25"/>
        <v>22015.382158546108</v>
      </c>
      <c r="O440" s="45">
        <f t="shared" ca="1" si="26"/>
        <v>13615.749448133774</v>
      </c>
      <c r="P440" s="47">
        <f t="shared" ca="1" si="27"/>
        <v>23695.308700628575</v>
      </c>
      <c r="Q440" s="45">
        <f t="shared" ca="1" si="28"/>
        <v>11935.822906051308</v>
      </c>
      <c r="R440" s="47">
        <f t="shared" ca="1" si="29"/>
        <v>25375.235242711042</v>
      </c>
      <c r="S440" s="73">
        <f t="shared" ca="1" si="39"/>
        <v>-0.19988617685314361</v>
      </c>
      <c r="T440" s="73"/>
      <c r="U440" s="3"/>
      <c r="V440" s="3"/>
      <c r="W440" s="3"/>
      <c r="X440" s="3"/>
    </row>
    <row r="441" spans="1:24" ht="13">
      <c r="A441" s="40">
        <v>44970</v>
      </c>
      <c r="B441" s="41">
        <f t="array" aca="1" ref="B441" ca="1">IF(AND(A441 &gt; TODAY(), A441 &lt;= TODAY() + 7),
   INDEX(calculations!B:B, MATCH(143^143, calculations!B:B)),
   IF(ISNUMBER(MATCH(A441, calculations!A:A, 0)),
      INDEX(calculations!B:B, MATCH(A441, calculations!A:A, 0)),
      ""
   )
)</f>
        <v>21798.720000000001</v>
      </c>
      <c r="C441" s="42">
        <f t="array" aca="1" ref="C441" ca="1">IF(B441&lt;&gt;"", IF(MATCH(A441, calculations!A:A, 0), INDEX(calculations!D:D, MATCH(A441, calculations!A:A, 0)), "No Match"),"")</f>
        <v>170212590188</v>
      </c>
      <c r="D441" s="43">
        <f t="shared" ca="1" si="30"/>
        <v>-4.1611032144406798E-2</v>
      </c>
      <c r="E441" s="43">
        <f t="shared" ca="1" si="22"/>
        <v>2.955091738809383E-3</v>
      </c>
      <c r="F441" s="43">
        <f t="shared" ca="1" si="33"/>
        <v>9.1148448628287915E-2</v>
      </c>
      <c r="G441" s="42">
        <f t="shared" ca="1" si="23"/>
        <v>3710416593982959.5</v>
      </c>
      <c r="H441" s="41">
        <f t="shared" ca="1" si="34"/>
        <v>18623.338446861708</v>
      </c>
      <c r="I441" s="3"/>
      <c r="J441" s="43">
        <f t="shared" ca="1" si="38"/>
        <v>1</v>
      </c>
      <c r="K441" s="44" t="str">
        <f t="shared" ca="1" si="31"/>
        <v/>
      </c>
      <c r="L441" s="3"/>
      <c r="M441" s="45">
        <f t="shared" ca="1" si="24"/>
        <v>15228.36163143972</v>
      </c>
      <c r="N441" s="47">
        <f t="shared" ca="1" si="25"/>
        <v>22018.315262283693</v>
      </c>
      <c r="O441" s="45">
        <f t="shared" ca="1" si="26"/>
        <v>13530.873223728726</v>
      </c>
      <c r="P441" s="47">
        <f t="shared" ca="1" si="27"/>
        <v>23715.80366999469</v>
      </c>
      <c r="Q441" s="45">
        <f t="shared" ca="1" si="28"/>
        <v>11833.384816017733</v>
      </c>
      <c r="R441" s="47">
        <f t="shared" ca="1" si="29"/>
        <v>25413.292077705682</v>
      </c>
      <c r="S441" s="73">
        <f t="shared" ca="1" si="39"/>
        <v>1</v>
      </c>
      <c r="T441" s="73"/>
      <c r="U441" s="3"/>
      <c r="V441" s="3"/>
      <c r="W441" s="3"/>
      <c r="X441" s="3"/>
    </row>
    <row r="442" spans="1:24" ht="13">
      <c r="A442" s="40">
        <v>44977</v>
      </c>
      <c r="B442" s="41">
        <f t="array" aca="1" ref="B442" ca="1">IF(AND(A442 &gt; TODAY(), A442 &lt;= TODAY() + 7),
   INDEX(calculations!B:B, MATCH(143^143, calculations!B:B)),
   IF(ISNUMBER(MATCH(A442, calculations!A:A, 0)),
      INDEX(calculations!B:B, MATCH(A442, calculations!A:A, 0)),
      ""
   )
)</f>
        <v>24797.84</v>
      </c>
      <c r="C442" s="42">
        <f t="array" aca="1" ref="C442" ca="1">IF(B442&lt;&gt;"", IF(MATCH(A442, calculations!A:A, 0), INDEX(calculations!D:D, MATCH(A442, calculations!A:A, 0)), "No Match"),"")</f>
        <v>224139000290</v>
      </c>
      <c r="D442" s="43">
        <f t="shared" ca="1" si="30"/>
        <v>0.13758239015868817</v>
      </c>
      <c r="E442" s="43">
        <f t="shared" ca="1" si="22"/>
        <v>1.5583194700532755E-2</v>
      </c>
      <c r="F442" s="43">
        <f t="shared" ca="1" si="33"/>
        <v>7.7099580130926562E-2</v>
      </c>
      <c r="G442" s="42">
        <f t="shared" ca="1" si="23"/>
        <v>5558163066951374</v>
      </c>
      <c r="H442" s="41">
        <f t="shared" ca="1" si="34"/>
        <v>19667.652454308187</v>
      </c>
      <c r="I442" s="3"/>
      <c r="J442" s="43">
        <f t="shared" ca="1" si="38"/>
        <v>-0.59492336577337601</v>
      </c>
      <c r="K442" s="44">
        <f t="shared" ca="1" si="31"/>
        <v>-3</v>
      </c>
      <c r="L442" s="3"/>
      <c r="M442" s="45">
        <f t="shared" ca="1" si="24"/>
        <v>16634.91696153189</v>
      </c>
      <c r="N442" s="47">
        <f t="shared" ca="1" si="25"/>
        <v>22700.387947084484</v>
      </c>
      <c r="O442" s="45">
        <f t="shared" ca="1" si="26"/>
        <v>15118.549215143739</v>
      </c>
      <c r="P442" s="47">
        <f t="shared" ca="1" si="27"/>
        <v>24216.755693472634</v>
      </c>
      <c r="Q442" s="45">
        <f t="shared" ca="1" si="28"/>
        <v>13602.181468755594</v>
      </c>
      <c r="R442" s="47">
        <f t="shared" ca="1" si="29"/>
        <v>25733.123439860781</v>
      </c>
      <c r="S442" s="73">
        <f t="shared" ca="1" si="39"/>
        <v>-0.59492336577337601</v>
      </c>
      <c r="T442" s="73"/>
      <c r="U442" s="3"/>
      <c r="V442" s="3"/>
      <c r="W442" s="3"/>
      <c r="X442" s="3"/>
    </row>
    <row r="443" spans="1:24" ht="13">
      <c r="A443" s="40">
        <v>44984</v>
      </c>
      <c r="B443" s="41">
        <f t="array" aca="1" ref="B443" ca="1">IF(AND(A443 &gt; TODAY(), A443 &lt;= TODAY() + 7),
   INDEX(calculations!B:B, MATCH(143^143, calculations!B:B)),
   IF(ISNUMBER(MATCH(A443, calculations!A:A, 0)),
      INDEX(calculations!B:B, MATCH(A443, calculations!A:A, 0)),
      ""
   )
)</f>
        <v>23504.19</v>
      </c>
      <c r="C443" s="42">
        <f t="array" aca="1" ref="C443" ca="1">IF(B443&lt;&gt;"", IF(MATCH(A443, calculations!A:A, 0), INDEX(calculations!D:D, MATCH(A443, calculations!A:A, 0)), "No Match"),"")</f>
        <v>175810120684</v>
      </c>
      <c r="D443" s="43">
        <f t="shared" ca="1" si="30"/>
        <v>-5.2167850103073551E-2</v>
      </c>
      <c r="E443" s="43">
        <f t="shared" ca="1" si="22"/>
        <v>4.2142913440941007E-3</v>
      </c>
      <c r="F443" s="43">
        <f t="shared" ca="1" si="33"/>
        <v>7.7179654919988613E-2</v>
      </c>
      <c r="G443" s="42">
        <f t="shared" ca="1" si="23"/>
        <v>4132274480479665.5</v>
      </c>
      <c r="H443" s="41">
        <f t="shared" ca="1" si="34"/>
        <v>20353.105153730805</v>
      </c>
      <c r="I443" s="3"/>
      <c r="J443" s="43">
        <f t="shared" ca="1" si="38"/>
        <v>-0.28659197029252065</v>
      </c>
      <c r="K443" s="44">
        <f t="shared" ca="1" si="31"/>
        <v>-2</v>
      </c>
      <c r="L443" s="3"/>
      <c r="M443" s="45">
        <f t="shared" ca="1" si="24"/>
        <v>17211.413889100433</v>
      </c>
      <c r="N443" s="47">
        <f t="shared" ca="1" si="25"/>
        <v>23494.796418361173</v>
      </c>
      <c r="O443" s="45">
        <f t="shared" ca="1" si="26"/>
        <v>15640.568256785249</v>
      </c>
      <c r="P443" s="47">
        <f t="shared" ca="1" si="27"/>
        <v>25065.642050676357</v>
      </c>
      <c r="Q443" s="45">
        <f t="shared" ca="1" si="28"/>
        <v>14069.722624470063</v>
      </c>
      <c r="R443" s="47">
        <f t="shared" ca="1" si="29"/>
        <v>26636.487682991548</v>
      </c>
      <c r="S443" s="73">
        <f t="shared" ca="1" si="39"/>
        <v>-0.28659197029252065</v>
      </c>
      <c r="T443" s="73"/>
      <c r="U443" s="3"/>
      <c r="V443" s="3"/>
      <c r="W443" s="3"/>
      <c r="X443" s="3"/>
    </row>
    <row r="444" spans="1:24" ht="13">
      <c r="A444" s="40">
        <v>44991</v>
      </c>
      <c r="B444" s="41">
        <f t="array" aca="1" ref="B444" ca="1">IF(AND(A444 &gt; TODAY(), A444 &lt;= TODAY() + 7),
   INDEX(calculations!B:B, MATCH(143^143, calculations!B:B)),
   IF(ISNUMBER(MATCH(A444, calculations!A:A, 0)),
      INDEX(calculations!B:B, MATCH(A444, calculations!A:A, 0)),
      ""
   )
)</f>
        <v>22414.7</v>
      </c>
      <c r="C444" s="42">
        <f t="array" aca="1" ref="C444" ca="1">IF(B444&lt;&gt;"", IF(MATCH(A444, calculations!A:A, 0), INDEX(calculations!D:D, MATCH(A444, calculations!A:A, 0)), "No Match"),"")</f>
        <v>138790785900</v>
      </c>
      <c r="D444" s="43">
        <f t="shared" ca="1" si="30"/>
        <v>-4.6353011952336924E-2</v>
      </c>
      <c r="E444" s="43">
        <f t="shared" ca="1" si="22"/>
        <v>3.4931333211821562E-3</v>
      </c>
      <c r="F444" s="43">
        <f t="shared" ca="1" si="33"/>
        <v>7.994163749257463E-2</v>
      </c>
      <c r="G444" s="42">
        <f t="shared" ca="1" si="23"/>
        <v>3110953828712730</v>
      </c>
      <c r="H444" s="41">
        <f t="shared" ca="1" si="34"/>
        <v>20842.798023005551</v>
      </c>
      <c r="I444" s="3"/>
      <c r="J444" s="43">
        <f t="shared" ca="1" si="38"/>
        <v>1</v>
      </c>
      <c r="K444" s="44" t="str">
        <f t="shared" ca="1" si="31"/>
        <v/>
      </c>
      <c r="L444" s="3"/>
      <c r="M444" s="45">
        <f t="shared" ca="1" si="24"/>
        <v>17510.383215233429</v>
      </c>
      <c r="N444" s="47">
        <f t="shared" ca="1" si="25"/>
        <v>24175.212830777673</v>
      </c>
      <c r="O444" s="45">
        <f t="shared" ca="1" si="26"/>
        <v>15844.175811347368</v>
      </c>
      <c r="P444" s="47">
        <f t="shared" ca="1" si="27"/>
        <v>25841.420234663732</v>
      </c>
      <c r="Q444" s="45">
        <f t="shared" ca="1" si="28"/>
        <v>14177.968407461307</v>
      </c>
      <c r="R444" s="47">
        <f t="shared" ca="1" si="29"/>
        <v>27507.627638549799</v>
      </c>
      <c r="S444" s="73">
        <f t="shared" ca="1" si="39"/>
        <v>1</v>
      </c>
      <c r="T444" s="73"/>
      <c r="U444" s="3"/>
      <c r="V444" s="3"/>
      <c r="W444" s="3"/>
      <c r="X444" s="3"/>
    </row>
    <row r="445" spans="1:24" ht="13">
      <c r="A445" s="40">
        <v>44998</v>
      </c>
      <c r="B445" s="41">
        <f t="array" aca="1" ref="B445" ca="1">IF(AND(A445 &gt; TODAY(), A445 &lt;= TODAY() + 7),
   INDEX(calculations!B:B, MATCH(143^143, calculations!B:B)),
   IF(ISNUMBER(MATCH(A445, calculations!A:A, 0)),
      INDEX(calculations!B:B, MATCH(A445, calculations!A:A, 0)),
      ""
   )
)</f>
        <v>24154.43</v>
      </c>
      <c r="C445" s="42">
        <f t="array" aca="1" ref="C445" ca="1">IF(B445&lt;&gt;"", IF(MATCH(A445, calculations!A:A, 0), INDEX(calculations!D:D, MATCH(A445, calculations!A:A, 0)), "No Match"),"")</f>
        <v>192057466346</v>
      </c>
      <c r="D445" s="43">
        <f t="shared" ca="1" si="30"/>
        <v>7.7615582631041208E-2</v>
      </c>
      <c r="E445" s="43">
        <f t="shared" ca="1" si="22"/>
        <v>4.2075796992097824E-3</v>
      </c>
      <c r="F445" s="43">
        <f t="shared" ca="1" si="33"/>
        <v>8.0982799879744785E-2</v>
      </c>
      <c r="G445" s="42">
        <f t="shared" ca="1" si="23"/>
        <v>4639038626831813</v>
      </c>
      <c r="H445" s="41">
        <f t="shared" ca="1" si="34"/>
        <v>21413.169395033077</v>
      </c>
      <c r="I445" s="3"/>
      <c r="J445" s="43">
        <f t="shared" ca="1" si="38"/>
        <v>1</v>
      </c>
      <c r="K445" s="44" t="str">
        <f t="shared" ca="1" si="31"/>
        <v/>
      </c>
      <c r="L445" s="3"/>
      <c r="M445" s="45">
        <f t="shared" ca="1" si="24"/>
        <v>17944.972571214999</v>
      </c>
      <c r="N445" s="47">
        <f t="shared" ca="1" si="25"/>
        <v>24881.366218851155</v>
      </c>
      <c r="O445" s="45">
        <f t="shared" ca="1" si="26"/>
        <v>16210.87415930596</v>
      </c>
      <c r="P445" s="47">
        <f t="shared" ca="1" si="27"/>
        <v>26615.464630760194</v>
      </c>
      <c r="Q445" s="45">
        <f t="shared" ca="1" si="28"/>
        <v>14476.775747396921</v>
      </c>
      <c r="R445" s="47">
        <f t="shared" ca="1" si="29"/>
        <v>28349.563042669233</v>
      </c>
      <c r="S445" s="73">
        <f t="shared" ca="1" si="39"/>
        <v>1</v>
      </c>
      <c r="T445" s="73"/>
      <c r="U445" s="3"/>
      <c r="V445" s="3"/>
      <c r="W445" s="3"/>
      <c r="X445" s="3"/>
    </row>
    <row r="446" spans="1:24" ht="13">
      <c r="A446" s="40">
        <v>45005</v>
      </c>
      <c r="B446" s="41">
        <f t="array" aca="1" ref="B446" ca="1">IF(AND(A446 &gt; TODAY(), A446 &lt;= TODAY() + 7),
   INDEX(calculations!B:B, MATCH(143^143, calculations!B:B)),
   IF(ISNUMBER(MATCH(A446, calculations!A:A, 0)),
      INDEX(calculations!B:B, MATCH(A446, calculations!A:A, 0)),
      ""
   )
)</f>
        <v>27834.34</v>
      </c>
      <c r="C446" s="42">
        <f t="array" aca="1" ref="C446" ca="1">IF(B446&lt;&gt;"", IF(MATCH(A446, calculations!A:A, 0), INDEX(calculations!D:D, MATCH(A446, calculations!A:A, 0)), "No Match"),"")</f>
        <v>305833103060</v>
      </c>
      <c r="D446" s="43">
        <f t="shared" ca="1" si="30"/>
        <v>0.15234927920054417</v>
      </c>
      <c r="E446" s="43">
        <f t="shared" ca="1" si="22"/>
        <v>1.9488035991392125E-2</v>
      </c>
      <c r="F446" s="43">
        <f t="shared" ca="1" si="33"/>
        <v>8.7285403211639495E-2</v>
      </c>
      <c r="G446" s="42">
        <f t="shared" ca="1" si="23"/>
        <v>8512662573827080</v>
      </c>
      <c r="H446" s="41">
        <f t="shared" ca="1" si="34"/>
        <v>22478.708413290318</v>
      </c>
      <c r="I446" s="3"/>
      <c r="J446" s="43">
        <f t="shared" ca="1" si="38"/>
        <v>-0.49706057677911275</v>
      </c>
      <c r="K446" s="44">
        <f t="shared" ca="1" si="31"/>
        <v>-2</v>
      </c>
      <c r="L446" s="3"/>
      <c r="M446" s="45">
        <f t="shared" ca="1" si="24"/>
        <v>18554.582158228484</v>
      </c>
      <c r="N446" s="47">
        <f t="shared" ca="1" si="25"/>
        <v>26402.834668352152</v>
      </c>
      <c r="O446" s="45">
        <f t="shared" ca="1" si="26"/>
        <v>16592.519030697564</v>
      </c>
      <c r="P446" s="47">
        <f t="shared" ca="1" si="27"/>
        <v>28364.897795883076</v>
      </c>
      <c r="Q446" s="45">
        <f t="shared" ca="1" si="28"/>
        <v>14630.455903166645</v>
      </c>
      <c r="R446" s="47">
        <f t="shared" ca="1" si="29"/>
        <v>30326.96092341399</v>
      </c>
      <c r="S446" s="73">
        <f t="shared" ca="1" si="39"/>
        <v>-0.49706057677911275</v>
      </c>
      <c r="T446" s="73"/>
      <c r="U446" s="3"/>
      <c r="V446" s="3"/>
      <c r="W446" s="3"/>
      <c r="X446" s="3"/>
    </row>
    <row r="447" spans="1:24" ht="13">
      <c r="A447" s="40">
        <v>45012</v>
      </c>
      <c r="B447" s="41">
        <f t="array" aca="1" ref="B447" ca="1">IF(AND(A447 &gt; TODAY(), A447 &lt;= TODAY() + 7),
   INDEX(calculations!B:B, MATCH(143^143, calculations!B:B)),
   IF(ISNUMBER(MATCH(A447, calculations!A:A, 0)),
      INDEX(calculations!B:B, MATCH(A447, calculations!A:A, 0)),
      ""
   )
)</f>
        <v>27155</v>
      </c>
      <c r="C447" s="42">
        <f t="array" aca="1" ref="C447" ca="1">IF(B447&lt;&gt;"", IF(MATCH(A447, calculations!A:A, 0), INDEX(calculations!D:D, MATCH(A447, calculations!A:A, 0)), "No Match"),"")</f>
        <v>191720356212</v>
      </c>
      <c r="D447" s="43">
        <f t="shared" ca="1" si="30"/>
        <v>-2.4406542422058513E-2</v>
      </c>
      <c r="E447" s="43">
        <f t="shared" ca="1" si="22"/>
        <v>1.3805880867299204E-3</v>
      </c>
      <c r="F447" s="43">
        <f t="shared" ca="1" si="33"/>
        <v>8.594786490396937E-2</v>
      </c>
      <c r="G447" s="42">
        <f t="shared" ca="1" si="23"/>
        <v>5206166272936860</v>
      </c>
      <c r="H447" s="41">
        <f t="shared" ca="1" si="34"/>
        <v>23209.442948162723</v>
      </c>
      <c r="I447" s="3"/>
      <c r="J447" s="43">
        <f t="shared" ca="1" si="38"/>
        <v>1</v>
      </c>
      <c r="K447" s="44" t="str">
        <f t="shared" ca="1" si="31"/>
        <v/>
      </c>
      <c r="L447" s="3"/>
      <c r="M447" s="45">
        <f t="shared" ca="1" si="24"/>
        <v>19219.838814152572</v>
      </c>
      <c r="N447" s="47">
        <f t="shared" ca="1" si="25"/>
        <v>27199.04708217287</v>
      </c>
      <c r="O447" s="45">
        <f t="shared" ca="1" si="26"/>
        <v>17225.0367471475</v>
      </c>
      <c r="P447" s="47">
        <f t="shared" ca="1" si="27"/>
        <v>29193.849149177942</v>
      </c>
      <c r="Q447" s="45">
        <f t="shared" ca="1" si="28"/>
        <v>15230.234680142425</v>
      </c>
      <c r="R447" s="47">
        <f t="shared" ca="1" si="29"/>
        <v>31188.651216183021</v>
      </c>
      <c r="S447" s="73">
        <f t="shared" ca="1" si="39"/>
        <v>1</v>
      </c>
      <c r="T447" s="73"/>
      <c r="U447" s="3"/>
      <c r="V447" s="3"/>
      <c r="W447" s="3"/>
      <c r="X447" s="3"/>
    </row>
    <row r="448" spans="1:24" ht="13">
      <c r="A448" s="40">
        <v>45019</v>
      </c>
      <c r="B448" s="41">
        <f t="array" aca="1" ref="B448" ca="1">IF(AND(A448 &gt; TODAY(), A448 &lt;= TODAY() + 7),
   INDEX(calculations!B:B, MATCH(143^143, calculations!B:B)),
   IF(ISNUMBER(MATCH(A448, calculations!A:A, 0)),
      INDEX(calculations!B:B, MATCH(A448, calculations!A:A, 0)),
      ""
   )
)</f>
        <v>27850.98</v>
      </c>
      <c r="C448" s="42">
        <f t="array" aca="1" ref="C448" ca="1">IF(B448&lt;&gt;"", IF(MATCH(A448, calculations!A:A, 0), INDEX(calculations!D:D, MATCH(A448, calculations!A:A, 0)), "No Match"),"")</f>
        <v>121255230918</v>
      </c>
      <c r="D448" s="43">
        <f t="shared" ca="1" si="30"/>
        <v>2.5629902412078791E-2</v>
      </c>
      <c r="E448" s="43">
        <f t="shared" ca="1" si="22"/>
        <v>1.6589901246111816E-4</v>
      </c>
      <c r="F448" s="43">
        <f t="shared" ca="1" si="33"/>
        <v>8.597248730451626E-2</v>
      </c>
      <c r="G448" s="42">
        <f t="shared" ca="1" si="23"/>
        <v>3377077011192599.5</v>
      </c>
      <c r="H448" s="41">
        <f t="shared" ca="1" si="34"/>
        <v>23724.87571507239</v>
      </c>
      <c r="I448" s="3"/>
      <c r="J448" s="43">
        <f t="shared" ca="1" si="38"/>
        <v>-0.24230890729505875</v>
      </c>
      <c r="K448" s="44">
        <f t="shared" ca="1" si="31"/>
        <v>-2</v>
      </c>
      <c r="L448" s="3"/>
      <c r="M448" s="45">
        <f t="shared" ca="1" si="24"/>
        <v>19645.502562641817</v>
      </c>
      <c r="N448" s="47">
        <f t="shared" ca="1" si="25"/>
        <v>27804.248867502964</v>
      </c>
      <c r="O448" s="45">
        <f t="shared" ca="1" si="26"/>
        <v>17605.815986426529</v>
      </c>
      <c r="P448" s="47">
        <f t="shared" ca="1" si="27"/>
        <v>29843.935443718248</v>
      </c>
      <c r="Q448" s="45">
        <f t="shared" ca="1" si="28"/>
        <v>15566.129410211242</v>
      </c>
      <c r="R448" s="47">
        <f t="shared" ca="1" si="29"/>
        <v>31883.622019933537</v>
      </c>
      <c r="S448" s="73">
        <f t="shared" ca="1" si="39"/>
        <v>-0.24230890729505875</v>
      </c>
      <c r="T448" s="73"/>
      <c r="U448" s="3"/>
      <c r="V448" s="3"/>
      <c r="W448" s="3"/>
      <c r="X448" s="3"/>
    </row>
    <row r="449" spans="1:24" ht="13">
      <c r="A449" s="40">
        <v>45026</v>
      </c>
      <c r="B449" s="41">
        <f t="array" aca="1" ref="B449" ca="1">IF(AND(A449 &gt; TODAY(), A449 &lt;= TODAY() + 7),
   INDEX(calculations!B:B, MATCH(143^143, calculations!B:B)),
   IF(ISNUMBER(MATCH(A449, calculations!A:A, 0)),
      INDEX(calculations!B:B, MATCH(A449, calculations!A:A, 0)),
      ""
   )
)</f>
        <v>29687.57</v>
      </c>
      <c r="C449" s="42">
        <f t="array" aca="1" ref="C449" ca="1">IF(B449&lt;&gt;"", IF(MATCH(A449, calculations!A:A, 0), INDEX(calculations!D:D, MATCH(A449, calculations!A:A, 0)), "No Match"),"")</f>
        <v>98141424556</v>
      </c>
      <c r="D449" s="43">
        <f t="shared" ca="1" si="30"/>
        <v>6.5943460517367797E-2</v>
      </c>
      <c r="E449" s="43">
        <f t="shared" ca="1" si="22"/>
        <v>2.8295736729633376E-3</v>
      </c>
      <c r="F449" s="43">
        <f t="shared" ca="1" si="33"/>
        <v>8.492693842711764E-2</v>
      </c>
      <c r="G449" s="42">
        <f t="shared" ca="1" si="23"/>
        <v>2913580411405969</v>
      </c>
      <c r="H449" s="41">
        <f t="shared" ca="1" si="34"/>
        <v>24244.2710771612</v>
      </c>
      <c r="I449" s="3"/>
      <c r="J449" s="43">
        <f t="shared" ca="1" si="38"/>
        <v>-0.32189047462823805</v>
      </c>
      <c r="K449" s="44">
        <f t="shared" ca="1" si="31"/>
        <v>-2</v>
      </c>
      <c r="L449" s="3"/>
      <c r="M449" s="45">
        <f t="shared" ca="1" si="24"/>
        <v>20126.287643200365</v>
      </c>
      <c r="N449" s="47">
        <f t="shared" ca="1" si="25"/>
        <v>28362.254511122035</v>
      </c>
      <c r="O449" s="45">
        <f t="shared" ca="1" si="26"/>
        <v>18067.295926219947</v>
      </c>
      <c r="P449" s="47">
        <f t="shared" ca="1" si="27"/>
        <v>30421.246228102453</v>
      </c>
      <c r="Q449" s="45">
        <f t="shared" ca="1" si="28"/>
        <v>16008.304209239528</v>
      </c>
      <c r="R449" s="47">
        <f t="shared" ca="1" si="29"/>
        <v>32480.23794508287</v>
      </c>
      <c r="S449" s="73">
        <f t="shared" ca="1" si="39"/>
        <v>-0.32189047462823805</v>
      </c>
      <c r="T449" s="73"/>
      <c r="U449" s="3"/>
      <c r="V449" s="3"/>
      <c r="W449" s="3"/>
      <c r="X449" s="3"/>
    </row>
    <row r="450" spans="1:24" ht="13">
      <c r="A450" s="40">
        <v>45033</v>
      </c>
      <c r="B450" s="41">
        <f t="array" aca="1" ref="B450" ca="1">IF(AND(A450 &gt; TODAY(), A450 &lt;= TODAY() + 7),
   INDEX(calculations!B:B, MATCH(143^143, calculations!B:B)),
   IF(ISNUMBER(MATCH(A450, calculations!A:A, 0)),
      INDEX(calculations!B:B, MATCH(A450, calculations!A:A, 0)),
      ""
   )
)</f>
        <v>29469.51</v>
      </c>
      <c r="C450" s="42">
        <f t="array" aca="1" ref="C450" ca="1">IF(B450&lt;&gt;"", IF(MATCH(A450, calculations!A:A, 0), INDEX(calculations!D:D, MATCH(A450, calculations!A:A, 0)), "No Match"),"")</f>
        <v>122998807738</v>
      </c>
      <c r="D450" s="43">
        <f t="shared" ca="1" si="30"/>
        <v>-7.3451616282505204E-3</v>
      </c>
      <c r="E450" s="43">
        <f t="shared" ca="1" si="22"/>
        <v>4.0380440261689556E-4</v>
      </c>
      <c r="F450" s="43">
        <f t="shared" ca="1" si="33"/>
        <v>8.6012345443697333E-2</v>
      </c>
      <c r="G450" s="42">
        <f t="shared" ca="1" si="23"/>
        <v>3624714594623068</v>
      </c>
      <c r="H450" s="41">
        <f t="shared" ca="1" si="34"/>
        <v>24765.25806633526</v>
      </c>
      <c r="I450" s="3"/>
      <c r="J450" s="43">
        <f t="shared" ca="1" si="38"/>
        <v>-0.20577928386658323</v>
      </c>
      <c r="K450" s="44">
        <f t="shared" ca="1" si="31"/>
        <v>-2</v>
      </c>
      <c r="L450" s="3"/>
      <c r="M450" s="45">
        <f t="shared" ca="1" si="24"/>
        <v>20505.022202727378</v>
      </c>
      <c r="N450" s="47">
        <f t="shared" ca="1" si="25"/>
        <v>29025.493929943139</v>
      </c>
      <c r="O450" s="45">
        <f t="shared" ca="1" si="26"/>
        <v>18374.904270923438</v>
      </c>
      <c r="P450" s="47">
        <f t="shared" ca="1" si="27"/>
        <v>31155.611861747082</v>
      </c>
      <c r="Q450" s="45">
        <f t="shared" ca="1" si="28"/>
        <v>16244.786339119497</v>
      </c>
      <c r="R450" s="47">
        <f t="shared" ca="1" si="29"/>
        <v>33285.729793551021</v>
      </c>
      <c r="S450" s="73">
        <f t="shared" ca="1" si="39"/>
        <v>-0.20577928386658323</v>
      </c>
      <c r="T450" s="73"/>
      <c r="U450" s="3"/>
      <c r="V450" s="3"/>
      <c r="W450" s="3"/>
      <c r="X450" s="3"/>
    </row>
    <row r="451" spans="1:24" ht="13">
      <c r="A451" s="40">
        <v>45040</v>
      </c>
      <c r="B451" s="41">
        <f t="array" aca="1" ref="B451" ca="1">IF(AND(A451 &gt; TODAY(), A451 &lt;= TODAY() + 7),
   INDEX(calculations!B:B, MATCH(143^143, calculations!B:B)),
   IF(ISNUMBER(MATCH(A451, calculations!A:A, 0)),
      INDEX(calculations!B:B, MATCH(A451, calculations!A:A, 0)),
      ""
   )
)</f>
        <v>27520.2</v>
      </c>
      <c r="C451" s="42">
        <f t="array" aca="1" ref="C451" ca="1">IF(B451&lt;&gt;"", IF(MATCH(A451, calculations!A:A, 0), INDEX(calculations!D:D, MATCH(A451, calculations!A:A, 0)), "No Match"),"")</f>
        <v>129935327803</v>
      </c>
      <c r="D451" s="43">
        <f t="shared" ca="1" si="30"/>
        <v>-6.6146671593792963E-2</v>
      </c>
      <c r="E451" s="43">
        <f t="shared" ca="1" si="22"/>
        <v>6.2246411364138754E-3</v>
      </c>
      <c r="F451" s="43">
        <f t="shared" ca="1" si="33"/>
        <v>7.0931567485025313E-2</v>
      </c>
      <c r="G451" s="42">
        <f t="shared" ca="1" si="23"/>
        <v>3575846208204120.5</v>
      </c>
      <c r="H451" s="41">
        <f t="shared" ca="1" si="34"/>
        <v>25174.771886499799</v>
      </c>
      <c r="I451" s="3"/>
      <c r="J451" s="43">
        <f t="shared" ca="1" si="38"/>
        <v>1</v>
      </c>
      <c r="K451" s="44" t="str">
        <f t="shared" ca="1" si="31"/>
        <v/>
      </c>
      <c r="L451" s="3"/>
      <c r="M451" s="45">
        <f t="shared" ca="1" si="24"/>
        <v>21603.39982452504</v>
      </c>
      <c r="N451" s="47">
        <f t="shared" ca="1" si="25"/>
        <v>28746.143948474553</v>
      </c>
      <c r="O451" s="45">
        <f t="shared" ca="1" si="26"/>
        <v>19817.713793537663</v>
      </c>
      <c r="P451" s="47">
        <f t="shared" ca="1" si="27"/>
        <v>30531.829979461938</v>
      </c>
      <c r="Q451" s="45">
        <f t="shared" ca="1" si="28"/>
        <v>18032.027762550282</v>
      </c>
      <c r="R451" s="47">
        <f t="shared" ca="1" si="29"/>
        <v>32317.516010449315</v>
      </c>
      <c r="S451" s="73">
        <f t="shared" ca="1" si="39"/>
        <v>1</v>
      </c>
      <c r="T451" s="73"/>
      <c r="U451" s="3"/>
      <c r="V451" s="3"/>
      <c r="W451" s="3"/>
      <c r="X451" s="3"/>
    </row>
    <row r="452" spans="1:24" ht="13">
      <c r="A452" s="40">
        <v>45047</v>
      </c>
      <c r="B452" s="41">
        <f t="array" aca="1" ref="B452" ca="1">IF(AND(A452 &gt; TODAY(), A452 &lt;= TODAY() + 7),
   INDEX(calculations!B:B, MATCH(143^143, calculations!B:B)),
   IF(ISNUMBER(MATCH(A452, calculations!A:A, 0)),
      INDEX(calculations!B:B, MATCH(A452, calculations!A:A, 0)),
      ""
   )
)</f>
        <v>28114.95</v>
      </c>
      <c r="C452" s="42">
        <f t="array" aca="1" ref="C452" ca="1">IF(B452&lt;&gt;"", IF(MATCH(A452, calculations!A:A, 0), INDEX(calculations!D:D, MATCH(A452, calculations!A:A, 0)), "No Match"),"")</f>
        <v>137303647007</v>
      </c>
      <c r="D452" s="43">
        <f t="shared" ca="1" si="30"/>
        <v>2.1611398172978392E-2</v>
      </c>
      <c r="E452" s="43">
        <f t="shared" ca="1" si="22"/>
        <v>7.852928052366214E-5</v>
      </c>
      <c r="F452" s="43">
        <f t="shared" ca="1" si="33"/>
        <v>6.8705889004797502E-2</v>
      </c>
      <c r="G452" s="42">
        <f t="shared" ca="1" si="23"/>
        <v>3860285170419454.5</v>
      </c>
      <c r="H452" s="41">
        <f t="shared" ca="1" si="34"/>
        <v>25526.103803726895</v>
      </c>
      <c r="I452" s="3"/>
      <c r="J452" s="43">
        <f t="shared" ca="1" si="38"/>
        <v>1</v>
      </c>
      <c r="K452" s="44" t="str">
        <f t="shared" ca="1" si="31"/>
        <v/>
      </c>
      <c r="L452" s="3"/>
      <c r="M452" s="45">
        <f t="shared" ca="1" si="24"/>
        <v>22018.516494399297</v>
      </c>
      <c r="N452" s="47">
        <f t="shared" ca="1" si="25"/>
        <v>29033.69111305449</v>
      </c>
      <c r="O452" s="45">
        <f t="shared" ca="1" si="26"/>
        <v>20264.722839735499</v>
      </c>
      <c r="P452" s="47">
        <f t="shared" ca="1" si="27"/>
        <v>30787.484767718292</v>
      </c>
      <c r="Q452" s="45">
        <f t="shared" ca="1" si="28"/>
        <v>18510.929185071698</v>
      </c>
      <c r="R452" s="47">
        <f t="shared" ca="1" si="29"/>
        <v>32541.278422382093</v>
      </c>
      <c r="S452" s="73">
        <f t="shared" ca="1" si="39"/>
        <v>1</v>
      </c>
      <c r="T452" s="73"/>
      <c r="U452" s="3"/>
      <c r="V452" s="3"/>
      <c r="W452" s="3"/>
      <c r="X452" s="3"/>
    </row>
    <row r="453" spans="1:24" ht="13">
      <c r="A453" s="40">
        <v>45054</v>
      </c>
      <c r="B453" s="41">
        <f t="array" aca="1" ref="B453" ca="1">IF(AND(A453 &gt; TODAY(), A453 &lt;= TODAY() + 7),
   INDEX(calculations!B:B, MATCH(143^143, calculations!B:B)),
   IF(ISNUMBER(MATCH(A453, calculations!A:A, 0)),
      INDEX(calculations!B:B, MATCH(A453, calculations!A:A, 0)),
      ""
   )
)</f>
        <v>27727.29</v>
      </c>
      <c r="C453" s="42">
        <f t="array" aca="1" ref="C453" ca="1">IF(B453&lt;&gt;"", IF(MATCH(A453, calculations!A:A, 0), INDEX(calculations!D:D, MATCH(A453, calculations!A:A, 0)), "No Match"),"")</f>
        <v>114911964253</v>
      </c>
      <c r="D453" s="43">
        <f t="shared" ca="1" si="30"/>
        <v>-1.3788393719355712E-2</v>
      </c>
      <c r="E453" s="43">
        <f t="shared" ca="1" si="22"/>
        <v>7.0427165801970483E-4</v>
      </c>
      <c r="F453" s="43">
        <f t="shared" ca="1" si="33"/>
        <v>6.8944075163662036E-2</v>
      </c>
      <c r="G453" s="42">
        <f t="shared" ca="1" si="23"/>
        <v>3186197357312564.5</v>
      </c>
      <c r="H453" s="41">
        <f t="shared" ca="1" si="34"/>
        <v>25847.302816557287</v>
      </c>
      <c r="I453" s="3"/>
      <c r="J453" s="43">
        <f t="shared" ref="J453:J516" ca="1" si="40">IF(B453="","",
 IF(B453&lt;Q453, 1+(4*ABS(D453))+(1+$X$2)+F453,
 IF(B453&lt;O453, 1+(3*ABS(D453))+(1+$X$2)+F453,
 IF(B453&lt;M453, 1+(2*ABS(D453))+(1+$X$2)+F453,
 IF(B453&gt;R453, 1-(4*ABS(D453))-(1+$X$2)-F453,
 IF(B453&gt;P453, 1-(3*ABS(D453))-(1+$X$2)-F453,
 IF(B453&gt;N453, 1-(2*ABS(D453))-(1+$X$2)-F453,
 1)))))))</f>
        <v>1</v>
      </c>
      <c r="K453" s="44" t="str">
        <f t="shared" ca="1" si="31"/>
        <v/>
      </c>
      <c r="L453" s="3"/>
      <c r="M453" s="45">
        <f t="shared" ca="1" si="24"/>
        <v>22283.266040231971</v>
      </c>
      <c r="N453" s="47">
        <f t="shared" ca="1" si="25"/>
        <v>29411.339592882607</v>
      </c>
      <c r="O453" s="45">
        <f t="shared" ca="1" si="26"/>
        <v>20501.247652069309</v>
      </c>
      <c r="P453" s="47">
        <f t="shared" ca="1" si="27"/>
        <v>31193.357981045268</v>
      </c>
      <c r="Q453" s="45">
        <f t="shared" ca="1" si="28"/>
        <v>18719.229263906651</v>
      </c>
      <c r="R453" s="47">
        <f t="shared" ca="1" si="29"/>
        <v>32975.376369207923</v>
      </c>
      <c r="S453" s="73">
        <f t="shared" ca="1" si="39"/>
        <v>1</v>
      </c>
      <c r="T453" s="73"/>
      <c r="U453" s="3"/>
      <c r="V453" s="3"/>
      <c r="W453" s="3"/>
      <c r="X453" s="3"/>
    </row>
    <row r="454" spans="1:24" ht="13">
      <c r="A454" s="40">
        <v>45061</v>
      </c>
      <c r="B454" s="41">
        <f t="array" aca="1" ref="B454" ca="1">IF(AND(A454 &gt; TODAY(), A454 &lt;= TODAY() + 7),
   INDEX(calculations!B:B, MATCH(143^143, calculations!B:B)),
   IF(ISNUMBER(MATCH(A454, calculations!A:A, 0)),
      INDEX(calculations!B:B, MATCH(A454, calculations!A:A, 0)),
      ""
   )
)</f>
        <v>27231.62</v>
      </c>
      <c r="C454" s="42">
        <f t="array" aca="1" ref="C454" ca="1">IF(B454&lt;&gt;"", IF(MATCH(A454, calculations!A:A, 0), INDEX(calculations!D:D, MATCH(A454, calculations!A:A, 0)), "No Match"),"")</f>
        <v>109959496438</v>
      </c>
      <c r="D454" s="43">
        <f t="shared" ca="1" si="30"/>
        <v>-1.7876611814569756E-2</v>
      </c>
      <c r="E454" s="43">
        <f t="shared" ca="1" si="22"/>
        <v>9.3797240611212258E-4</v>
      </c>
      <c r="F454" s="43">
        <f t="shared" ca="1" si="33"/>
        <v>6.9387968007653955E-2</v>
      </c>
      <c r="G454" s="42">
        <f t="shared" ca="1" si="23"/>
        <v>2994375222390969.5</v>
      </c>
      <c r="H454" s="41">
        <f t="shared" ca="1" si="34"/>
        <v>26153.12962288153</v>
      </c>
      <c r="I454" s="3"/>
      <c r="J454" s="43">
        <f t="shared" ca="1" si="40"/>
        <v>1</v>
      </c>
      <c r="K454" s="44" t="str">
        <f t="shared" ca="1" si="31"/>
        <v/>
      </c>
      <c r="L454" s="3"/>
      <c r="M454" s="45">
        <f t="shared" ca="1" si="24"/>
        <v>22523.70457973647</v>
      </c>
      <c r="N454" s="47">
        <f t="shared" ca="1" si="25"/>
        <v>29782.554666026586</v>
      </c>
      <c r="O454" s="45">
        <f t="shared" ca="1" si="26"/>
        <v>20708.992058163938</v>
      </c>
      <c r="P454" s="47">
        <f t="shared" ca="1" si="27"/>
        <v>31597.267187599122</v>
      </c>
      <c r="Q454" s="45">
        <f t="shared" ca="1" si="28"/>
        <v>18894.279536591406</v>
      </c>
      <c r="R454" s="47">
        <f t="shared" ca="1" si="29"/>
        <v>33411.979709171654</v>
      </c>
      <c r="S454" s="73">
        <f t="shared" ca="1" si="39"/>
        <v>1</v>
      </c>
      <c r="T454" s="73"/>
      <c r="U454" s="3"/>
      <c r="V454" s="3"/>
      <c r="W454" s="3"/>
      <c r="X454" s="3"/>
    </row>
    <row r="455" spans="1:24" ht="13">
      <c r="A455" s="40">
        <v>45068</v>
      </c>
      <c r="B455" s="41">
        <f t="array" aca="1" ref="B455" ca="1">IF(AND(A455 &gt; TODAY(), A455 &lt;= TODAY() + 7),
   INDEX(calculations!B:B, MATCH(143^143, calculations!B:B)),
   IF(ISNUMBER(MATCH(A455, calculations!A:A, 0)),
      INDEX(calculations!B:B, MATCH(A455, calculations!A:A, 0)),
      ""
   )
)</f>
        <v>26858.74</v>
      </c>
      <c r="C455" s="42">
        <f t="array" aca="1" ref="C455" ca="1">IF(B455&lt;&gt;"", IF(MATCH(A455, calculations!A:A, 0), INDEX(calculations!D:D, MATCH(A455, calculations!A:A, 0)), "No Match"),"")</f>
        <v>84459727715</v>
      </c>
      <c r="D455" s="43">
        <f t="shared" ca="1" si="30"/>
        <v>-1.3692905526736838E-2</v>
      </c>
      <c r="E455" s="43">
        <f t="shared" ca="1" si="22"/>
        <v>6.9921262234415511E-4</v>
      </c>
      <c r="F455" s="43">
        <f t="shared" ca="1" si="33"/>
        <v>6.8021284797691317E-2</v>
      </c>
      <c r="G455" s="42">
        <f t="shared" ca="1" si="23"/>
        <v>2268481867167979</v>
      </c>
      <c r="H455" s="41">
        <f t="shared" ca="1" si="34"/>
        <v>26526.04671092792</v>
      </c>
      <c r="I455" s="3"/>
      <c r="J455" s="43">
        <f t="shared" ca="1" si="40"/>
        <v>1</v>
      </c>
      <c r="K455" s="44" t="str">
        <f t="shared" ca="1" si="31"/>
        <v/>
      </c>
      <c r="L455" s="3"/>
      <c r="M455" s="45">
        <f t="shared" ca="1" si="24"/>
        <v>22917.375155166137</v>
      </c>
      <c r="N455" s="47">
        <f t="shared" ca="1" si="25"/>
        <v>30134.718266689702</v>
      </c>
      <c r="O455" s="45">
        <f t="shared" ca="1" si="26"/>
        <v>21113.039377285248</v>
      </c>
      <c r="P455" s="47">
        <f t="shared" ca="1" si="27"/>
        <v>31939.054044570592</v>
      </c>
      <c r="Q455" s="45">
        <f t="shared" ca="1" si="28"/>
        <v>19308.703599404354</v>
      </c>
      <c r="R455" s="47">
        <f t="shared" ca="1" si="29"/>
        <v>33743.389822451485</v>
      </c>
      <c r="S455" s="73">
        <f t="shared" ca="1" si="39"/>
        <v>1</v>
      </c>
      <c r="T455" s="73"/>
      <c r="U455" s="3"/>
      <c r="V455" s="3"/>
      <c r="W455" s="3"/>
      <c r="X455" s="3"/>
    </row>
    <row r="456" spans="1:24" ht="13">
      <c r="A456" s="40">
        <v>45075</v>
      </c>
      <c r="B456" s="41">
        <f t="array" aca="1" ref="B456" ca="1">IF(AND(A456 &gt; TODAY(), A456 &lt;= TODAY() + 7),
   INDEX(calculations!B:B, MATCH(143^143, calculations!B:B)),
   IF(ISNUMBER(MATCH(A456, calculations!A:A, 0)),
      INDEX(calculations!B:B, MATCH(A456, calculations!A:A, 0)),
      ""
   )
)</f>
        <v>27765.07</v>
      </c>
      <c r="C456" s="42">
        <f t="array" aca="1" ref="C456" ca="1">IF(B456&lt;&gt;"", IF(MATCH(A456, calculations!A:A, 0), INDEX(calculations!D:D, MATCH(A456, calculations!A:A, 0)), "No Match"),"")</f>
        <v>90053064704</v>
      </c>
      <c r="D456" s="43">
        <f t="shared" ca="1" si="30"/>
        <v>3.3744323076957371E-2</v>
      </c>
      <c r="E456" s="43">
        <f t="shared" ca="1" si="22"/>
        <v>4.4077321735270554E-4</v>
      </c>
      <c r="F456" s="43">
        <f t="shared" ca="1" si="33"/>
        <v>5.8922304759588789E-2</v>
      </c>
      <c r="G456" s="42">
        <f t="shared" ca="1" si="23"/>
        <v>2500329645221089.5</v>
      </c>
      <c r="H456" s="41">
        <f t="shared" ca="1" si="34"/>
        <v>26773.875443464796</v>
      </c>
      <c r="I456" s="3"/>
      <c r="J456" s="43">
        <f t="shared" ca="1" si="40"/>
        <v>1</v>
      </c>
      <c r="K456" s="44" t="str">
        <f t="shared" ca="1" si="31"/>
        <v/>
      </c>
      <c r="L456" s="3"/>
      <c r="M456" s="45">
        <f t="shared" ca="1" si="24"/>
        <v>23618.718546514589</v>
      </c>
      <c r="N456" s="47">
        <f t="shared" ca="1" si="25"/>
        <v>29929.032340415004</v>
      </c>
      <c r="O456" s="45">
        <f t="shared" ca="1" si="26"/>
        <v>22041.140098039486</v>
      </c>
      <c r="P456" s="47">
        <f t="shared" ca="1" si="27"/>
        <v>31506.61078889011</v>
      </c>
      <c r="Q456" s="45">
        <f t="shared" ca="1" si="28"/>
        <v>20463.561649564384</v>
      </c>
      <c r="R456" s="47">
        <f t="shared" ca="1" si="29"/>
        <v>33084.189237365215</v>
      </c>
      <c r="S456" s="73">
        <f t="shared" ca="1" si="39"/>
        <v>1</v>
      </c>
      <c r="T456" s="73"/>
      <c r="U456" s="3"/>
      <c r="V456" s="3"/>
      <c r="W456" s="3"/>
      <c r="X456" s="3"/>
    </row>
    <row r="457" spans="1:24" ht="13">
      <c r="A457" s="40">
        <v>45082</v>
      </c>
      <c r="B457" s="41">
        <f t="array" aca="1" ref="B457" ca="1">IF(AND(A457 &gt; TODAY(), A457 &lt;= TODAY() + 7),
   INDEX(calculations!B:B, MATCH(143^143, calculations!B:B)),
   IF(ISNUMBER(MATCH(A457, calculations!A:A, 0)),
      INDEX(calculations!B:B, MATCH(A457, calculations!A:A, 0)),
      ""
   )
)</f>
        <v>25785.85</v>
      </c>
      <c r="C457" s="42">
        <f t="array" aca="1" ref="C457" ca="1">IF(B457&lt;&gt;"", IF(MATCH(A457, calculations!A:A, 0), INDEX(calculations!D:D, MATCH(A457, calculations!A:A, 0)), "No Match"),"")</f>
        <v>91351657572</v>
      </c>
      <c r="D457" s="43">
        <f t="shared" ca="1" si="30"/>
        <v>-7.1284531247355079E-2</v>
      </c>
      <c r="E457" s="43">
        <f t="shared" ca="1" si="22"/>
        <v>7.0617559471038149E-3</v>
      </c>
      <c r="F457" s="43">
        <f t="shared" ca="1" si="33"/>
        <v>6.0660967182074713E-2</v>
      </c>
      <c r="G457" s="42">
        <f t="shared" ca="1" si="23"/>
        <v>2355580139402956</v>
      </c>
      <c r="H457" s="41">
        <f t="shared" ca="1" si="34"/>
        <v>27025.116137180914</v>
      </c>
      <c r="I457" s="3"/>
      <c r="J457" s="43">
        <f t="shared" ca="1" si="40"/>
        <v>1</v>
      </c>
      <c r="K457" s="44" t="str">
        <f t="shared" ca="1" si="31"/>
        <v/>
      </c>
      <c r="L457" s="3"/>
      <c r="M457" s="45">
        <f t="shared" ca="1" si="24"/>
        <v>23746.376771002335</v>
      </c>
      <c r="N457" s="47">
        <f t="shared" ca="1" si="25"/>
        <v>30303.855503359493</v>
      </c>
      <c r="O457" s="45">
        <f t="shared" ca="1" si="26"/>
        <v>22107.007087913044</v>
      </c>
      <c r="P457" s="47">
        <f t="shared" ca="1" si="27"/>
        <v>31943.225186448784</v>
      </c>
      <c r="Q457" s="45">
        <f t="shared" ca="1" si="28"/>
        <v>20467.637404823759</v>
      </c>
      <c r="R457" s="47">
        <f t="shared" ca="1" si="29"/>
        <v>33582.594869538072</v>
      </c>
      <c r="S457" s="73">
        <f t="shared" ca="1" si="39"/>
        <v>1</v>
      </c>
      <c r="T457" s="73"/>
      <c r="U457" s="3"/>
      <c r="V457" s="3"/>
      <c r="W457" s="3"/>
      <c r="X457" s="3"/>
    </row>
    <row r="458" spans="1:24" ht="13">
      <c r="A458" s="40">
        <v>45089</v>
      </c>
      <c r="B458" s="41">
        <f t="array" aca="1" ref="B458" ca="1">IF(AND(A458 &gt; TODAY(), A458 &lt;= TODAY() + 7),
   INDEX(calculations!B:B, MATCH(143^143, calculations!B:B)),
   IF(ISNUMBER(MATCH(A458, calculations!A:A, 0)),
      INDEX(calculations!B:B, MATCH(A458, calculations!A:A, 0)),
      ""
   )
)</f>
        <v>25906.75</v>
      </c>
      <c r="C458" s="42">
        <f t="array" aca="1" ref="C458" ca="1">IF(B458&lt;&gt;"", IF(MATCH(A458, calculations!A:A, 0), INDEX(calculations!D:D, MATCH(A458, calculations!A:A, 0)), "No Match"),"")</f>
        <v>116498927148</v>
      </c>
      <c r="D458" s="43">
        <f t="shared" ca="1" si="30"/>
        <v>4.6886179823430862E-3</v>
      </c>
      <c r="E458" s="43">
        <f t="shared" ca="1" si="22"/>
        <v>6.4981419879955613E-5</v>
      </c>
      <c r="F458" s="43">
        <f t="shared" ca="1" si="33"/>
        <v>5.8624126643615319E-2</v>
      </c>
      <c r="G458" s="42">
        <f t="shared" ca="1" si="23"/>
        <v>3018108580891449</v>
      </c>
      <c r="H458" s="41">
        <f t="shared" ca="1" si="34"/>
        <v>27292.412290307613</v>
      </c>
      <c r="I458" s="3"/>
      <c r="J458" s="43">
        <f t="shared" ca="1" si="40"/>
        <v>1</v>
      </c>
      <c r="K458" s="44" t="str">
        <f t="shared" ca="1" si="31"/>
        <v/>
      </c>
      <c r="L458" s="3"/>
      <c r="M458" s="45">
        <f t="shared" ca="1" si="24"/>
        <v>24092.424621274098</v>
      </c>
      <c r="N458" s="47">
        <f t="shared" ca="1" si="25"/>
        <v>30492.399959341124</v>
      </c>
      <c r="O458" s="45">
        <f t="shared" ca="1" si="26"/>
        <v>22492.430786757344</v>
      </c>
      <c r="P458" s="47">
        <f t="shared" ca="1" si="27"/>
        <v>32092.393793857882</v>
      </c>
      <c r="Q458" s="45">
        <f t="shared" ca="1" si="28"/>
        <v>20892.436952240587</v>
      </c>
      <c r="R458" s="47">
        <f t="shared" ca="1" si="29"/>
        <v>33692.387628374643</v>
      </c>
      <c r="S458" s="73">
        <f t="shared" ca="1" si="39"/>
        <v>1</v>
      </c>
      <c r="T458" s="73"/>
      <c r="U458" s="3"/>
      <c r="V458" s="3"/>
      <c r="W458" s="3"/>
      <c r="X458" s="3"/>
    </row>
    <row r="459" spans="1:24" ht="13">
      <c r="A459" s="40">
        <v>45096</v>
      </c>
      <c r="B459" s="41">
        <f t="array" aca="1" ref="B459" ca="1">IF(AND(A459 &gt; TODAY(), A459 &lt;= TODAY() + 7),
   INDEX(calculations!B:B, MATCH(143^143, calculations!B:B)),
   IF(ISNUMBER(MATCH(A459, calculations!A:A, 0)),
      INDEX(calculations!B:B, MATCH(A459, calculations!A:A, 0)),
      ""
   )
)</f>
        <v>26778.06</v>
      </c>
      <c r="C459" s="42">
        <f t="array" aca="1" ref="C459" ca="1">IF(B459&lt;&gt;"", IF(MATCH(A459, calculations!A:A, 0), INDEX(calculations!D:D, MATCH(A459, calculations!A:A, 0)), "No Match"),"")</f>
        <v>92905085602</v>
      </c>
      <c r="D459" s="43">
        <f t="shared" ca="1" si="30"/>
        <v>3.3632547502098924E-2</v>
      </c>
      <c r="E459" s="43">
        <f t="shared" ca="1" si="22"/>
        <v>4.360923442268564E-4</v>
      </c>
      <c r="F459" s="43">
        <f t="shared" ca="1" si="33"/>
        <v>5.5950946415406558E-2</v>
      </c>
      <c r="G459" s="42">
        <f t="shared" ca="1" si="23"/>
        <v>2487817956555492</v>
      </c>
      <c r="H459" s="41">
        <f t="shared" ca="1" si="34"/>
        <v>27599.432952630839</v>
      </c>
      <c r="I459" s="3"/>
      <c r="J459" s="43">
        <f t="shared" ca="1" si="40"/>
        <v>1</v>
      </c>
      <c r="K459" s="44" t="str">
        <f t="shared" ca="1" si="31"/>
        <v/>
      </c>
      <c r="L459" s="3"/>
      <c r="M459" s="45">
        <f t="shared" ca="1" si="24"/>
        <v>24511.00416417433</v>
      </c>
      <c r="N459" s="47">
        <f t="shared" ca="1" si="25"/>
        <v>30687.861741087348</v>
      </c>
      <c r="O459" s="45">
        <f t="shared" ca="1" si="26"/>
        <v>22966.789769946074</v>
      </c>
      <c r="P459" s="47">
        <f t="shared" ca="1" si="27"/>
        <v>32232.076135315605</v>
      </c>
      <c r="Q459" s="45">
        <f t="shared" ca="1" si="28"/>
        <v>21422.575375717824</v>
      </c>
      <c r="R459" s="47">
        <f t="shared" ca="1" si="29"/>
        <v>33776.290529543854</v>
      </c>
      <c r="S459" s="73">
        <f t="shared" ca="1" si="39"/>
        <v>1</v>
      </c>
      <c r="T459" s="73"/>
      <c r="U459" s="3"/>
      <c r="V459" s="3"/>
      <c r="W459" s="3"/>
      <c r="X459" s="3"/>
    </row>
    <row r="460" spans="1:24" ht="13">
      <c r="A460" s="40">
        <v>45103</v>
      </c>
      <c r="B460" s="41">
        <f t="array" aca="1" ref="B460" ca="1">IF(AND(A460 &gt; TODAY(), A460 &lt;= TODAY() + 7),
   INDEX(calculations!B:B, MATCH(143^143, calculations!B:B)),
   IF(ISNUMBER(MATCH(A460, calculations!A:A, 0)),
      INDEX(calculations!B:B, MATCH(A460, calculations!A:A, 0)),
      ""
   )
)</f>
        <v>30255.89</v>
      </c>
      <c r="C460" s="42">
        <f t="array" aca="1" ref="C460" ca="1">IF(B460&lt;&gt;"", IF(MATCH(A460, calculations!A:A, 0), INDEX(calculations!D:D, MATCH(A460, calculations!A:A, 0)), "No Match"),"")</f>
        <v>138005623534</v>
      </c>
      <c r="D460" s="43">
        <f t="shared" ca="1" si="30"/>
        <v>0.12987610006102002</v>
      </c>
      <c r="E460" s="43">
        <f t="shared" ca="1" si="22"/>
        <v>1.371858811954127E-2</v>
      </c>
      <c r="F460" s="43">
        <f t="shared" ca="1" si="33"/>
        <v>5.1674355752172205E-2</v>
      </c>
      <c r="G460" s="42">
        <f t="shared" ca="1" si="23"/>
        <v>4175482965026115</v>
      </c>
      <c r="H460" s="41">
        <f t="shared" ca="1" si="34"/>
        <v>27779.221667874506</v>
      </c>
      <c r="I460" s="3"/>
      <c r="J460" s="43">
        <f t="shared" ca="1" si="40"/>
        <v>1</v>
      </c>
      <c r="K460" s="44" t="str">
        <f t="shared" ca="1" si="31"/>
        <v/>
      </c>
      <c r="L460" s="3"/>
      <c r="M460" s="45">
        <f t="shared" ca="1" si="24"/>
        <v>24908.274901906108</v>
      </c>
      <c r="N460" s="47">
        <f t="shared" ca="1" si="25"/>
        <v>30650.1684338429</v>
      </c>
      <c r="O460" s="45">
        <f t="shared" ca="1" si="26"/>
        <v>23472.801518921915</v>
      </c>
      <c r="P460" s="47">
        <f t="shared" ca="1" si="27"/>
        <v>32085.641816827101</v>
      </c>
      <c r="Q460" s="45">
        <f t="shared" ca="1" si="28"/>
        <v>22037.328135937714</v>
      </c>
      <c r="R460" s="47">
        <f t="shared" ca="1" si="29"/>
        <v>33521.115199811298</v>
      </c>
      <c r="S460" s="73">
        <f t="shared" ca="1" si="39"/>
        <v>1</v>
      </c>
      <c r="T460" s="73"/>
      <c r="U460" s="3"/>
      <c r="V460" s="3"/>
      <c r="W460" s="3"/>
      <c r="X460" s="3"/>
    </row>
    <row r="461" spans="1:24" ht="13">
      <c r="A461" s="40">
        <v>45110</v>
      </c>
      <c r="B461" s="41">
        <f t="array" aca="1" ref="B461" ca="1">IF(AND(A461 &gt; TODAY(), A461 &lt;= TODAY() + 7),
   INDEX(calculations!B:B, MATCH(143^143, calculations!B:B)),
   IF(ISNUMBER(MATCH(A461, calculations!A:A, 0)),
      INDEX(calculations!B:B, MATCH(A461, calculations!A:A, 0)),
      ""
   )
)</f>
        <v>31135.360000000001</v>
      </c>
      <c r="C461" s="42">
        <f t="array" aca="1" ref="C461" ca="1">IF(B461&lt;&gt;"", IF(MATCH(A461, calculations!A:A, 0), INDEX(calculations!D:D, MATCH(A461, calculations!A:A, 0)), "No Match"),"")</f>
        <v>106681707513</v>
      </c>
      <c r="D461" s="43">
        <f t="shared" ca="1" si="30"/>
        <v>2.90677286306898E-2</v>
      </c>
      <c r="E461" s="43">
        <f t="shared" ca="1" si="22"/>
        <v>2.6627729607444945E-4</v>
      </c>
      <c r="F461" s="43">
        <f t="shared" ca="1" si="33"/>
        <v>5.1133099404592E-2</v>
      </c>
      <c r="G461" s="42">
        <f t="shared" ca="1" si="23"/>
        <v>3321573368831959.5</v>
      </c>
      <c r="H461" s="41">
        <f t="shared" ca="1" si="34"/>
        <v>28086.53999597851</v>
      </c>
      <c r="I461" s="3"/>
      <c r="J461" s="43">
        <f t="shared" ca="1" si="40"/>
        <v>-0.21434517183235646</v>
      </c>
      <c r="K461" s="44">
        <f t="shared" ca="1" si="31"/>
        <v>-2</v>
      </c>
      <c r="L461" s="3"/>
      <c r="M461" s="45">
        <f t="shared" ca="1" si="24"/>
        <v>25214.236312887675</v>
      </c>
      <c r="N461" s="47">
        <f t="shared" ca="1" si="25"/>
        <v>30958.843679069345</v>
      </c>
      <c r="O461" s="45">
        <f t="shared" ca="1" si="26"/>
        <v>23778.084471342256</v>
      </c>
      <c r="P461" s="47">
        <f t="shared" ca="1" si="27"/>
        <v>32394.995520614764</v>
      </c>
      <c r="Q461" s="45">
        <f t="shared" ca="1" si="28"/>
        <v>22341.93262979684</v>
      </c>
      <c r="R461" s="47">
        <f t="shared" ca="1" si="29"/>
        <v>33831.147362160184</v>
      </c>
      <c r="S461" s="73">
        <f t="shared" ca="1" si="39"/>
        <v>-0.21434517183235646</v>
      </c>
      <c r="T461" s="73"/>
      <c r="U461" s="3"/>
      <c r="V461" s="3"/>
      <c r="W461" s="3"/>
      <c r="X461" s="3"/>
    </row>
    <row r="462" spans="1:24" ht="13">
      <c r="A462" s="40">
        <v>45117</v>
      </c>
      <c r="B462" s="41">
        <f t="array" aca="1" ref="B462" ca="1">IF(AND(A462 &gt; TODAY(), A462 &lt;= TODAY() + 7),
   INDEX(calculations!B:B, MATCH(143^143, calculations!B:B)),
   IF(ISNUMBER(MATCH(A462, calculations!A:A, 0)),
      INDEX(calculations!B:B, MATCH(A462, calculations!A:A, 0)),
      ""
   )
)</f>
        <v>30394.66</v>
      </c>
      <c r="C462" s="42">
        <f t="array" aca="1" ref="C462" ca="1">IF(B462&lt;&gt;"", IF(MATCH(A462, calculations!A:A, 0), INDEX(calculations!D:D, MATCH(A462, calculations!A:A, 0)), "No Match"),"")</f>
        <v>90491031635</v>
      </c>
      <c r="D462" s="43">
        <f t="shared" ca="1" si="30"/>
        <v>-2.3789671935702708E-2</v>
      </c>
      <c r="E462" s="43">
        <f t="shared" ca="1" si="22"/>
        <v>1.3351274084408447E-3</v>
      </c>
      <c r="F462" s="43">
        <f t="shared" ca="1" si="33"/>
        <v>5.1747894754330531E-2</v>
      </c>
      <c r="G462" s="42">
        <f t="shared" ca="1" si="23"/>
        <v>2750444139595069</v>
      </c>
      <c r="H462" s="41">
        <f t="shared" ca="1" si="34"/>
        <v>28242.362948411977</v>
      </c>
      <c r="I462" s="3"/>
      <c r="J462" s="43">
        <f t="shared" ca="1" si="40"/>
        <v>1</v>
      </c>
      <c r="K462" s="44" t="str">
        <f t="shared" ca="1" si="31"/>
        <v/>
      </c>
      <c r="L462" s="3"/>
      <c r="M462" s="45">
        <f t="shared" ca="1" si="24"/>
        <v>25319.397297475924</v>
      </c>
      <c r="N462" s="47">
        <f t="shared" ca="1" si="25"/>
        <v>31165.328599348031</v>
      </c>
      <c r="O462" s="45">
        <f t="shared" ca="1" si="26"/>
        <v>23857.914472007895</v>
      </c>
      <c r="P462" s="47">
        <f t="shared" ca="1" si="27"/>
        <v>32626.81142481606</v>
      </c>
      <c r="Q462" s="45">
        <f t="shared" ca="1" si="28"/>
        <v>22396.43164653987</v>
      </c>
      <c r="R462" s="47">
        <f t="shared" ca="1" si="29"/>
        <v>34088.294250284081</v>
      </c>
      <c r="S462" s="73">
        <f t="shared" ca="1" si="39"/>
        <v>1</v>
      </c>
      <c r="T462" s="73"/>
      <c r="U462" s="3"/>
      <c r="V462" s="3"/>
      <c r="W462" s="3"/>
      <c r="X462" s="3"/>
    </row>
    <row r="463" spans="1:24" ht="13">
      <c r="A463" s="40">
        <v>45124</v>
      </c>
      <c r="B463" s="41">
        <f t="array" aca="1" ref="B463" ca="1">IF(AND(A463 &gt; TODAY(), A463 &lt;= TODAY() + 7),
   INDEX(calculations!B:B, MATCH(143^143, calculations!B:B)),
   IF(ISNUMBER(MATCH(A463, calculations!A:A, 0)),
      INDEX(calculations!B:B, MATCH(A463, calculations!A:A, 0)),
      ""
   )
)</f>
        <v>30143.75</v>
      </c>
      <c r="C463" s="42">
        <f t="array" aca="1" ref="C463" ca="1">IF(B463&lt;&gt;"", IF(MATCH(A463, calculations!A:A, 0), INDEX(calculations!D:D, MATCH(A463, calculations!A:A, 0)), "No Match"),"")</f>
        <v>102917922458</v>
      </c>
      <c r="D463" s="43">
        <f t="shared" ca="1" si="30"/>
        <v>-8.2550684890043136E-3</v>
      </c>
      <c r="E463" s="43">
        <f t="shared" ca="1" si="22"/>
        <v>4.412012805425214E-4</v>
      </c>
      <c r="F463" s="43">
        <f t="shared" ca="1" si="33"/>
        <v>4.9027077404901864E-2</v>
      </c>
      <c r="G463" s="42">
        <f t="shared" ca="1" si="23"/>
        <v>3102332125093337.5</v>
      </c>
      <c r="H463" s="41">
        <f t="shared" ca="1" si="34"/>
        <v>28277.595557294841</v>
      </c>
      <c r="I463" s="3"/>
      <c r="J463" s="43">
        <f t="shared" ca="1" si="40"/>
        <v>1</v>
      </c>
      <c r="K463" s="44" t="str">
        <f t="shared" ca="1" si="31"/>
        <v/>
      </c>
      <c r="L463" s="3"/>
      <c r="M463" s="45">
        <f t="shared" ca="1" si="24"/>
        <v>25504.859824870833</v>
      </c>
      <c r="N463" s="47">
        <f t="shared" ca="1" si="25"/>
        <v>31050.331289718848</v>
      </c>
      <c r="O463" s="45">
        <f t="shared" ca="1" si="26"/>
        <v>24118.491958658829</v>
      </c>
      <c r="P463" s="47">
        <f t="shared" ca="1" si="27"/>
        <v>32436.699155930852</v>
      </c>
      <c r="Q463" s="45">
        <f t="shared" ca="1" si="28"/>
        <v>22732.124092446829</v>
      </c>
      <c r="R463" s="47">
        <f t="shared" ca="1" si="29"/>
        <v>33823.067022142852</v>
      </c>
      <c r="S463" s="73">
        <f t="shared" ca="1" si="39"/>
        <v>1</v>
      </c>
      <c r="T463" s="73"/>
      <c r="U463" s="3"/>
      <c r="V463" s="3"/>
      <c r="W463" s="3"/>
      <c r="X463" s="3"/>
    </row>
    <row r="464" spans="1:24" ht="13">
      <c r="A464" s="40">
        <v>45131</v>
      </c>
      <c r="B464" s="41">
        <f t="array" aca="1" ref="B464" ca="1">IF(AND(A464 &gt; TODAY(), A464 &lt;= TODAY() + 7),
   INDEX(calculations!B:B, MATCH(143^143, calculations!B:B)),
   IF(ISNUMBER(MATCH(A464, calculations!A:A, 0)),
      INDEX(calculations!B:B, MATCH(A464, calculations!A:A, 0)),
      ""
   )
)</f>
        <v>29178.36</v>
      </c>
      <c r="C464" s="42">
        <f t="array" aca="1" ref="C464" ca="1">IF(B464&lt;&gt;"", IF(MATCH(A464, calculations!A:A, 0), INDEX(calculations!D:D, MATCH(A464, calculations!A:A, 0)), "No Match"),"")</f>
        <v>81343417729</v>
      </c>
      <c r="D464" s="43">
        <f t="shared" ca="1" si="30"/>
        <v>-3.2026207754509622E-2</v>
      </c>
      <c r="E464" s="43">
        <f t="shared" ca="1" si="22"/>
        <v>2.0048840070061541E-3</v>
      </c>
      <c r="F464" s="43">
        <f t="shared" ca="1" si="33"/>
        <v>4.9832839813536776E-2</v>
      </c>
      <c r="G464" s="42">
        <f t="shared" ca="1" si="23"/>
        <v>2373467526127144.5</v>
      </c>
      <c r="H464" s="41">
        <f t="shared" ca="1" si="34"/>
        <v>28228.273604377886</v>
      </c>
      <c r="I464" s="3"/>
      <c r="J464" s="43">
        <f t="shared" ca="1" si="40"/>
        <v>1</v>
      </c>
      <c r="K464" s="44" t="str">
        <f t="shared" ca="1" si="31"/>
        <v/>
      </c>
      <c r="L464" s="3"/>
      <c r="M464" s="45">
        <f t="shared" ca="1" si="24"/>
        <v>25414.883530898584</v>
      </c>
      <c r="N464" s="47">
        <f t="shared" ca="1" si="25"/>
        <v>31041.663677857192</v>
      </c>
      <c r="O464" s="45">
        <f t="shared" ca="1" si="26"/>
        <v>24008.188494158931</v>
      </c>
      <c r="P464" s="47">
        <f t="shared" ca="1" si="27"/>
        <v>32448.358714596845</v>
      </c>
      <c r="Q464" s="45">
        <f t="shared" ca="1" si="28"/>
        <v>22601.493457419278</v>
      </c>
      <c r="R464" s="47">
        <f t="shared" ca="1" si="29"/>
        <v>33855.053751336491</v>
      </c>
      <c r="S464" s="73">
        <f t="shared" ca="1" si="39"/>
        <v>1</v>
      </c>
      <c r="T464" s="73"/>
      <c r="U464" s="3"/>
      <c r="V464" s="3"/>
      <c r="W464" s="3"/>
      <c r="X464" s="3"/>
    </row>
    <row r="465" spans="1:24" ht="13">
      <c r="A465" s="40">
        <v>45138</v>
      </c>
      <c r="B465" s="41">
        <f t="array" aca="1" ref="B465" ca="1">IF(AND(A465 &gt; TODAY(), A465 &lt;= TODAY() + 7),
   INDEX(calculations!B:B, MATCH(143^143, calculations!B:B)),
   IF(ISNUMBER(MATCH(A465, calculations!A:A, 0)),
      INDEX(calculations!B:B, MATCH(A465, calculations!A:A, 0)),
      ""
   )
)</f>
        <v>29219.82</v>
      </c>
      <c r="C465" s="42">
        <f t="array" aca="1" ref="C465" ca="1">IF(B465&lt;&gt;"", IF(MATCH(A465, calculations!A:A, 0), INDEX(calculations!D:D, MATCH(A465, calculations!A:A, 0)), "No Match"),"")</f>
        <v>76309629498</v>
      </c>
      <c r="D465" s="43">
        <f t="shared" ca="1" si="30"/>
        <v>1.4209160487429426E-3</v>
      </c>
      <c r="E465" s="43">
        <f t="shared" ca="1" si="22"/>
        <v>1.2834187505380475E-4</v>
      </c>
      <c r="F465" s="43">
        <f t="shared" ca="1" si="33"/>
        <v>4.6016709823345436E-2</v>
      </c>
      <c r="G465" s="42">
        <f t="shared" ca="1" si="23"/>
        <v>2229753638198250.2</v>
      </c>
      <c r="H465" s="41">
        <f t="shared" ca="1" si="34"/>
        <v>28345.262959854899</v>
      </c>
      <c r="I465" s="3"/>
      <c r="J465" s="43">
        <f t="shared" ca="1" si="40"/>
        <v>1</v>
      </c>
      <c r="K465" s="44" t="str">
        <f t="shared" ca="1" si="31"/>
        <v/>
      </c>
      <c r="L465" s="3"/>
      <c r="M465" s="45">
        <f t="shared" ca="1" si="24"/>
        <v>25736.551478874771</v>
      </c>
      <c r="N465" s="47">
        <f t="shared" ca="1" si="25"/>
        <v>30953.974440835031</v>
      </c>
      <c r="O465" s="45">
        <f t="shared" ca="1" si="26"/>
        <v>24432.195738384708</v>
      </c>
      <c r="P465" s="47">
        <f t="shared" ca="1" si="27"/>
        <v>32258.330181325091</v>
      </c>
      <c r="Q465" s="45">
        <f t="shared" ca="1" si="28"/>
        <v>23127.83999789464</v>
      </c>
      <c r="R465" s="47">
        <f t="shared" ca="1" si="29"/>
        <v>33562.685921815159</v>
      </c>
      <c r="S465" s="73">
        <f t="shared" ca="1" si="39"/>
        <v>1</v>
      </c>
      <c r="T465" s="73"/>
      <c r="U465" s="3"/>
      <c r="V465" s="3"/>
      <c r="W465" s="3"/>
      <c r="X465" s="3"/>
    </row>
    <row r="466" spans="1:24" ht="13">
      <c r="A466" s="40">
        <v>45145</v>
      </c>
      <c r="B466" s="41">
        <f t="array" aca="1" ref="B466" ca="1">IF(AND(A466 &gt; TODAY(), A466 &lt;= TODAY() + 7),
   INDEX(calculations!B:B, MATCH(143^143, calculations!B:B)),
   IF(ISNUMBER(MATCH(A466, calculations!A:A, 0)),
      INDEX(calculations!B:B, MATCH(A466, calculations!A:A, 0)),
      ""
   )
)</f>
        <v>29164.36</v>
      </c>
      <c r="C466" s="42">
        <f t="array" aca="1" ref="C466" ca="1">IF(B466&lt;&gt;"", IF(MATCH(A466, calculations!A:A, 0), INDEX(calculations!D:D, MATCH(A466, calculations!A:A, 0)), "No Match"),"")</f>
        <v>87827001052</v>
      </c>
      <c r="D466" s="43">
        <f t="shared" ca="1" si="30"/>
        <v>-1.8980267503358724E-3</v>
      </c>
      <c r="E466" s="43">
        <f t="shared" ca="1" si="22"/>
        <v>2.1455658324081594E-4</v>
      </c>
      <c r="F466" s="43">
        <f t="shared" ca="1" si="33"/>
        <v>4.5801690083256769E-2</v>
      </c>
      <c r="G466" s="42">
        <f t="shared" ca="1" si="23"/>
        <v>2561418276400907</v>
      </c>
      <c r="H466" s="41">
        <f t="shared" ca="1" si="34"/>
        <v>28420.106082810787</v>
      </c>
      <c r="I466" s="3"/>
      <c r="J466" s="43">
        <f t="shared" ca="1" si="40"/>
        <v>1</v>
      </c>
      <c r="K466" s="44" t="str">
        <f t="shared" ca="1" si="31"/>
        <v/>
      </c>
      <c r="L466" s="3"/>
      <c r="M466" s="45">
        <f t="shared" ca="1" si="24"/>
        <v>25816.728300934428</v>
      </c>
      <c r="N466" s="47">
        <f t="shared" ca="1" si="25"/>
        <v>31023.483864687147</v>
      </c>
      <c r="O466" s="45">
        <f t="shared" ca="1" si="26"/>
        <v>24515.039409996247</v>
      </c>
      <c r="P466" s="47">
        <f t="shared" ca="1" si="27"/>
        <v>32325.172755625324</v>
      </c>
      <c r="Q466" s="45">
        <f t="shared" ca="1" si="28"/>
        <v>23213.350519058065</v>
      </c>
      <c r="R466" s="47">
        <f t="shared" ca="1" si="29"/>
        <v>33626.861646563506</v>
      </c>
      <c r="S466" s="73">
        <f t="shared" ca="1" si="39"/>
        <v>1</v>
      </c>
      <c r="T466" s="73"/>
      <c r="U466" s="3"/>
      <c r="V466" s="3"/>
      <c r="W466" s="3"/>
      <c r="X466" s="3"/>
    </row>
    <row r="467" spans="1:24" ht="13">
      <c r="A467" s="40">
        <v>45152</v>
      </c>
      <c r="B467" s="41">
        <f t="array" aca="1" ref="B467" ca="1">IF(AND(A467 &gt; TODAY(), A467 &lt;= TODAY() + 7),
   INDEX(calculations!B:B, MATCH(143^143, calculations!B:B)),
   IF(ISNUMBER(MATCH(A467, calculations!A:A, 0)),
      INDEX(calculations!B:B, MATCH(A467, calculations!A:A, 0)),
      ""
   )
)</f>
        <v>29408.97</v>
      </c>
      <c r="C467" s="42">
        <f t="array" aca="1" ref="C467" ca="1">IF(B467&lt;&gt;"", IF(MATCH(A467, calculations!A:A, 0), INDEX(calculations!D:D, MATCH(A467, calculations!A:A, 0)), "No Match"),"")</f>
        <v>85153014454</v>
      </c>
      <c r="D467" s="43">
        <f t="shared" ca="1" si="30"/>
        <v>8.3872918863983504E-3</v>
      </c>
      <c r="E467" s="43">
        <f t="shared" ca="1" si="22"/>
        <v>1.903080834577932E-5</v>
      </c>
      <c r="F467" s="43">
        <f t="shared" ca="1" si="33"/>
        <v>4.5538326961887192E-2</v>
      </c>
      <c r="G467" s="42">
        <f t="shared" ca="1" si="23"/>
        <v>2504262447487252.5</v>
      </c>
      <c r="H467" s="41">
        <f t="shared" ca="1" si="34"/>
        <v>28541.097785815073</v>
      </c>
      <c r="I467" s="3"/>
      <c r="J467" s="43">
        <f t="shared" ca="1" si="40"/>
        <v>1</v>
      </c>
      <c r="K467" s="44" t="str">
        <f t="shared" ca="1" si="31"/>
        <v/>
      </c>
      <c r="L467" s="3"/>
      <c r="M467" s="45">
        <f t="shared" ca="1" si="24"/>
        <v>25941.670100171788</v>
      </c>
      <c r="N467" s="47">
        <f t="shared" ca="1" si="25"/>
        <v>31140.525471458357</v>
      </c>
      <c r="O467" s="45">
        <f t="shared" ca="1" si="26"/>
        <v>24641.95625735015</v>
      </c>
      <c r="P467" s="47">
        <f t="shared" ca="1" si="27"/>
        <v>32440.239314279996</v>
      </c>
      <c r="Q467" s="45">
        <f t="shared" ca="1" si="28"/>
        <v>23342.242414528508</v>
      </c>
      <c r="R467" s="47">
        <f t="shared" ca="1" si="29"/>
        <v>33739.953157101641</v>
      </c>
      <c r="S467" s="73">
        <f t="shared" ca="1" si="39"/>
        <v>1</v>
      </c>
      <c r="T467" s="73"/>
      <c r="U467" s="3"/>
      <c r="V467" s="3"/>
      <c r="W467" s="3"/>
      <c r="X467" s="3"/>
    </row>
    <row r="468" spans="1:24" ht="13">
      <c r="A468" s="40">
        <v>45159</v>
      </c>
      <c r="B468" s="41">
        <f t="array" aca="1" ref="B468" ca="1">IF(AND(A468 &gt; TODAY(), A468 &lt;= TODAY() + 7),
   INDEX(calculations!B:B, MATCH(143^143, calculations!B:B)),
   IF(ISNUMBER(MATCH(A468, calculations!A:A, 0)),
      INDEX(calculations!B:B, MATCH(A468, calculations!A:A, 0)),
      ""
   )
)</f>
        <v>26128.91</v>
      </c>
      <c r="C468" s="42">
        <f t="array" aca="1" ref="C468" ca="1">IF(B468&lt;&gt;"", IF(MATCH(A468, calculations!A:A, 0), INDEX(calculations!D:D, MATCH(A468, calculations!A:A, 0)), "No Match"),"")</f>
        <v>116418274959</v>
      </c>
      <c r="D468" s="43">
        <f t="shared" ca="1" si="30"/>
        <v>-0.11153263783124677</v>
      </c>
      <c r="E468" s="43">
        <f t="shared" ca="1" si="22"/>
        <v>1.5446105302813101E-2</v>
      </c>
      <c r="F468" s="43">
        <f t="shared" ca="1" si="33"/>
        <v>5.5063096168043876E-2</v>
      </c>
      <c r="G468" s="42">
        <f t="shared" ca="1" si="23"/>
        <v>3041882628758964.5</v>
      </c>
      <c r="H468" s="41">
        <f t="shared" ca="1" si="34"/>
        <v>28440.515894415901</v>
      </c>
      <c r="I468" s="3"/>
      <c r="J468" s="43">
        <f t="shared" ca="1" si="40"/>
        <v>1</v>
      </c>
      <c r="K468" s="44" t="str">
        <f t="shared" ca="1" si="31"/>
        <v/>
      </c>
      <c r="L468" s="3"/>
      <c r="M468" s="45">
        <f t="shared" ca="1" si="24"/>
        <v>25308.470170889894</v>
      </c>
      <c r="N468" s="47">
        <f t="shared" ca="1" si="25"/>
        <v>31572.561617941905</v>
      </c>
      <c r="O468" s="45">
        <f t="shared" ca="1" si="26"/>
        <v>23742.447309126892</v>
      </c>
      <c r="P468" s="47">
        <f t="shared" ca="1" si="27"/>
        <v>33138.584479704907</v>
      </c>
      <c r="Q468" s="45">
        <f t="shared" ca="1" si="28"/>
        <v>22176.424447363886</v>
      </c>
      <c r="R468" s="47">
        <f t="shared" ca="1" si="29"/>
        <v>34704.607341467912</v>
      </c>
      <c r="S468" s="73">
        <f t="shared" ca="1" si="39"/>
        <v>1</v>
      </c>
      <c r="T468" s="73"/>
      <c r="U468" s="3"/>
      <c r="V468" s="3"/>
      <c r="W468" s="3"/>
      <c r="X468" s="3"/>
    </row>
    <row r="469" spans="1:24" ht="13">
      <c r="A469" s="40">
        <v>45166</v>
      </c>
      <c r="B469" s="41">
        <f t="array" aca="1" ref="B469" ca="1">IF(AND(A469 &gt; TODAY(), A469 &lt;= TODAY() + 7),
   INDEX(calculations!B:B, MATCH(143^143, calculations!B:B)),
   IF(ISNUMBER(MATCH(A469, calculations!A:A, 0)),
      INDEX(calculations!B:B, MATCH(A469, calculations!A:A, 0)),
      ""
   )
)</f>
        <v>26103.279999999999</v>
      </c>
      <c r="C469" s="42">
        <f t="array" aca="1" ref="C469" ca="1">IF(B469&lt;&gt;"", IF(MATCH(A469, calculations!A:A, 0), INDEX(calculations!D:D, MATCH(A469, calculations!A:A, 0)), "No Match"),"")</f>
        <v>83086807452</v>
      </c>
      <c r="D469" s="43">
        <f t="shared" ca="1" si="30"/>
        <v>-9.8090582423840172E-4</v>
      </c>
      <c r="E469" s="43">
        <f t="shared" ca="1" si="22"/>
        <v>1.8853017774441355E-4</v>
      </c>
      <c r="F469" s="43">
        <f t="shared" ca="1" si="33"/>
        <v>5.4952105455045162E-2</v>
      </c>
      <c r="G469" s="42">
        <f t="shared" ca="1" si="23"/>
        <v>2168838199225642.5</v>
      </c>
      <c r="H469" s="41">
        <f t="shared" ca="1" si="34"/>
        <v>28395.927827658728</v>
      </c>
      <c r="I469" s="3"/>
      <c r="J469" s="43">
        <f t="shared" ca="1" si="40"/>
        <v>1</v>
      </c>
      <c r="K469" s="44" t="str">
        <f t="shared" ca="1" si="31"/>
        <v/>
      </c>
      <c r="L469" s="3"/>
      <c r="M469" s="45">
        <f t="shared" ca="1" si="24"/>
        <v>25275.095786700022</v>
      </c>
      <c r="N469" s="47">
        <f t="shared" ca="1" si="25"/>
        <v>31516.759868617435</v>
      </c>
      <c r="O469" s="45">
        <f t="shared" ca="1" si="26"/>
        <v>23714.679766220666</v>
      </c>
      <c r="P469" s="47">
        <f t="shared" ca="1" si="27"/>
        <v>33077.17588909679</v>
      </c>
      <c r="Q469" s="45">
        <f t="shared" ca="1" si="28"/>
        <v>22154.263745741311</v>
      </c>
      <c r="R469" s="47">
        <f t="shared" ca="1" si="29"/>
        <v>34637.591909576142</v>
      </c>
      <c r="S469" s="73">
        <f t="shared" ca="1" si="39"/>
        <v>1</v>
      </c>
      <c r="T469" s="73"/>
      <c r="U469" s="3"/>
      <c r="V469" s="3"/>
      <c r="W469" s="3"/>
      <c r="X469" s="3"/>
    </row>
    <row r="470" spans="1:24" ht="13">
      <c r="A470" s="40">
        <v>45173</v>
      </c>
      <c r="B470" s="41">
        <f t="array" aca="1" ref="B470" ca="1">IF(AND(A470 &gt; TODAY(), A470 &lt;= TODAY() + 7),
   INDEX(calculations!B:B, MATCH(143^143, calculations!B:B)),
   IF(ISNUMBER(MATCH(A470, calculations!A:A, 0)),
      INDEX(calculations!B:B, MATCH(A470, calculations!A:A, 0)),
      ""
   )
)</f>
        <v>25799.53</v>
      </c>
      <c r="C470" s="42">
        <f t="array" aca="1" ref="C470" ca="1">IF(B470&lt;&gt;"", IF(MATCH(A470, calculations!A:A, 0), INDEX(calculations!D:D, MATCH(A470, calculations!A:A, 0)), "No Match"),"")</f>
        <v>126186364258</v>
      </c>
      <c r="D470" s="43">
        <f t="shared" ca="1" si="30"/>
        <v>-1.1636468673668597E-2</v>
      </c>
      <c r="E470" s="43">
        <f t="shared" ca="1" si="22"/>
        <v>5.9468636181301269E-4</v>
      </c>
      <c r="F470" s="43">
        <f t="shared" ca="1" si="33"/>
        <v>5.4099728437452664E-2</v>
      </c>
      <c r="G470" s="42">
        <f t="shared" ca="1" si="23"/>
        <v>3255548890265198.5</v>
      </c>
      <c r="H470" s="41">
        <f t="shared" ca="1" si="34"/>
        <v>28201.81666818411</v>
      </c>
      <c r="I470" s="3"/>
      <c r="J470" s="43">
        <f t="shared" ca="1" si="40"/>
        <v>1</v>
      </c>
      <c r="K470" s="44" t="str">
        <f t="shared" ca="1" si="31"/>
        <v/>
      </c>
      <c r="L470" s="3"/>
      <c r="M470" s="45">
        <f t="shared" ca="1" si="24"/>
        <v>25150.395421800938</v>
      </c>
      <c r="N470" s="47">
        <f t="shared" ca="1" si="25"/>
        <v>31253.237914567286</v>
      </c>
      <c r="O470" s="45">
        <f t="shared" ca="1" si="26"/>
        <v>23624.684798609353</v>
      </c>
      <c r="P470" s="47">
        <f t="shared" ca="1" si="27"/>
        <v>32778.948537758864</v>
      </c>
      <c r="Q470" s="45">
        <f t="shared" ca="1" si="28"/>
        <v>22098.974175417763</v>
      </c>
      <c r="R470" s="47">
        <f t="shared" ca="1" si="29"/>
        <v>34304.659160950454</v>
      </c>
      <c r="S470" s="73">
        <f t="shared" ca="1" si="39"/>
        <v>1</v>
      </c>
      <c r="T470" s="73"/>
      <c r="U470" s="3"/>
      <c r="V470" s="3"/>
      <c r="W470" s="3"/>
      <c r="X470" s="3"/>
    </row>
    <row r="471" spans="1:24" ht="13">
      <c r="A471" s="40">
        <v>45180</v>
      </c>
      <c r="B471" s="41">
        <f t="array" aca="1" ref="B471" ca="1">IF(AND(A471 &gt; TODAY(), A471 &lt;= TODAY() + 7),
   INDEX(calculations!B:B, MATCH(143^143, calculations!B:B)),
   IF(ISNUMBER(MATCH(A471, calculations!A:A, 0)),
      INDEX(calculations!B:B, MATCH(A471, calculations!A:A, 0)),
      ""
   )
)</f>
        <v>25135.040000000001</v>
      </c>
      <c r="C471" s="42">
        <f t="array" aca="1" ref="C471" ca="1">IF(B471&lt;&gt;"", IF(MATCH(A471, calculations!A:A, 0), INDEX(calculations!D:D, MATCH(A471, calculations!A:A, 0)), "No Match"),"")</f>
        <v>69814611152</v>
      </c>
      <c r="D471" s="43">
        <f t="shared" ca="1" si="30"/>
        <v>-2.5755895553135968E-2</v>
      </c>
      <c r="E471" s="43">
        <f t="shared" ca="1" si="22"/>
        <v>1.4826826877416255E-3</v>
      </c>
      <c r="F471" s="43">
        <f t="shared" ca="1" si="33"/>
        <v>5.10168432992327E-2</v>
      </c>
      <c r="G471" s="42">
        <f t="shared" ca="1" si="23"/>
        <v>1754793043889966.2</v>
      </c>
      <c r="H471" s="41">
        <f t="shared" ca="1" si="34"/>
        <v>28206.619048713856</v>
      </c>
      <c r="I471" s="3"/>
      <c r="J471" s="43">
        <f t="shared" ca="1" si="40"/>
        <v>2.2076052495718894</v>
      </c>
      <c r="K471" s="44">
        <f t="shared" ca="1" si="31"/>
        <v>2</v>
      </c>
      <c r="L471" s="3"/>
      <c r="M471" s="45">
        <f t="shared" ca="1" si="24"/>
        <v>25328.59372069508</v>
      </c>
      <c r="N471" s="47">
        <f t="shared" ca="1" si="25"/>
        <v>31084.644376732631</v>
      </c>
      <c r="O471" s="45">
        <f t="shared" ca="1" si="26"/>
        <v>23889.581056685696</v>
      </c>
      <c r="P471" s="47">
        <f t="shared" ca="1" si="27"/>
        <v>32523.657040742015</v>
      </c>
      <c r="Q471" s="45">
        <f t="shared" ca="1" si="28"/>
        <v>22450.568392676309</v>
      </c>
      <c r="R471" s="47">
        <f t="shared" ca="1" si="29"/>
        <v>33962.66970475141</v>
      </c>
      <c r="S471" s="73">
        <f t="shared" ca="1" si="39"/>
        <v>2.2076052495718894</v>
      </c>
      <c r="T471" s="73"/>
      <c r="U471" s="3"/>
      <c r="V471" s="3"/>
      <c r="W471" s="3"/>
      <c r="X471" s="3"/>
    </row>
    <row r="472" spans="1:24" ht="13">
      <c r="A472" s="40">
        <v>45187</v>
      </c>
      <c r="B472" s="41">
        <f t="array" aca="1" ref="B472" ca="1">IF(AND(A472 &gt; TODAY(), A472 &lt;= TODAY() + 7),
   INDEX(calculations!B:B, MATCH(143^143, calculations!B:B)),
   IF(ISNUMBER(MATCH(A472, calculations!A:A, 0)),
      INDEX(calculations!B:B, MATCH(A472, calculations!A:A, 0)),
      ""
   )
)</f>
        <v>26764.63</v>
      </c>
      <c r="C472" s="42">
        <f t="array" aca="1" ref="C472" ca="1">IF(B472&lt;&gt;"", IF(MATCH(A472, calculations!A:A, 0), INDEX(calculations!D:D, MATCH(A472, calculations!A:A, 0)), "No Match"),"")</f>
        <v>85796699860</v>
      </c>
      <c r="D472" s="43">
        <f t="shared" ca="1" si="30"/>
        <v>6.4833395928552334E-2</v>
      </c>
      <c r="E472" s="43">
        <f t="shared" ca="1" si="22"/>
        <v>2.7127089484202827E-3</v>
      </c>
      <c r="F472" s="43">
        <f t="shared" ca="1" si="33"/>
        <v>5.3947241821903746E-2</v>
      </c>
      <c r="G472" s="42">
        <f t="shared" ca="1" si="23"/>
        <v>2296316926973952</v>
      </c>
      <c r="H472" s="41">
        <f t="shared" ca="1" si="34"/>
        <v>28314.006330927714</v>
      </c>
      <c r="I472" s="3"/>
      <c r="J472" s="43">
        <f t="shared" ca="1" si="40"/>
        <v>1</v>
      </c>
      <c r="K472" s="44" t="str">
        <f t="shared" ca="1" si="31"/>
        <v/>
      </c>
      <c r="L472" s="3"/>
      <c r="M472" s="45">
        <f t="shared" ca="1" si="24"/>
        <v>25259.081237964772</v>
      </c>
      <c r="N472" s="47">
        <f t="shared" ca="1" si="25"/>
        <v>31368.931423890659</v>
      </c>
      <c r="O472" s="45">
        <f t="shared" ca="1" si="26"/>
        <v>23731.618691483302</v>
      </c>
      <c r="P472" s="47">
        <f t="shared" ca="1" si="27"/>
        <v>32896.393970372126</v>
      </c>
      <c r="Q472" s="45">
        <f t="shared" ca="1" si="28"/>
        <v>22204.156145001831</v>
      </c>
      <c r="R472" s="47">
        <f t="shared" ca="1" si="29"/>
        <v>34423.856516853601</v>
      </c>
      <c r="S472" s="73">
        <f t="shared" ca="1" si="39"/>
        <v>1</v>
      </c>
      <c r="T472" s="73"/>
      <c r="U472" s="3"/>
      <c r="V472" s="3"/>
      <c r="W472" s="3"/>
      <c r="X472" s="3"/>
    </row>
    <row r="473" spans="1:24" ht="13">
      <c r="A473" s="40">
        <v>45194</v>
      </c>
      <c r="B473" s="41">
        <f t="array" aca="1" ref="B473" ca="1">IF(AND(A473 &gt; TODAY(), A473 &lt;= TODAY() + 7),
   INDEX(calculations!B:B, MATCH(143^143, calculations!B:B)),
   IF(ISNUMBER(MATCH(A473, calculations!A:A, 0)),
      INDEX(calculations!B:B, MATCH(A473, calculations!A:A, 0)),
      ""
   )
)</f>
        <v>26288.81</v>
      </c>
      <c r="C473" s="42">
        <f t="array" aca="1" ref="C473" ca="1">IF(B473&lt;&gt;"", IF(MATCH(A473, calculations!A:A, 0), INDEX(calculations!D:D, MATCH(A473, calculations!A:A, 0)), "No Match"),"")</f>
        <v>82251905213</v>
      </c>
      <c r="D473" s="43">
        <f t="shared" ca="1" si="30"/>
        <v>-1.7777940513281885E-2</v>
      </c>
      <c r="E473" s="43">
        <f t="shared" ca="1" si="22"/>
        <v>9.319382614474777E-4</v>
      </c>
      <c r="F473" s="43">
        <f t="shared" ca="1" si="33"/>
        <v>5.3498500429420288E-2</v>
      </c>
      <c r="G473" s="42">
        <f t="shared" ca="1" si="23"/>
        <v>2162304708282566.8</v>
      </c>
      <c r="H473" s="41">
        <f t="shared" ca="1" si="34"/>
        <v>28296.082951902448</v>
      </c>
      <c r="I473" s="3"/>
      <c r="J473" s="43">
        <f t="shared" ca="1" si="40"/>
        <v>1</v>
      </c>
      <c r="K473" s="44" t="str">
        <f t="shared" ca="1" si="31"/>
        <v/>
      </c>
      <c r="L473" s="3"/>
      <c r="M473" s="45">
        <f t="shared" ca="1" si="24"/>
        <v>25268.486939995917</v>
      </c>
      <c r="N473" s="47">
        <f t="shared" ca="1" si="25"/>
        <v>31323.678963808979</v>
      </c>
      <c r="O473" s="45">
        <f t="shared" ca="1" si="26"/>
        <v>23754.688934042653</v>
      </c>
      <c r="P473" s="47">
        <f t="shared" ca="1" si="27"/>
        <v>32837.476969762247</v>
      </c>
      <c r="Q473" s="45">
        <f t="shared" ca="1" si="28"/>
        <v>22240.890928089389</v>
      </c>
      <c r="R473" s="47">
        <f t="shared" ca="1" si="29"/>
        <v>34351.274975715511</v>
      </c>
      <c r="S473" s="73">
        <f t="shared" ca="1" si="39"/>
        <v>1</v>
      </c>
      <c r="T473" s="73"/>
      <c r="U473" s="3"/>
      <c r="V473" s="3"/>
      <c r="W473" s="3"/>
      <c r="X473" s="3"/>
    </row>
    <row r="474" spans="1:24" ht="13">
      <c r="A474" s="40">
        <v>45201</v>
      </c>
      <c r="B474" s="41">
        <f t="array" aca="1" ref="B474" ca="1">IF(AND(A474 &gt; TODAY(), A474 &lt;= TODAY() + 7),
   INDEX(calculations!B:B, MATCH(143^143, calculations!B:B)),
   IF(ISNUMBER(MATCH(A474, calculations!A:A, 0)),
      INDEX(calculations!B:B, MATCH(A474, calculations!A:A, 0)),
      ""
   )
)</f>
        <v>27565.89</v>
      </c>
      <c r="C474" s="42">
        <f t="array" aca="1" ref="C474" ca="1">IF(B474&lt;&gt;"", IF(MATCH(A474, calculations!A:A, 0), INDEX(calculations!D:D, MATCH(A474, calculations!A:A, 0)), "No Match"),"")</f>
        <v>73012240734</v>
      </c>
      <c r="D474" s="43">
        <f t="shared" ca="1" si="30"/>
        <v>4.8578844002448114E-2</v>
      </c>
      <c r="E474" s="43">
        <f t="shared" ca="1" si="22"/>
        <v>1.283725886143258E-3</v>
      </c>
      <c r="F474" s="43">
        <f t="shared" ca="1" si="33"/>
        <v>4.1348793423908507E-2</v>
      </c>
      <c r="G474" s="42">
        <f t="shared" ca="1" si="23"/>
        <v>2012647396726963.2</v>
      </c>
      <c r="H474" s="41">
        <f t="shared" ca="1" si="34"/>
        <v>28040.595055029888</v>
      </c>
      <c r="I474" s="3"/>
      <c r="J474" s="43">
        <f t="shared" ca="1" si="40"/>
        <v>1</v>
      </c>
      <c r="K474" s="44" t="str">
        <f t="shared" ca="1" si="31"/>
        <v/>
      </c>
      <c r="L474" s="3"/>
      <c r="M474" s="45">
        <f t="shared" ca="1" si="24"/>
        <v>25721.705510202086</v>
      </c>
      <c r="N474" s="47">
        <f t="shared" ca="1" si="25"/>
        <v>30359.484599857689</v>
      </c>
      <c r="O474" s="45">
        <f t="shared" ca="1" si="26"/>
        <v>24562.260737788183</v>
      </c>
      <c r="P474" s="47">
        <f t="shared" ca="1" si="27"/>
        <v>31518.929372271592</v>
      </c>
      <c r="Q474" s="45">
        <f t="shared" ca="1" si="28"/>
        <v>23402.81596537428</v>
      </c>
      <c r="R474" s="47">
        <f t="shared" ca="1" si="29"/>
        <v>32678.374144685495</v>
      </c>
      <c r="S474" s="73">
        <f t="shared" ca="1" si="39"/>
        <v>1</v>
      </c>
      <c r="T474" s="73"/>
      <c r="U474" s="3"/>
      <c r="V474" s="3"/>
      <c r="W474" s="3"/>
      <c r="X474" s="3"/>
    </row>
    <row r="475" spans="1:24" ht="13">
      <c r="A475" s="40">
        <v>45208</v>
      </c>
      <c r="B475" s="41">
        <f t="array" aca="1" ref="B475" ca="1">IF(AND(A475 &gt; TODAY(), A475 &lt;= TODAY() + 7),
   INDEX(calculations!B:B, MATCH(143^143, calculations!B:B)),
   IF(ISNUMBER(MATCH(A475, calculations!A:A, 0)),
      INDEX(calculations!B:B, MATCH(A475, calculations!A:A, 0)),
      ""
   )
)</f>
        <v>27591.35</v>
      </c>
      <c r="C475" s="42">
        <f t="array" aca="1" ref="C475" ca="1">IF(B475&lt;&gt;"", IF(MATCH(A475, calculations!A:A, 0), INDEX(calculations!D:D, MATCH(A475, calculations!A:A, 0)), "No Match"),"")</f>
        <v>82183775698</v>
      </c>
      <c r="D475" s="43">
        <f t="shared" ca="1" si="30"/>
        <v>9.2360522370215975E-4</v>
      </c>
      <c r="E475" s="43">
        <f t="shared" ca="1" si="22"/>
        <v>1.3985707013005174E-4</v>
      </c>
      <c r="F475" s="43">
        <f t="shared" ca="1" si="33"/>
        <v>4.0190511453636661E-2</v>
      </c>
      <c r="G475" s="42">
        <f t="shared" ca="1" si="23"/>
        <v>2267561319605012</v>
      </c>
      <c r="H475" s="41">
        <f t="shared" ca="1" si="34"/>
        <v>27745.231665259929</v>
      </c>
      <c r="I475" s="3"/>
      <c r="J475" s="43">
        <f t="shared" ca="1" si="40"/>
        <v>1</v>
      </c>
      <c r="K475" s="44" t="str">
        <f t="shared" ca="1" si="31"/>
        <v/>
      </c>
      <c r="L475" s="3"/>
      <c r="M475" s="45">
        <f t="shared" ca="1" si="24"/>
        <v>25515.041563207065</v>
      </c>
      <c r="N475" s="47">
        <f t="shared" ca="1" si="25"/>
        <v>29975.42176731279</v>
      </c>
      <c r="O475" s="45">
        <f t="shared" ca="1" si="26"/>
        <v>24399.946512180635</v>
      </c>
      <c r="P475" s="47">
        <f t="shared" ca="1" si="27"/>
        <v>31090.516818339223</v>
      </c>
      <c r="Q475" s="45">
        <f t="shared" ca="1" si="28"/>
        <v>23284.851461154201</v>
      </c>
      <c r="R475" s="47">
        <f t="shared" ca="1" si="29"/>
        <v>32205.611869365657</v>
      </c>
      <c r="S475" s="73">
        <f t="shared" ca="1" si="39"/>
        <v>1</v>
      </c>
      <c r="T475" s="73"/>
      <c r="U475" s="3"/>
      <c r="V475" s="3"/>
      <c r="W475" s="3"/>
      <c r="X475" s="3"/>
    </row>
    <row r="476" spans="1:24" ht="13">
      <c r="A476" s="40">
        <v>45215</v>
      </c>
      <c r="B476" s="41">
        <f t="array" aca="1" ref="B476" ca="1">IF(AND(A476 &gt; TODAY(), A476 &lt;= TODAY() + 7),
   INDEX(calculations!B:B, MATCH(143^143, calculations!B:B)),
   IF(ISNUMBER(MATCH(A476, calculations!A:A, 0)),
      INDEX(calculations!B:B, MATCH(A476, calculations!A:A, 0)),
      ""
   )
)</f>
        <v>28506.79</v>
      </c>
      <c r="C476" s="42">
        <f t="array" aca="1" ref="C476" ca="1">IF(B476&lt;&gt;"", IF(MATCH(A476, calculations!A:A, 0), INDEX(calculations!D:D, MATCH(A476, calculations!A:A, 0)), "No Match"),"")</f>
        <v>72673654487</v>
      </c>
      <c r="D476" s="43">
        <f t="shared" ca="1" si="30"/>
        <v>3.3178514280743872E-2</v>
      </c>
      <c r="E476" s="43">
        <f t="shared" ca="1" si="22"/>
        <v>4.173354985588193E-4</v>
      </c>
      <c r="F476" s="43">
        <f t="shared" ca="1" si="33"/>
        <v>4.1317600262290324E-2</v>
      </c>
      <c r="G476" s="42">
        <f t="shared" ca="1" si="23"/>
        <v>2071692606993466.8</v>
      </c>
      <c r="H476" s="41">
        <f t="shared" ca="1" si="34"/>
        <v>27594.694529448108</v>
      </c>
      <c r="I476" s="3"/>
      <c r="J476" s="43">
        <f t="shared" ca="1" si="40"/>
        <v>1</v>
      </c>
      <c r="K476" s="44" t="str">
        <f t="shared" ca="1" si="31"/>
        <v/>
      </c>
      <c r="L476" s="3"/>
      <c r="M476" s="45">
        <f t="shared" ca="1" si="24"/>
        <v>25314.401413592615</v>
      </c>
      <c r="N476" s="47">
        <f t="shared" ca="1" si="25"/>
        <v>29874.987645303605</v>
      </c>
      <c r="O476" s="45">
        <f t="shared" ca="1" si="26"/>
        <v>24174.254855664869</v>
      </c>
      <c r="P476" s="47">
        <f t="shared" ca="1" si="27"/>
        <v>31015.134203231344</v>
      </c>
      <c r="Q476" s="45">
        <f t="shared" ca="1" si="28"/>
        <v>23034.108297737122</v>
      </c>
      <c r="R476" s="47">
        <f t="shared" ca="1" si="29"/>
        <v>32155.280761159094</v>
      </c>
      <c r="S476" s="73">
        <f t="shared" ca="1" si="39"/>
        <v>1</v>
      </c>
      <c r="T476" s="73"/>
      <c r="U476" s="3"/>
      <c r="V476" s="3"/>
      <c r="W476" s="3"/>
      <c r="X476" s="3"/>
    </row>
    <row r="477" spans="1:24" ht="13">
      <c r="A477" s="40">
        <v>45222</v>
      </c>
      <c r="B477" s="41">
        <f t="array" aca="1" ref="B477" ca="1">IF(AND(A477 &gt; TODAY(), A477 &lt;= TODAY() + 7),
   INDEX(calculations!B:B, MATCH(143^143, calculations!B:B)),
   IF(ISNUMBER(MATCH(A477, calculations!A:A, 0)),
      INDEX(calculations!B:B, MATCH(A477, calculations!A:A, 0)),
      ""
   )
)</f>
        <v>32954.17</v>
      </c>
      <c r="C477" s="42">
        <f t="array" aca="1" ref="C477" ca="1">IF(B477&lt;&gt;"", IF(MATCH(A477, calculations!A:A, 0), INDEX(calculations!D:D, MATCH(A477, calculations!A:A, 0)), "No Match"),"")</f>
        <v>113402383094</v>
      </c>
      <c r="D477" s="43">
        <f t="shared" ca="1" si="30"/>
        <v>0.15601125205608898</v>
      </c>
      <c r="E477" s="43">
        <f t="shared" ca="1" si="22"/>
        <v>2.0523865604868748E-2</v>
      </c>
      <c r="F477" s="43">
        <f t="shared" ca="1" si="33"/>
        <v>5.9335940685529442E-2</v>
      </c>
      <c r="G477" s="42">
        <f t="shared" ca="1" si="23"/>
        <v>3737081410884802</v>
      </c>
      <c r="H477" s="41">
        <f t="shared" ca="1" si="34"/>
        <v>27874.293916597464</v>
      </c>
      <c r="I477" s="3"/>
      <c r="J477" s="43">
        <f t="shared" ca="1" si="40"/>
        <v>-0.63244631202018131</v>
      </c>
      <c r="K477" s="44">
        <f t="shared" ca="1" si="31"/>
        <v>-3</v>
      </c>
      <c r="L477" s="3"/>
      <c r="M477" s="45">
        <f t="shared" ca="1" si="24"/>
        <v>24566.399015624982</v>
      </c>
      <c r="N477" s="47">
        <f t="shared" ca="1" si="25"/>
        <v>31182.188817569942</v>
      </c>
      <c r="O477" s="45">
        <f t="shared" ca="1" si="26"/>
        <v>22912.451565138737</v>
      </c>
      <c r="P477" s="47">
        <f t="shared" ca="1" si="27"/>
        <v>32836.136268056187</v>
      </c>
      <c r="Q477" s="45">
        <f t="shared" ca="1" si="28"/>
        <v>21258.5041146525</v>
      </c>
      <c r="R477" s="47">
        <f t="shared" ca="1" si="29"/>
        <v>34490.083718542432</v>
      </c>
      <c r="S477" s="73">
        <f t="shared" ref="S477:S540" ca="1" si="41">IF(B477="","",
 IF(B477&lt;Q477, 1+(4*ABS(D477))+(1+$X$2)+F477,
 IF(B477&lt;O477, 1+(3*ABS(D477))+(1+$X$2)+F477,
 IF(B477&lt;M477, 1+(2*ABS(D477))+(1+$X$2)+F477,
 IF(B477&gt;R477, 1-(4*ABS(D477))-(1+$X$2)-F477,
 IF(B477&gt;P477, 1-(3*ABS(D477))-(1+$X$2)-F477,
 IF(B477&gt;N477, 1-(2*ABS(D477))-(1+$X$2)-F477,
 1)))))))</f>
        <v>-0.63244631202018131</v>
      </c>
      <c r="T477" s="73"/>
      <c r="U477" s="3"/>
      <c r="V477" s="3"/>
      <c r="W477" s="3"/>
      <c r="X477" s="3"/>
    </row>
    <row r="478" spans="1:24" ht="13">
      <c r="A478" s="40">
        <v>45229</v>
      </c>
      <c r="B478" s="41">
        <f t="array" aca="1" ref="B478" ca="1">IF(AND(A478 &gt; TODAY(), A478 &lt;= TODAY() + 7),
   INDEX(calculations!B:B, MATCH(143^143, calculations!B:B)),
   IF(ISNUMBER(MATCH(A478, calculations!A:A, 0)),
      INDEX(calculations!B:B, MATCH(A478, calculations!A:A, 0)),
      ""
   )
)</f>
        <v>34495.11</v>
      </c>
      <c r="C478" s="42">
        <f t="array" aca="1" ref="C478" ca="1">IF(B478&lt;&gt;"", IF(MATCH(A478, calculations!A:A, 0), INDEX(calculations!D:D, MATCH(A478, calculations!A:A, 0)), "No Match"),"")</f>
        <v>165718773022</v>
      </c>
      <c r="D478" s="43">
        <f t="shared" ca="1" si="30"/>
        <v>4.676009136324788E-2</v>
      </c>
      <c r="E478" s="43">
        <f t="shared" ca="1" si="22"/>
        <v>1.1567051318417951E-3</v>
      </c>
      <c r="F478" s="43">
        <f t="shared" ca="1" si="33"/>
        <v>5.8984846289836274E-2</v>
      </c>
      <c r="G478" s="42">
        <f t="shared" ca="1" si="23"/>
        <v>5716487304458923</v>
      </c>
      <c r="H478" s="41">
        <f t="shared" ca="1" si="34"/>
        <v>28625.233408466396</v>
      </c>
      <c r="I478" s="3"/>
      <c r="J478" s="43">
        <f t="shared" ca="1" si="40"/>
        <v>-0.30434173554596478</v>
      </c>
      <c r="K478" s="44">
        <f t="shared" ca="1" si="31"/>
        <v>-3</v>
      </c>
      <c r="L478" s="3"/>
      <c r="M478" s="45">
        <f t="shared" ca="1" si="24"/>
        <v>25248.323423248246</v>
      </c>
      <c r="N478" s="47">
        <f t="shared" ca="1" si="25"/>
        <v>32002.143393684546</v>
      </c>
      <c r="O478" s="45">
        <f t="shared" ca="1" si="26"/>
        <v>23559.868430639166</v>
      </c>
      <c r="P478" s="47">
        <f t="shared" ca="1" si="27"/>
        <v>33690.598386293626</v>
      </c>
      <c r="Q478" s="45">
        <f t="shared" ca="1" si="28"/>
        <v>21871.413438030089</v>
      </c>
      <c r="R478" s="47">
        <f t="shared" ca="1" si="29"/>
        <v>35379.053378902696</v>
      </c>
      <c r="S478" s="73">
        <f t="shared" ca="1" si="41"/>
        <v>-0.30434173554596478</v>
      </c>
      <c r="T478" s="73"/>
      <c r="U478" s="3"/>
      <c r="V478" s="3"/>
      <c r="W478" s="3"/>
      <c r="X478" s="3"/>
    </row>
    <row r="479" spans="1:24" ht="13">
      <c r="A479" s="40">
        <v>45236</v>
      </c>
      <c r="B479" s="41">
        <f t="array" aca="1" ref="B479" ca="1">IF(AND(A479 &gt; TODAY(), A479 &lt;= TODAY() + 7),
   INDEX(calculations!B:B, MATCH(143^143, calculations!B:B)),
   IF(ISNUMBER(MATCH(A479, calculations!A:A, 0)),
      INDEX(calculations!B:B, MATCH(A479, calculations!A:A, 0)),
      ""
   )
)</f>
        <v>35017.72</v>
      </c>
      <c r="C479" s="42">
        <f t="array" aca="1" ref="C479" ca="1">IF(B479&lt;&gt;"", IF(MATCH(A479, calculations!A:A, 0), INDEX(calculations!D:D, MATCH(A479, calculations!A:A, 0)), "No Match"),"")</f>
        <v>115520056635</v>
      </c>
      <c r="D479" s="43">
        <f t="shared" ca="1" si="30"/>
        <v>1.5150263327178854E-2</v>
      </c>
      <c r="E479" s="43">
        <f t="shared" ca="1" si="22"/>
        <v>5.7625921428775077E-6</v>
      </c>
      <c r="F479" s="43">
        <f t="shared" ca="1" si="33"/>
        <v>5.8880679055175703E-2</v>
      </c>
      <c r="G479" s="42">
        <f t="shared" ca="1" si="23"/>
        <v>4045248997628572.5</v>
      </c>
      <c r="H479" s="41">
        <f t="shared" ca="1" si="34"/>
        <v>29135.214640833892</v>
      </c>
      <c r="I479" s="3"/>
      <c r="J479" s="43">
        <f t="shared" ca="1" si="40"/>
        <v>-0.2094080842030972</v>
      </c>
      <c r="K479" s="44">
        <f t="shared" ca="1" si="31"/>
        <v>-3</v>
      </c>
      <c r="L479" s="3"/>
      <c r="M479" s="45">
        <f t="shared" ca="1" si="24"/>
        <v>25704.212195892698</v>
      </c>
      <c r="N479" s="47">
        <f t="shared" ca="1" si="25"/>
        <v>32566.217085775086</v>
      </c>
      <c r="O479" s="45">
        <f t="shared" ca="1" si="26"/>
        <v>23988.710973422105</v>
      </c>
      <c r="P479" s="47">
        <f t="shared" ca="1" si="27"/>
        <v>34281.718308245683</v>
      </c>
      <c r="Q479" s="45">
        <f t="shared" ca="1" si="28"/>
        <v>22273.209750951508</v>
      </c>
      <c r="R479" s="47">
        <f t="shared" ca="1" si="29"/>
        <v>35997.219530716276</v>
      </c>
      <c r="S479" s="73">
        <f t="shared" ca="1" si="41"/>
        <v>-0.2094080842030972</v>
      </c>
      <c r="T479" s="73"/>
      <c r="U479" s="3"/>
      <c r="V479" s="3"/>
      <c r="W479" s="3"/>
      <c r="X479" s="3"/>
    </row>
    <row r="480" spans="1:24" ht="13">
      <c r="A480" s="40">
        <v>45243</v>
      </c>
      <c r="B480" s="41">
        <f t="array" aca="1" ref="B480" ca="1">IF(AND(A480 &gt; TODAY(), A480 &lt;= TODAY() + 7),
   INDEX(calculations!B:B, MATCH(143^143, calculations!B:B)),
   IF(ISNUMBER(MATCH(A480, calculations!A:A, 0)),
      INDEX(calculations!B:B, MATCH(A480, calculations!A:A, 0)),
      ""
   )
)</f>
        <v>36543.269999999997</v>
      </c>
      <c r="C480" s="42">
        <f t="array" aca="1" ref="C480" ca="1">IF(B480&lt;&gt;"", IF(MATCH(A480, calculations!A:A, 0), INDEX(calculations!D:D, MATCH(A480, calculations!A:A, 0)), "No Match"),"")</f>
        <v>134767494805</v>
      </c>
      <c r="D480" s="43">
        <f t="shared" ca="1" si="30"/>
        <v>4.35650864762182E-2</v>
      </c>
      <c r="E480" s="43">
        <f t="shared" ca="1" si="22"/>
        <v>9.4958660409804425E-4</v>
      </c>
      <c r="F480" s="43">
        <f t="shared" ca="1" si="33"/>
        <v>5.9154512766214022E-2</v>
      </c>
      <c r="G480" s="42">
        <f t="shared" ca="1" si="23"/>
        <v>4924844949882712</v>
      </c>
      <c r="H480" s="41">
        <f t="shared" ca="1" si="34"/>
        <v>29843.475799269439</v>
      </c>
      <c r="I480" s="3"/>
      <c r="J480" s="43">
        <f t="shared" ca="1" si="40"/>
        <v>-0.29492638736125348</v>
      </c>
      <c r="K480" s="44">
        <f t="shared" ca="1" si="31"/>
        <v>-3</v>
      </c>
      <c r="L480" s="3"/>
      <c r="M480" s="45">
        <f t="shared" ca="1" si="24"/>
        <v>26312.723258957274</v>
      </c>
      <c r="N480" s="47">
        <f t="shared" ca="1" si="25"/>
        <v>33374.228339581605</v>
      </c>
      <c r="O480" s="45">
        <f t="shared" ca="1" si="26"/>
        <v>24547.34698880119</v>
      </c>
      <c r="P480" s="47">
        <f t="shared" ca="1" si="27"/>
        <v>35139.604609737689</v>
      </c>
      <c r="Q480" s="45">
        <f t="shared" ca="1" si="28"/>
        <v>22781.970718645105</v>
      </c>
      <c r="R480" s="47">
        <f t="shared" ca="1" si="29"/>
        <v>36904.980879893774</v>
      </c>
      <c r="S480" s="73">
        <f t="shared" ca="1" si="41"/>
        <v>-0.29492638736125348</v>
      </c>
      <c r="T480" s="73"/>
      <c r="U480" s="3"/>
      <c r="V480" s="3"/>
      <c r="W480" s="3"/>
      <c r="X480" s="3"/>
    </row>
    <row r="481" spans="1:24" ht="13">
      <c r="A481" s="40">
        <v>45250</v>
      </c>
      <c r="B481" s="41">
        <f t="array" aca="1" ref="B481" ca="1">IF(AND(A481 &gt; TODAY(), A481 &lt;= TODAY() + 7),
   INDEX(calculations!B:B, MATCH(143^143, calculations!B:B)),
   IF(ISNUMBER(MATCH(A481, calculations!A:A, 0)),
      INDEX(calculations!B:B, MATCH(A481, calculations!A:A, 0)),
      ""
   )
)</f>
        <v>37516.050000000003</v>
      </c>
      <c r="C481" s="42">
        <f t="array" aca="1" ref="C481" ca="1">IF(B481&lt;&gt;"", IF(MATCH(A481, calculations!A:A, 0), INDEX(calculations!D:D, MATCH(A481, calculations!A:A, 0)), "No Match"),"")</f>
        <v>143535361089</v>
      </c>
      <c r="D481" s="43">
        <f t="shared" ca="1" si="30"/>
        <v>2.6619949446231993E-2</v>
      </c>
      <c r="E481" s="43">
        <f t="shared" ca="1" si="22"/>
        <v>1.9238317173435115E-4</v>
      </c>
      <c r="F481" s="43">
        <f t="shared" ca="1" si="33"/>
        <v>5.9131188147546324E-2</v>
      </c>
      <c r="G481" s="42">
        <f t="shared" ca="1" si="23"/>
        <v>5384879783382979</v>
      </c>
      <c r="H481" s="41">
        <f t="shared" ca="1" si="34"/>
        <v>30620.79739749492</v>
      </c>
      <c r="I481" s="3"/>
      <c r="J481" s="43">
        <f t="shared" ca="1" si="40"/>
        <v>-0.24406765165262717</v>
      </c>
      <c r="K481" s="44">
        <f t="shared" ca="1" si="31"/>
        <v>-3</v>
      </c>
      <c r="L481" s="3"/>
      <c r="M481" s="45">
        <f t="shared" ca="1" si="24"/>
        <v>26999.509133216583</v>
      </c>
      <c r="N481" s="47">
        <f t="shared" ca="1" si="25"/>
        <v>34242.085661773257</v>
      </c>
      <c r="O481" s="45">
        <f t="shared" ca="1" si="26"/>
        <v>25188.865001077414</v>
      </c>
      <c r="P481" s="47">
        <f t="shared" ca="1" si="27"/>
        <v>36052.729793912426</v>
      </c>
      <c r="Q481" s="45">
        <f t="shared" ca="1" si="28"/>
        <v>23378.220868938246</v>
      </c>
      <c r="R481" s="47">
        <f t="shared" ca="1" si="29"/>
        <v>37863.373926051594</v>
      </c>
      <c r="S481" s="73">
        <f t="shared" ca="1" si="41"/>
        <v>-0.24406765165262717</v>
      </c>
      <c r="T481" s="73"/>
      <c r="U481" s="3"/>
      <c r="V481" s="3"/>
      <c r="W481" s="3"/>
      <c r="X481" s="3"/>
    </row>
    <row r="482" spans="1:24" ht="13">
      <c r="A482" s="40">
        <v>45257</v>
      </c>
      <c r="B482" s="41">
        <f t="array" aca="1" ref="B482" ca="1">IF(AND(A482 &gt; TODAY(), A482 &lt;= TODAY() + 7),
   INDEX(calculations!B:B, MATCH(143^143, calculations!B:B)),
   IF(ISNUMBER(MATCH(A482, calculations!A:A, 0)),
      INDEX(calculations!B:B, MATCH(A482, calculations!A:A, 0)),
      ""
   )
)</f>
        <v>37229.25</v>
      </c>
      <c r="C482" s="42">
        <f t="array" aca="1" ref="C482" ca="1">IF(B482&lt;&gt;"", IF(MATCH(A482, calculations!A:A, 0), INDEX(calculations!D:D, MATCH(A482, calculations!A:A, 0)), "No Match"),"")</f>
        <v>130439893957</v>
      </c>
      <c r="D482" s="43">
        <f t="shared" ca="1" si="30"/>
        <v>-7.6447280563919414E-3</v>
      </c>
      <c r="E482" s="43">
        <f t="shared" ca="1" si="22"/>
        <v>4.1593364850034582E-4</v>
      </c>
      <c r="F482" s="43">
        <f t="shared" ca="1" si="33"/>
        <v>4.6678921129146567E-2</v>
      </c>
      <c r="G482" s="42">
        <f t="shared" ca="1" si="23"/>
        <v>4856179422098642</v>
      </c>
      <c r="H482" s="41">
        <f t="shared" ca="1" si="34"/>
        <v>31557.589190402909</v>
      </c>
      <c r="I482" s="3"/>
      <c r="J482" s="43">
        <f t="shared" ca="1" si="40"/>
        <v>-0.17468972046470727</v>
      </c>
      <c r="K482" s="44">
        <f t="shared" ca="1" si="31"/>
        <v>-3</v>
      </c>
      <c r="L482" s="3"/>
      <c r="M482" s="45">
        <f t="shared" ca="1" si="24"/>
        <v>28611.440756713258</v>
      </c>
      <c r="N482" s="47">
        <f t="shared" ca="1" si="25"/>
        <v>34503.737624092559</v>
      </c>
      <c r="O482" s="45">
        <f t="shared" ca="1" si="26"/>
        <v>27138.366539868432</v>
      </c>
      <c r="P482" s="47">
        <f t="shared" ca="1" si="27"/>
        <v>35976.811840937386</v>
      </c>
      <c r="Q482" s="45">
        <f t="shared" ca="1" si="28"/>
        <v>25665.292323023605</v>
      </c>
      <c r="R482" s="47">
        <f t="shared" ca="1" si="29"/>
        <v>37449.886057782212</v>
      </c>
      <c r="S482" s="73">
        <f t="shared" ca="1" si="41"/>
        <v>-0.17468972046470727</v>
      </c>
      <c r="T482" s="73"/>
      <c r="U482" s="3"/>
      <c r="V482" s="3"/>
      <c r="W482" s="3"/>
      <c r="X482" s="3"/>
    </row>
    <row r="483" spans="1:24" ht="13">
      <c r="A483" s="40">
        <v>45264</v>
      </c>
      <c r="B483" s="41">
        <f t="array" aca="1" ref="B483" ca="1">IF(AND(A483 &gt; TODAY(), A483 &lt;= TODAY() + 7),
   INDEX(calculations!B:B, MATCH(143^143, calculations!B:B)),
   IF(ISNUMBER(MATCH(A483, calculations!A:A, 0)),
      INDEX(calculations!B:B, MATCH(A483, calculations!A:A, 0)),
      ""
   )
)</f>
        <v>41910.300000000003</v>
      </c>
      <c r="C483" s="42">
        <f t="array" aca="1" ref="C483" ca="1">IF(B483&lt;&gt;"", IF(MATCH(A483, calculations!A:A, 0), INDEX(calculations!D:D, MATCH(A483, calculations!A:A, 0)), "No Match"),"")</f>
        <v>134360107955</v>
      </c>
      <c r="D483" s="43">
        <f t="shared" ca="1" si="30"/>
        <v>0.12573581256673189</v>
      </c>
      <c r="E483" s="43">
        <f t="shared" ca="1" si="22"/>
        <v>1.2765856354648329E-2</v>
      </c>
      <c r="F483" s="43">
        <f t="shared" ca="1" si="33"/>
        <v>5.2810732358826981E-2</v>
      </c>
      <c r="G483" s="42">
        <f t="shared" ca="1" si="23"/>
        <v>5631072432426437</v>
      </c>
      <c r="H483" s="41">
        <f t="shared" ca="1" si="34"/>
        <v>32763.19597525362</v>
      </c>
      <c r="I483" s="3"/>
      <c r="J483" s="43">
        <f t="shared" ca="1" si="40"/>
        <v>-0.66083059779213937</v>
      </c>
      <c r="K483" s="44">
        <f t="shared" ca="1" si="31"/>
        <v>-4</v>
      </c>
      <c r="L483" s="3"/>
      <c r="M483" s="45">
        <f t="shared" ca="1" si="24"/>
        <v>29302.699227515786</v>
      </c>
      <c r="N483" s="47">
        <f t="shared" ca="1" si="25"/>
        <v>36223.692722991451</v>
      </c>
      <c r="O483" s="45">
        <f t="shared" ca="1" si="26"/>
        <v>27572.450853646871</v>
      </c>
      <c r="P483" s="47">
        <f t="shared" ca="1" si="27"/>
        <v>37953.941096860362</v>
      </c>
      <c r="Q483" s="45">
        <f t="shared" ca="1" si="28"/>
        <v>25842.202479777952</v>
      </c>
      <c r="R483" s="47">
        <f t="shared" ca="1" si="29"/>
        <v>39684.189470729289</v>
      </c>
      <c r="S483" s="73">
        <f t="shared" ca="1" si="41"/>
        <v>-0.66083059779213937</v>
      </c>
      <c r="T483" s="73"/>
      <c r="U483" s="3"/>
      <c r="V483" s="3"/>
      <c r="W483" s="3"/>
      <c r="X483" s="3"/>
    </row>
    <row r="484" spans="1:24" ht="13">
      <c r="A484" s="40">
        <v>45271</v>
      </c>
      <c r="B484" s="41">
        <f t="array" aca="1" ref="B484" ca="1">IF(AND(A484 &gt; TODAY(), A484 &lt;= TODAY() + 7),
   INDEX(calculations!B:B, MATCH(143^143, calculations!B:B)),
   IF(ISNUMBER(MATCH(A484, calculations!A:A, 0)),
      INDEX(calculations!B:B, MATCH(A484, calculations!A:A, 0)),
      ""
   )
)</f>
        <v>41209.89</v>
      </c>
      <c r="C484" s="42">
        <f t="array" aca="1" ref="C484" ca="1">IF(B484&lt;&gt;"", IF(MATCH(A484, calculations!A:A, 0), INDEX(calculations!D:D, MATCH(A484, calculations!A:A, 0)), "No Match"),"")</f>
        <v>188503614895</v>
      </c>
      <c r="D484" s="43">
        <f t="shared" ca="1" si="30"/>
        <v>-1.6712120886751072E-2</v>
      </c>
      <c r="E484" s="43">
        <f t="shared" ca="1" si="22"/>
        <v>8.6800026631114855E-4</v>
      </c>
      <c r="F484" s="43">
        <f t="shared" ca="1" si="33"/>
        <v>5.3176188672967611E-2</v>
      </c>
      <c r="G484" s="42">
        <f t="shared" ca="1" si="23"/>
        <v>7768213234425311</v>
      </c>
      <c r="H484" s="41">
        <f t="shared" ca="1" si="34"/>
        <v>34315.320474406122</v>
      </c>
      <c r="I484" s="3"/>
      <c r="J484" s="43">
        <f t="shared" ca="1" si="40"/>
        <v>-0.20838916649960573</v>
      </c>
      <c r="K484" s="44">
        <f t="shared" ca="1" si="31"/>
        <v>-3</v>
      </c>
      <c r="L484" s="3"/>
      <c r="M484" s="45">
        <f t="shared" ca="1" si="24"/>
        <v>30665.804562565387</v>
      </c>
      <c r="N484" s="47">
        <f t="shared" ca="1" si="25"/>
        <v>37964.836386246854</v>
      </c>
      <c r="O484" s="45">
        <f t="shared" ca="1" si="26"/>
        <v>28841.046606645017</v>
      </c>
      <c r="P484" s="47">
        <f t="shared" ca="1" si="27"/>
        <v>39789.594342167227</v>
      </c>
      <c r="Q484" s="45">
        <f t="shared" ca="1" si="28"/>
        <v>27016.288650724648</v>
      </c>
      <c r="R484" s="47">
        <f t="shared" ca="1" si="29"/>
        <v>41614.352298087593</v>
      </c>
      <c r="S484" s="73">
        <f t="shared" ca="1" si="41"/>
        <v>-0.20838916649960573</v>
      </c>
      <c r="T484" s="73"/>
      <c r="U484" s="3"/>
      <c r="V484" s="3"/>
      <c r="W484" s="3"/>
      <c r="X484" s="3"/>
    </row>
    <row r="485" spans="1:24" ht="13">
      <c r="A485" s="40">
        <v>45278</v>
      </c>
      <c r="B485" s="41">
        <f t="array" aca="1" ref="B485" ca="1">IF(AND(A485 &gt; TODAY(), A485 &lt;= TODAY() + 7),
   INDEX(calculations!B:B, MATCH(143^143, calculations!B:B)),
   IF(ISNUMBER(MATCH(A485, calculations!A:A, 0)),
      INDEX(calculations!B:B, MATCH(A485, calculations!A:A, 0)),
      ""
   )
)</f>
        <v>42635.73</v>
      </c>
      <c r="C485" s="42">
        <f t="array" aca="1" ref="C485" ca="1">IF(B485&lt;&gt;"", IF(MATCH(A485, calculations!A:A, 0), INDEX(calculations!D:D, MATCH(A485, calculations!A:A, 0)), "No Match"),"")</f>
        <v>177039421082</v>
      </c>
      <c r="D485" s="43">
        <f t="shared" ca="1" si="30"/>
        <v>3.4599461439960254E-2</v>
      </c>
      <c r="E485" s="43">
        <f t="shared" ca="1" si="22"/>
        <v>4.7741105424345843E-4</v>
      </c>
      <c r="F485" s="43">
        <f t="shared" ca="1" si="33"/>
        <v>5.021414885947173E-2</v>
      </c>
      <c r="G485" s="42">
        <f t="shared" ca="1" si="23"/>
        <v>7548204956608460</v>
      </c>
      <c r="H485" s="41">
        <f t="shared" ca="1" si="34"/>
        <v>35559.40680964401</v>
      </c>
      <c r="I485" s="3"/>
      <c r="J485" s="43">
        <f t="shared" ca="1" si="40"/>
        <v>-0.25908914834573737</v>
      </c>
      <c r="K485" s="44">
        <f t="shared" ca="1" si="31"/>
        <v>-3</v>
      </c>
      <c r="L485" s="3"/>
      <c r="M485" s="45">
        <f t="shared" ca="1" si="24"/>
        <v>31988.236115856056</v>
      </c>
      <c r="N485" s="47">
        <f t="shared" ca="1" si="25"/>
        <v>39130.577503431967</v>
      </c>
      <c r="O485" s="45">
        <f t="shared" ca="1" si="26"/>
        <v>30202.650768962078</v>
      </c>
      <c r="P485" s="47">
        <f t="shared" ca="1" si="27"/>
        <v>40916.162850325934</v>
      </c>
      <c r="Q485" s="45">
        <f t="shared" ca="1" si="28"/>
        <v>28417.065422068103</v>
      </c>
      <c r="R485" s="47">
        <f t="shared" ca="1" si="29"/>
        <v>42701.748197219917</v>
      </c>
      <c r="S485" s="73">
        <f t="shared" ca="1" si="41"/>
        <v>-0.25908914834573737</v>
      </c>
      <c r="T485" s="73"/>
      <c r="U485" s="3"/>
      <c r="V485" s="3"/>
      <c r="W485" s="3"/>
      <c r="X485" s="3"/>
    </row>
    <row r="486" spans="1:24" ht="13">
      <c r="A486" s="40">
        <v>45285</v>
      </c>
      <c r="B486" s="41">
        <f t="array" aca="1" ref="B486" ca="1">IF(AND(A486 &gt; TODAY(), A486 &lt;= TODAY() + 7),
   INDEX(calculations!B:B, MATCH(143^143, calculations!B:B)),
   IF(ISNUMBER(MATCH(A486, calculations!A:A, 0)),
      INDEX(calculations!B:B, MATCH(A486, calculations!A:A, 0)),
      ""
   )
)</f>
        <v>43623.75</v>
      </c>
      <c r="C486" s="42">
        <f t="array" aca="1" ref="C486" ca="1">IF(B486&lt;&gt;"", IF(MATCH(A486, calculations!A:A, 0), INDEX(calculations!D:D, MATCH(A486, calculations!A:A, 0)), "No Match"),"")</f>
        <v>189754768340</v>
      </c>
      <c r="D486" s="43">
        <f t="shared" ca="1" si="30"/>
        <v>2.3173521363419759E-2</v>
      </c>
      <c r="E486" s="43">
        <f t="shared" ca="1" si="22"/>
        <v>1.0865556485454619E-4</v>
      </c>
      <c r="F486" s="43">
        <f t="shared" ca="1" si="33"/>
        <v>4.9834097180277363E-2</v>
      </c>
      <c r="G486" s="42">
        <f t="shared" ca="1" si="23"/>
        <v>8277814575372075</v>
      </c>
      <c r="H486" s="41">
        <f t="shared" ca="1" si="34"/>
        <v>36826.519005656111</v>
      </c>
      <c r="I486" s="3"/>
      <c r="J486" s="43">
        <f t="shared" ca="1" si="40"/>
        <v>-0.22443127643692157</v>
      </c>
      <c r="K486" s="44">
        <f t="shared" ca="1" si="31"/>
        <v>-3</v>
      </c>
      <c r="L486" s="3"/>
      <c r="M486" s="45">
        <f t="shared" ca="1" si="24"/>
        <v>33156.086351777718</v>
      </c>
      <c r="N486" s="47">
        <f t="shared" ca="1" si="25"/>
        <v>40496.951659534505</v>
      </c>
      <c r="O486" s="45">
        <f t="shared" ca="1" si="26"/>
        <v>31320.870024838518</v>
      </c>
      <c r="P486" s="47">
        <f t="shared" ca="1" si="27"/>
        <v>42332.167986473709</v>
      </c>
      <c r="Q486" s="45">
        <f t="shared" ca="1" si="28"/>
        <v>29485.653697899317</v>
      </c>
      <c r="R486" s="47">
        <f t="shared" ca="1" si="29"/>
        <v>44167.384313412906</v>
      </c>
      <c r="S486" s="73">
        <f t="shared" ca="1" si="41"/>
        <v>-0.22443127643692157</v>
      </c>
      <c r="T486" s="73"/>
      <c r="U486" s="3"/>
      <c r="V486" s="3"/>
      <c r="W486" s="3"/>
      <c r="X486" s="3"/>
    </row>
    <row r="487" spans="1:24" ht="13">
      <c r="A487" s="40">
        <v>45292</v>
      </c>
      <c r="B487" s="41">
        <f t="array" aca="1" ref="B487" ca="1">IF(AND(A487 &gt; TODAY(), A487 &lt;= TODAY() + 7),
   INDEX(calculations!B:B, MATCH(143^143, calculations!B:B)),
   IF(ISNUMBER(MATCH(A487, calculations!A:A, 0)),
      INDEX(calculations!B:B, MATCH(A487, calculations!A:A, 0)),
      ""
   )
)</f>
        <v>44049.47</v>
      </c>
      <c r="C487" s="42">
        <f t="array" aca="1" ref="C487" ca="1">IF(B487&lt;&gt;"", IF(MATCH(A487, calculations!A:A, 0), INDEX(calculations!D:D, MATCH(A487, calculations!A:A, 0)), "No Match"),"")</f>
        <v>157807126208</v>
      </c>
      <c r="D487" s="43">
        <f t="shared" ca="1" si="30"/>
        <v>9.7589042665979231E-3</v>
      </c>
      <c r="E487" s="43">
        <f t="shared" ca="1" si="22"/>
        <v>8.9449988384267074E-6</v>
      </c>
      <c r="F487" s="43">
        <f t="shared" ca="1" si="33"/>
        <v>4.8034397311474568E-2</v>
      </c>
      <c r="G487" s="42">
        <f t="shared" ca="1" si="23"/>
        <v>6951320271685510</v>
      </c>
      <c r="H487" s="41">
        <f t="shared" ca="1" si="34"/>
        <v>37894.576619261905</v>
      </c>
      <c r="I487" s="3"/>
      <c r="J487" s="43">
        <f t="shared" ca="1" si="40"/>
        <v>-0.18238772527765318</v>
      </c>
      <c r="K487" s="44">
        <f t="shared" ca="1" si="31"/>
        <v>-3</v>
      </c>
      <c r="L487" s="3"/>
      <c r="M487" s="45">
        <f t="shared" ca="1" si="24"/>
        <v>34254.090320702424</v>
      </c>
      <c r="N487" s="47">
        <f t="shared" ca="1" si="25"/>
        <v>41535.062917821386</v>
      </c>
      <c r="O487" s="45">
        <f t="shared" ca="1" si="26"/>
        <v>32433.847171422683</v>
      </c>
      <c r="P487" s="47">
        <f t="shared" ca="1" si="27"/>
        <v>43355.306067101134</v>
      </c>
      <c r="Q487" s="45">
        <f t="shared" ca="1" si="28"/>
        <v>30613.604022142939</v>
      </c>
      <c r="R487" s="47">
        <f t="shared" ca="1" si="29"/>
        <v>45175.549216380867</v>
      </c>
      <c r="S487" s="73">
        <f t="shared" ca="1" si="41"/>
        <v>-0.18238772527765318</v>
      </c>
      <c r="T487" s="73"/>
      <c r="U487" s="3"/>
      <c r="V487" s="3"/>
      <c r="W487" s="3"/>
      <c r="X487" s="3"/>
    </row>
    <row r="488" spans="1:24" ht="13">
      <c r="A488" s="40">
        <v>45299</v>
      </c>
      <c r="B488" s="41">
        <f t="array" aca="1" ref="B488" ca="1">IF(AND(A488 &gt; TODAY(), A488 &lt;= TODAY() + 7),
   INDEX(calculations!B:B, MATCH(143^143, calculations!B:B)),
   IF(ISNUMBER(MATCH(A488, calculations!A:A, 0)),
      INDEX(calculations!B:B, MATCH(A488, calculations!A:A, 0)),
      ""
   )
)</f>
        <v>46981.32</v>
      </c>
      <c r="C488" s="42">
        <f t="array" aca="1" ref="C488" ca="1">IF(B488&lt;&gt;"", IF(MATCH(A488, calculations!A:A, 0), INDEX(calculations!D:D, MATCH(A488, calculations!A:A, 0)), "No Match"),"")</f>
        <v>202311773985</v>
      </c>
      <c r="D488" s="43">
        <f t="shared" ca="1" si="30"/>
        <v>6.6558122038698722E-2</v>
      </c>
      <c r="E488" s="43">
        <f t="shared" ca="1" si="22"/>
        <v>2.8953437685642599E-3</v>
      </c>
      <c r="F488" s="43">
        <f t="shared" ca="1" si="33"/>
        <v>4.8560616184487385E-2</v>
      </c>
      <c r="G488" s="42">
        <f t="shared" ca="1" si="23"/>
        <v>9504874193356960</v>
      </c>
      <c r="H488" s="41">
        <f t="shared" ca="1" si="34"/>
        <v>39185.638483260213</v>
      </c>
      <c r="I488" s="3"/>
      <c r="J488" s="43">
        <f t="shared" ca="1" si="40"/>
        <v>-0.41986971950566709</v>
      </c>
      <c r="K488" s="44">
        <f t="shared" ca="1" si="31"/>
        <v>-4</v>
      </c>
      <c r="L488" s="3"/>
      <c r="M488" s="45">
        <f t="shared" ca="1" si="24"/>
        <v>35379.880982600858</v>
      </c>
      <c r="N488" s="47">
        <f t="shared" ca="1" si="25"/>
        <v>42991.395983919567</v>
      </c>
      <c r="O488" s="45">
        <f t="shared" ca="1" si="26"/>
        <v>33477.002232271181</v>
      </c>
      <c r="P488" s="47">
        <f t="shared" ca="1" si="27"/>
        <v>44894.274734249244</v>
      </c>
      <c r="Q488" s="45">
        <f t="shared" ca="1" si="28"/>
        <v>31574.123481941504</v>
      </c>
      <c r="R488" s="47">
        <f t="shared" ca="1" si="29"/>
        <v>46797.153484578921</v>
      </c>
      <c r="S488" s="73">
        <f t="shared" ca="1" si="41"/>
        <v>-0.41986971950566709</v>
      </c>
      <c r="T488" s="73"/>
      <c r="U488" s="3"/>
      <c r="V488" s="3"/>
      <c r="W488" s="3"/>
      <c r="X488" s="3"/>
    </row>
    <row r="489" spans="1:24" ht="13">
      <c r="A489" s="40">
        <v>45306</v>
      </c>
      <c r="B489" s="41">
        <f t="array" aca="1" ref="B489" ca="1">IF(AND(A489 &gt; TODAY(), A489 &lt;= TODAY() + 7),
   INDEX(calculations!B:B, MATCH(143^143, calculations!B:B)),
   IF(ISNUMBER(MATCH(A489, calculations!A:A, 0)),
      INDEX(calculations!B:B, MATCH(A489, calculations!A:A, 0)),
      ""
   )
)</f>
        <v>42528.92</v>
      </c>
      <c r="C489" s="42">
        <f t="array" aca="1" ref="C489" ca="1">IF(B489&lt;&gt;"", IF(MATCH(A489, calculations!A:A, 0), INDEX(calculations!D:D, MATCH(A489, calculations!A:A, 0)), "No Match"),"")</f>
        <v>259971819745</v>
      </c>
      <c r="D489" s="43">
        <f t="shared" ca="1" si="30"/>
        <v>-9.4769580761034422E-2</v>
      </c>
      <c r="E489" s="43">
        <f t="shared" ca="1" si="22"/>
        <v>1.1560400758274901E-2</v>
      </c>
      <c r="F489" s="43">
        <f t="shared" ca="1" si="33"/>
        <v>5.9875369869216412E-2</v>
      </c>
      <c r="G489" s="42">
        <f t="shared" ca="1" si="23"/>
        <v>1.1056320724189524E+16</v>
      </c>
      <c r="H489" s="41">
        <f t="shared" ca="1" si="34"/>
        <v>40019.207965686728</v>
      </c>
      <c r="I489" s="3"/>
      <c r="J489" s="43">
        <f t="shared" ca="1" si="40"/>
        <v>1</v>
      </c>
      <c r="K489" s="44" t="str">
        <f t="shared" ca="1" si="31"/>
        <v/>
      </c>
      <c r="L489" s="3"/>
      <c r="M489" s="45">
        <f t="shared" ca="1" si="24"/>
        <v>35226.878208049558</v>
      </c>
      <c r="N489" s="47">
        <f t="shared" ca="1" si="25"/>
        <v>44811.537723323898</v>
      </c>
      <c r="O489" s="45">
        <f t="shared" ca="1" si="26"/>
        <v>32830.713329230974</v>
      </c>
      <c r="P489" s="47">
        <f t="shared" ca="1" si="27"/>
        <v>47207.702602142483</v>
      </c>
      <c r="Q489" s="45">
        <f t="shared" ca="1" si="28"/>
        <v>30434.548450412392</v>
      </c>
      <c r="R489" s="47">
        <f t="shared" ca="1" si="29"/>
        <v>49603.867480961067</v>
      </c>
      <c r="S489" s="73">
        <f t="shared" ca="1" si="41"/>
        <v>1</v>
      </c>
      <c r="T489" s="73"/>
      <c r="U489" s="3"/>
      <c r="V489" s="3"/>
      <c r="W489" s="3"/>
      <c r="X489" s="3"/>
    </row>
    <row r="490" spans="1:24" ht="13">
      <c r="A490" s="40">
        <v>45313</v>
      </c>
      <c r="B490" s="41">
        <f t="array" aca="1" ref="B490" ca="1">IF(AND(A490 &gt; TODAY(), A490 &lt;= TODAY() + 7),
   INDEX(calculations!B:B, MATCH(143^143, calculations!B:B)),
   IF(ISNUMBER(MATCH(A490, calculations!A:A, 0)),
      INDEX(calculations!B:B, MATCH(A490, calculations!A:A, 0)),
      ""
   )
)</f>
        <v>39577.1</v>
      </c>
      <c r="C490" s="42">
        <f t="array" aca="1" ref="C490" ca="1">IF(B490&lt;&gt;"", IF(MATCH(A490, calculations!A:A, 0), INDEX(calculations!D:D, MATCH(A490, calculations!A:A, 0)), "No Match"),"")</f>
        <v>139135824835</v>
      </c>
      <c r="D490" s="43">
        <f t="shared" ca="1" si="30"/>
        <v>-6.9407358569180691E-2</v>
      </c>
      <c r="E490" s="43">
        <f t="shared" ca="1" si="22"/>
        <v>6.7497861108150687E-3</v>
      </c>
      <c r="F490" s="43">
        <f t="shared" ca="1" si="33"/>
        <v>6.5832586813820107E-2</v>
      </c>
      <c r="G490" s="42">
        <f t="shared" ca="1" si="23"/>
        <v>5506592453077278</v>
      </c>
      <c r="H490" s="41">
        <f t="shared" ca="1" si="34"/>
        <v>40363.366069718475</v>
      </c>
      <c r="I490" s="3"/>
      <c r="J490" s="43">
        <f t="shared" ca="1" si="40"/>
        <v>1</v>
      </c>
      <c r="K490" s="44" t="str">
        <f t="shared" ca="1" si="31"/>
        <v/>
      </c>
      <c r="L490" s="3"/>
      <c r="M490" s="45">
        <f t="shared" ca="1" si="24"/>
        <v>35048.916467952993</v>
      </c>
      <c r="N490" s="47">
        <f t="shared" ca="1" si="25"/>
        <v>45677.815671483957</v>
      </c>
      <c r="O490" s="45">
        <f t="shared" ca="1" si="26"/>
        <v>32391.691667070249</v>
      </c>
      <c r="P490" s="47">
        <f t="shared" ca="1" si="27"/>
        <v>48335.040472366702</v>
      </c>
      <c r="Q490" s="45">
        <f t="shared" ca="1" si="28"/>
        <v>29734.466866187508</v>
      </c>
      <c r="R490" s="47">
        <f t="shared" ca="1" si="29"/>
        <v>50992.265273249439</v>
      </c>
      <c r="S490" s="73">
        <f t="shared" ca="1" si="41"/>
        <v>1</v>
      </c>
      <c r="T490" s="73"/>
      <c r="U490" s="3"/>
      <c r="V490" s="3"/>
      <c r="W490" s="3"/>
      <c r="X490" s="3"/>
    </row>
    <row r="491" spans="1:24" ht="13">
      <c r="A491" s="40">
        <v>45320</v>
      </c>
      <c r="B491" s="41">
        <f t="array" aca="1" ref="B491" ca="1">IF(AND(A491 &gt; TODAY(), A491 &lt;= TODAY() + 7),
   INDEX(calculations!B:B, MATCH(143^143, calculations!B:B)),
   IF(ISNUMBER(MATCH(A491, calculations!A:A, 0)),
      INDEX(calculations!B:B, MATCH(A491, calculations!A:A, 0)),
      ""
   )
)</f>
        <v>43218.35</v>
      </c>
      <c r="C491" s="42">
        <f t="array" aca="1" ref="C491" ca="1">IF(B491&lt;&gt;"", IF(MATCH(A491, calculations!A:A, 0), INDEX(calculations!D:D, MATCH(A491, calculations!A:A, 0)), "No Match"),"")</f>
        <v>155314602893</v>
      </c>
      <c r="D491" s="43">
        <f t="shared" ca="1" si="30"/>
        <v>9.2003961887050845E-2</v>
      </c>
      <c r="E491" s="43">
        <f t="shared" ca="1" si="22"/>
        <v>6.2812343247950026E-3</v>
      </c>
      <c r="F491" s="43">
        <f t="shared" ca="1" si="33"/>
        <v>5.7819326370121896E-2</v>
      </c>
      <c r="G491" s="42">
        <f t="shared" ca="1" si="23"/>
        <v>6712440867940686</v>
      </c>
      <c r="H491" s="41">
        <f t="shared" ca="1" si="34"/>
        <v>40922.886608094355</v>
      </c>
      <c r="I491" s="3"/>
      <c r="J491" s="43">
        <f t="shared" ca="1" si="40"/>
        <v>1</v>
      </c>
      <c r="K491" s="44" t="str">
        <f t="shared" ca="1" si="31"/>
        <v/>
      </c>
      <c r="L491" s="3"/>
      <c r="M491" s="45">
        <f t="shared" ca="1" si="24"/>
        <v>36190.619134492561</v>
      </c>
      <c r="N491" s="47">
        <f t="shared" ca="1" si="25"/>
        <v>45655.15408169615</v>
      </c>
      <c r="O491" s="45">
        <f t="shared" ca="1" si="26"/>
        <v>33824.485397691664</v>
      </c>
      <c r="P491" s="47">
        <f t="shared" ca="1" si="27"/>
        <v>48021.287818497047</v>
      </c>
      <c r="Q491" s="45">
        <f t="shared" ca="1" si="28"/>
        <v>31458.351660890767</v>
      </c>
      <c r="R491" s="47">
        <f t="shared" ca="1" si="29"/>
        <v>50387.421555297944</v>
      </c>
      <c r="S491" s="73">
        <f t="shared" ca="1" si="41"/>
        <v>1</v>
      </c>
      <c r="T491" s="73"/>
      <c r="U491" s="3"/>
      <c r="V491" s="3"/>
      <c r="W491" s="3"/>
      <c r="X491" s="3"/>
    </row>
    <row r="492" spans="1:24" ht="13">
      <c r="A492" s="40">
        <v>45327</v>
      </c>
      <c r="B492" s="41">
        <f t="array" aca="1" ref="B492" ca="1">IF(AND(A492 &gt; TODAY(), A492 &lt;= TODAY() + 7),
   INDEX(calculations!B:B, MATCH(143^143, calculations!B:B)),
   IF(ISNUMBER(MATCH(A492, calculations!A:A, 0)),
      INDEX(calculations!B:B, MATCH(A492, calculations!A:A, 0)),
      ""
   )
)</f>
        <v>42619.27</v>
      </c>
      <c r="C492" s="42">
        <f t="array" aca="1" ref="C492" ca="1">IF(B492&lt;&gt;"", IF(MATCH(A492, calculations!A:A, 0), INDEX(calculations!D:D, MATCH(A492, calculations!A:A, 0)), "No Match"),"")</f>
        <v>135184187433</v>
      </c>
      <c r="D492" s="43">
        <f t="shared" ca="1" si="30"/>
        <v>-1.3861704576875373E-2</v>
      </c>
      <c r="E492" s="43">
        <f t="shared" ca="1" si="22"/>
        <v>7.0816809674135398E-4</v>
      </c>
      <c r="F492" s="43">
        <f t="shared" ca="1" si="33"/>
        <v>5.8019409397870703E-2</v>
      </c>
      <c r="G492" s="42">
        <f t="shared" ca="1" si="23"/>
        <v>5761451383937633</v>
      </c>
      <c r="H492" s="41">
        <f t="shared" ca="1" si="34"/>
        <v>41494.763762191302</v>
      </c>
      <c r="I492" s="3"/>
      <c r="J492" s="43">
        <f t="shared" ca="1" si="40"/>
        <v>1</v>
      </c>
      <c r="K492" s="44" t="str">
        <f t="shared" ca="1" si="31"/>
        <v/>
      </c>
      <c r="L492" s="3"/>
      <c r="M492" s="45">
        <f t="shared" ca="1" si="24"/>
        <v>36679.760389018287</v>
      </c>
      <c r="N492" s="47">
        <f t="shared" ca="1" si="25"/>
        <v>46309.767135364316</v>
      </c>
      <c r="O492" s="45">
        <f t="shared" ca="1" si="26"/>
        <v>34272.258702431784</v>
      </c>
      <c r="P492" s="47">
        <f t="shared" ca="1" si="27"/>
        <v>48717.26882195082</v>
      </c>
      <c r="Q492" s="45">
        <f t="shared" ca="1" si="28"/>
        <v>31864.757015845276</v>
      </c>
      <c r="R492" s="47">
        <f t="shared" ca="1" si="29"/>
        <v>51124.770508537331</v>
      </c>
      <c r="S492" s="73">
        <f t="shared" ca="1" si="41"/>
        <v>1</v>
      </c>
      <c r="T492" s="73"/>
      <c r="U492" s="3"/>
      <c r="V492" s="3"/>
      <c r="W492" s="3"/>
      <c r="X492" s="3"/>
    </row>
    <row r="493" spans="1:24" ht="13">
      <c r="A493" s="40">
        <v>45334</v>
      </c>
      <c r="B493" s="41">
        <f t="array" aca="1" ref="B493" ca="1">IF(AND(A493 &gt; TODAY(), A493 &lt;= TODAY() + 7),
   INDEX(calculations!B:B, MATCH(143^143, calculations!B:B)),
   IF(ISNUMBER(MATCH(A493, calculations!A:A, 0)),
      INDEX(calculations!B:B, MATCH(A493, calculations!A:A, 0)),
      ""
   )
)</f>
        <v>49989.8</v>
      </c>
      <c r="C493" s="42">
        <f t="array" aca="1" ref="C493" ca="1">IF(B493&lt;&gt;"", IF(MATCH(A493, calculations!A:A, 0), INDEX(calculations!D:D, MATCH(A493, calculations!A:A, 0)), "No Match"),"")</f>
        <v>157826395448</v>
      </c>
      <c r="D493" s="43">
        <f t="shared" ca="1" si="30"/>
        <v>0.17293890768190084</v>
      </c>
      <c r="E493" s="43">
        <f t="shared" ca="1" si="22"/>
        <v>2.5660574774306784E-2</v>
      </c>
      <c r="F493" s="43">
        <f t="shared" ca="1" si="33"/>
        <v>7.1451563828018136E-2</v>
      </c>
      <c r="G493" s="42">
        <f t="shared" ca="1" si="23"/>
        <v>7889709943166431</v>
      </c>
      <c r="H493" s="41">
        <f t="shared" ca="1" si="34"/>
        <v>42400.66685780137</v>
      </c>
      <c r="I493" s="3"/>
      <c r="J493" s="43">
        <f t="shared" ca="1" si="40"/>
        <v>-0.52240599435820467</v>
      </c>
      <c r="K493" s="44">
        <f t="shared" ca="1" si="31"/>
        <v>-2</v>
      </c>
      <c r="L493" s="3"/>
      <c r="M493" s="45">
        <f t="shared" ca="1" si="24"/>
        <v>36341.478949119912</v>
      </c>
      <c r="N493" s="47">
        <f t="shared" ca="1" si="25"/>
        <v>48459.854766482822</v>
      </c>
      <c r="O493" s="45">
        <f t="shared" ca="1" si="26"/>
        <v>33311.88499477919</v>
      </c>
      <c r="P493" s="47">
        <f t="shared" ca="1" si="27"/>
        <v>51489.448720823551</v>
      </c>
      <c r="Q493" s="45">
        <f t="shared" ca="1" si="28"/>
        <v>30282.291040438457</v>
      </c>
      <c r="R493" s="47">
        <f t="shared" ca="1" si="29"/>
        <v>54519.042675164281</v>
      </c>
      <c r="S493" s="73">
        <f t="shared" ca="1" si="41"/>
        <v>-0.52240599435820467</v>
      </c>
      <c r="T493" s="73"/>
      <c r="U493" s="3"/>
      <c r="V493" s="3"/>
      <c r="W493" s="3"/>
      <c r="X493" s="3"/>
    </row>
    <row r="494" spans="1:24" ht="13">
      <c r="A494" s="40">
        <v>45341</v>
      </c>
      <c r="B494" s="41">
        <f t="array" aca="1" ref="B494" ca="1">IF(AND(A494 &gt; TODAY(), A494 &lt;= TODAY() + 7),
   INDEX(calculations!B:B, MATCH(143^143, calculations!B:B)),
   IF(ISNUMBER(MATCH(A494, calculations!A:A, 0)),
      INDEX(calculations!B:B, MATCH(A494, calculations!A:A, 0)),
      ""
   )
)</f>
        <v>51804.81</v>
      </c>
      <c r="C494" s="42">
        <f t="array" aca="1" ref="C494" ca="1">IF(B494&lt;&gt;"", IF(MATCH(A494, calculations!A:A, 0), INDEX(calculations!D:D, MATCH(A494, calculations!A:A, 0)), "No Match"),"")</f>
        <v>213560041471</v>
      </c>
      <c r="D494" s="43">
        <f t="shared" ca="1" si="30"/>
        <v>3.6307606751777258E-2</v>
      </c>
      <c r="E494" s="43">
        <f t="shared" ca="1" si="22"/>
        <v>5.5497386998746851E-4</v>
      </c>
      <c r="F494" s="43">
        <f t="shared" ca="1" si="33"/>
        <v>7.135652556038044E-2</v>
      </c>
      <c r="G494" s="42">
        <f t="shared" ca="1" si="23"/>
        <v>1.1063437371997276E+16</v>
      </c>
      <c r="H494" s="41">
        <f t="shared" ca="1" si="34"/>
        <v>43573.847206736602</v>
      </c>
      <c r="I494" s="3"/>
      <c r="J494" s="43">
        <f t="shared" ca="1" si="40"/>
        <v>-0.24904835423031982</v>
      </c>
      <c r="K494" s="44">
        <f t="shared" ca="1" si="31"/>
        <v>-2</v>
      </c>
      <c r="L494" s="3"/>
      <c r="M494" s="45">
        <f t="shared" ca="1" si="24"/>
        <v>37355.290522793381</v>
      </c>
      <c r="N494" s="47">
        <f t="shared" ca="1" si="25"/>
        <v>49792.403890679823</v>
      </c>
      <c r="O494" s="45">
        <f t="shared" ca="1" si="26"/>
        <v>34246.012180821766</v>
      </c>
      <c r="P494" s="47">
        <f t="shared" ca="1" si="27"/>
        <v>52901.682232651438</v>
      </c>
      <c r="Q494" s="45">
        <f t="shared" ca="1" si="28"/>
        <v>31136.733838850152</v>
      </c>
      <c r="R494" s="47">
        <f t="shared" ca="1" si="29"/>
        <v>56010.960574623045</v>
      </c>
      <c r="S494" s="73">
        <f t="shared" ca="1" si="41"/>
        <v>-0.24904835423031982</v>
      </c>
      <c r="T494" s="73"/>
      <c r="U494" s="3"/>
      <c r="V494" s="3"/>
      <c r="W494" s="3"/>
      <c r="X494" s="3"/>
    </row>
    <row r="495" spans="1:24" ht="13">
      <c r="A495" s="40">
        <v>45348</v>
      </c>
      <c r="B495" s="41">
        <f t="array" aca="1" ref="B495" ca="1">IF(AND(A495 &gt; TODAY(), A495 &lt;= TODAY() + 7),
   INDEX(calculations!B:B, MATCH(143^143, calculations!B:B)),
   IF(ISNUMBER(MATCH(A495, calculations!A:A, 0)),
      INDEX(calculations!B:B, MATCH(A495, calculations!A:A, 0)),
      ""
   )
)</f>
        <v>54551.83</v>
      </c>
      <c r="C495" s="42">
        <f t="array" aca="1" ref="C495" ca="1">IF(B495&lt;&gt;"", IF(MATCH(A495, calculations!A:A, 0), INDEX(calculations!D:D, MATCH(A495, calculations!A:A, 0)), "No Match"),"")</f>
        <v>160769145627</v>
      </c>
      <c r="D495" s="43">
        <f t="shared" ca="1" si="30"/>
        <v>5.3026350255893306E-2</v>
      </c>
      <c r="E495" s="43">
        <f t="shared" ca="1" si="22"/>
        <v>1.6222066742595574E-3</v>
      </c>
      <c r="F495" s="43">
        <f t="shared" ca="1" si="33"/>
        <v>7.1679133933701303E-2</v>
      </c>
      <c r="G495" s="42">
        <f t="shared" ca="1" si="23"/>
        <v>8770251101489348</v>
      </c>
      <c r="H495" s="41">
        <f t="shared" ca="1" si="34"/>
        <v>44670.62171088576</v>
      </c>
      <c r="I495" s="3"/>
      <c r="J495" s="43">
        <f t="shared" ca="1" si="40"/>
        <v>-0.3358347998677661</v>
      </c>
      <c r="K495" s="44">
        <f t="shared" ca="1" si="31"/>
        <v>-3</v>
      </c>
      <c r="L495" s="3"/>
      <c r="M495" s="45">
        <f t="shared" ca="1" si="24"/>
        <v>38266.718757853188</v>
      </c>
      <c r="N495" s="47">
        <f t="shared" ca="1" si="25"/>
        <v>51074.524663918331</v>
      </c>
      <c r="O495" s="45">
        <f t="shared" ca="1" si="26"/>
        <v>35064.767281336906</v>
      </c>
      <c r="P495" s="47">
        <f t="shared" ca="1" si="27"/>
        <v>54276.476140434614</v>
      </c>
      <c r="Q495" s="45">
        <f t="shared" ca="1" si="28"/>
        <v>31862.815804820621</v>
      </c>
      <c r="R495" s="47">
        <f t="shared" ca="1" si="29"/>
        <v>57478.427616950903</v>
      </c>
      <c r="S495" s="73">
        <f t="shared" ca="1" si="41"/>
        <v>-0.3358347998677661</v>
      </c>
      <c r="T495" s="73"/>
      <c r="U495" s="3"/>
      <c r="V495" s="3"/>
      <c r="W495" s="3"/>
      <c r="X495" s="3"/>
    </row>
    <row r="496" spans="1:24" ht="13">
      <c r="A496" s="40">
        <v>45355</v>
      </c>
      <c r="B496" s="41">
        <f t="array" aca="1" ref="B496" ca="1">IF(AND(A496 &gt; TODAY(), A496 &lt;= TODAY() + 7),
   INDEX(calculations!B:B, MATCH(143^143, calculations!B:B)),
   IF(ISNUMBER(MATCH(A496, calculations!A:A, 0)),
      INDEX(calculations!B:B, MATCH(A496, calculations!A:A, 0)),
      ""
   )
)</f>
        <v>68091.839999999997</v>
      </c>
      <c r="C496" s="42">
        <f t="array" aca="1" ref="C496" ca="1">IF(B496&lt;&gt;"", IF(MATCH(A496, calculations!A:A, 0), INDEX(calculations!D:D, MATCH(A496, calculations!A:A, 0)), "No Match"),"")</f>
        <v>327931127857</v>
      </c>
      <c r="D496" s="43">
        <f t="shared" ca="1" si="30"/>
        <v>0.24820450569669239</v>
      </c>
      <c r="E496" s="43">
        <f t="shared" ca="1" si="22"/>
        <v>5.5438954526087665E-2</v>
      </c>
      <c r="F496" s="43">
        <f t="shared" ca="1" si="33"/>
        <v>9.1406206536364165E-2</v>
      </c>
      <c r="G496" s="42">
        <f t="shared" ca="1" si="23"/>
        <v>2.2329433889058384E+16</v>
      </c>
      <c r="H496" s="41">
        <f t="shared" ca="1" si="34"/>
        <v>47998.6841261964</v>
      </c>
      <c r="I496" s="3"/>
      <c r="J496" s="43">
        <f t="shared" ca="1" si="40"/>
        <v>-1.1893008444895186</v>
      </c>
      <c r="K496" s="44">
        <f t="shared" ca="1" si="31"/>
        <v>-4</v>
      </c>
      <c r="L496" s="3"/>
      <c r="M496" s="45">
        <f t="shared" ca="1" si="24"/>
        <v>39223.928856770777</v>
      </c>
      <c r="N496" s="47">
        <f t="shared" ca="1" si="25"/>
        <v>56773.439395622023</v>
      </c>
      <c r="O496" s="45">
        <f t="shared" ca="1" si="26"/>
        <v>34836.551222057962</v>
      </c>
      <c r="P496" s="47">
        <f t="shared" ca="1" si="27"/>
        <v>61160.817030334838</v>
      </c>
      <c r="Q496" s="45">
        <f t="shared" ca="1" si="28"/>
        <v>30449.173587345151</v>
      </c>
      <c r="R496" s="47">
        <f t="shared" ca="1" si="29"/>
        <v>65548.194665047646</v>
      </c>
      <c r="S496" s="73">
        <f t="shared" ca="1" si="41"/>
        <v>-1.1893008444895186</v>
      </c>
      <c r="T496" s="73"/>
      <c r="U496" s="3"/>
      <c r="V496" s="3"/>
      <c r="W496" s="3"/>
      <c r="X496" s="3"/>
    </row>
    <row r="497" spans="1:24" ht="13">
      <c r="A497" s="40">
        <v>45362</v>
      </c>
      <c r="B497" s="41">
        <f t="array" aca="1" ref="B497" ca="1">IF(AND(A497 &gt; TODAY(), A497 &lt;= TODAY() + 7),
   INDEX(calculations!B:B, MATCH(143^143, calculations!B:B)),
   IF(ISNUMBER(MATCH(A497, calculations!A:A, 0)),
      INDEX(calculations!B:B, MATCH(A497, calculations!A:A, 0)),
      ""
   )
)</f>
        <v>72198.09</v>
      </c>
      <c r="C497" s="42">
        <f t="array" aca="1" ref="C497" ca="1">IF(B497&lt;&gt;"", IF(MATCH(A497, calculations!A:A, 0), INDEX(calculations!D:D, MATCH(A497, calculations!A:A, 0)), "No Match"),"")</f>
        <v>405709693297</v>
      </c>
      <c r="D497" s="43">
        <f t="shared" ca="1" si="30"/>
        <v>6.0304582751765853E-2</v>
      </c>
      <c r="E497" s="43">
        <f t="shared" ca="1" si="22"/>
        <v>2.2614646519460283E-3</v>
      </c>
      <c r="F497" s="43">
        <f t="shared" ca="1" si="33"/>
        <v>8.8742252877506936E-2</v>
      </c>
      <c r="G497" s="42">
        <f t="shared" ca="1" si="23"/>
        <v>2.92914649505292E+16</v>
      </c>
      <c r="H497" s="41">
        <f t="shared" ca="1" si="34"/>
        <v>51703.538898068757</v>
      </c>
      <c r="I497" s="3"/>
      <c r="J497" s="43">
        <f t="shared" ca="1" si="40"/>
        <v>-0.43503719905095528</v>
      </c>
      <c r="K497" s="44">
        <f t="shared" ca="1" si="31"/>
        <v>-4</v>
      </c>
      <c r="L497" s="3"/>
      <c r="M497" s="45">
        <f t="shared" ca="1" si="24"/>
        <v>42526.961850959888</v>
      </c>
      <c r="N497" s="47">
        <f t="shared" ca="1" si="25"/>
        <v>60880.115945177626</v>
      </c>
      <c r="O497" s="45">
        <f t="shared" ca="1" si="26"/>
        <v>37938.67332740545</v>
      </c>
      <c r="P497" s="47">
        <f t="shared" ca="1" si="27"/>
        <v>65468.404468732064</v>
      </c>
      <c r="Q497" s="45">
        <f t="shared" ca="1" si="28"/>
        <v>33350.384803851026</v>
      </c>
      <c r="R497" s="47">
        <f t="shared" ca="1" si="29"/>
        <v>70056.692992286495</v>
      </c>
      <c r="S497" s="73">
        <f t="shared" ca="1" si="41"/>
        <v>-0.43503719905095528</v>
      </c>
      <c r="T497" s="73"/>
      <c r="U497" s="3"/>
      <c r="V497" s="3"/>
      <c r="W497" s="3"/>
      <c r="X497" s="3"/>
    </row>
    <row r="498" spans="1:24" ht="13">
      <c r="A498" s="40">
        <v>45369</v>
      </c>
      <c r="B498" s="41">
        <f t="array" aca="1" ref="B498" ca="1">IF(AND(A498 &gt; TODAY(), A498 &lt;= TODAY() + 7),
   INDEX(calculations!B:B, MATCH(143^143, calculations!B:B)),
   IF(ISNUMBER(MATCH(A498, calculations!A:A, 0)),
      INDEX(calculations!B:B, MATCH(A498, calculations!A:A, 0)),
      ""
   )
)</f>
        <v>67770.89</v>
      </c>
      <c r="C498" s="42">
        <f t="array" aca="1" ref="C498" ca="1">IF(B498&lt;&gt;"", IF(MATCH(A498, calculations!A:A, 0), INDEX(calculations!D:D, MATCH(A498, calculations!A:A, 0)), "No Match"),"")</f>
        <v>405957750577</v>
      </c>
      <c r="D498" s="43">
        <f t="shared" ca="1" si="30"/>
        <v>-6.1320181738879757E-2</v>
      </c>
      <c r="E498" s="43">
        <f t="shared" ca="1" si="22"/>
        <v>5.486350841083845E-3</v>
      </c>
      <c r="F498" s="43">
        <f t="shared" ca="1" si="33"/>
        <v>9.1799640982754019E-2</v>
      </c>
      <c r="G498" s="42">
        <f t="shared" ca="1" si="23"/>
        <v>2.7512118059001304E+16</v>
      </c>
      <c r="H498" s="41">
        <f t="shared" ca="1" si="34"/>
        <v>54456.130587126703</v>
      </c>
      <c r="I498" s="3"/>
      <c r="J498" s="43">
        <f t="shared" ca="1" si="40"/>
        <v>-0.31951661962689842</v>
      </c>
      <c r="K498" s="44">
        <f t="shared" ca="1" si="31"/>
        <v>-2</v>
      </c>
      <c r="L498" s="3"/>
      <c r="M498" s="45">
        <f t="shared" ca="1" si="24"/>
        <v>44458.0241127103</v>
      </c>
      <c r="N498" s="47">
        <f t="shared" ca="1" si="25"/>
        <v>64454.237061543114</v>
      </c>
      <c r="O498" s="45">
        <f t="shared" ca="1" si="26"/>
        <v>39458.970875502098</v>
      </c>
      <c r="P498" s="47">
        <f t="shared" ca="1" si="27"/>
        <v>69453.290298751308</v>
      </c>
      <c r="Q498" s="45">
        <f t="shared" ca="1" si="28"/>
        <v>34459.917638293904</v>
      </c>
      <c r="R498" s="47">
        <f t="shared" ca="1" si="29"/>
        <v>74452.343535959502</v>
      </c>
      <c r="S498" s="73">
        <f t="shared" ca="1" si="41"/>
        <v>-0.31951661962689842</v>
      </c>
      <c r="T498" s="73"/>
      <c r="U498" s="3"/>
      <c r="V498" s="3"/>
      <c r="W498" s="3"/>
      <c r="X498" s="3"/>
    </row>
    <row r="499" spans="1:24" ht="13">
      <c r="A499" s="40">
        <v>45376</v>
      </c>
      <c r="B499" s="41">
        <f t="array" aca="1" ref="B499" ca="1">IF(AND(A499 &gt; TODAY(), A499 &lt;= TODAY() + 7),
   INDEX(calculations!B:B, MATCH(143^143, calculations!B:B)),
   IF(ISNUMBER(MATCH(A499, calculations!A:A, 0)),
      INDEX(calculations!B:B, MATCH(A499, calculations!A:A, 0)),
      ""
   )
)</f>
        <v>70042.02</v>
      </c>
      <c r="C499" s="42">
        <f t="array" aca="1" ref="C499" ca="1">IF(B499&lt;&gt;"", IF(MATCH(A499, calculations!A:A, 0), INDEX(calculations!D:D, MATCH(A499, calculations!A:A, 0)), "No Match"),"")</f>
        <v>328097121682</v>
      </c>
      <c r="D499" s="43">
        <f t="shared" ca="1" si="30"/>
        <v>3.3511880986069456E-2</v>
      </c>
      <c r="E499" s="43">
        <f t="shared" ca="1" si="22"/>
        <v>4.3106718936633575E-4</v>
      </c>
      <c r="F499" s="43">
        <f t="shared" ca="1" si="33"/>
        <v>9.1804861073720018E-2</v>
      </c>
      <c r="G499" s="42">
        <f t="shared" ca="1" si="23"/>
        <v>2.298058515879308E+16</v>
      </c>
      <c r="H499" s="41">
        <f t="shared" ca="1" si="34"/>
        <v>56680.775579593996</v>
      </c>
      <c r="I499" s="3"/>
      <c r="J499" s="43">
        <f t="shared" ca="1" si="40"/>
        <v>-0.26390523821224376</v>
      </c>
      <c r="K499" s="44">
        <f t="shared" ca="1" si="31"/>
        <v>-2</v>
      </c>
      <c r="L499" s="3"/>
      <c r="M499" s="45">
        <f t="shared" ca="1" si="24"/>
        <v>46273.63412432334</v>
      </c>
      <c r="N499" s="47">
        <f t="shared" ca="1" si="25"/>
        <v>67087.917034864644</v>
      </c>
      <c r="O499" s="45">
        <f t="shared" ca="1" si="26"/>
        <v>41070.063396688005</v>
      </c>
      <c r="P499" s="47">
        <f t="shared" ca="1" si="27"/>
        <v>72291.487762499979</v>
      </c>
      <c r="Q499" s="45">
        <f t="shared" ca="1" si="28"/>
        <v>35866.492669052677</v>
      </c>
      <c r="R499" s="47">
        <f t="shared" ca="1" si="29"/>
        <v>77495.0584901353</v>
      </c>
      <c r="S499" s="73">
        <f t="shared" ca="1" si="41"/>
        <v>-0.26390523821224376</v>
      </c>
      <c r="T499" s="73"/>
      <c r="U499" s="3"/>
      <c r="V499" s="3"/>
      <c r="W499" s="3"/>
      <c r="X499" s="3"/>
    </row>
    <row r="500" spans="1:24" ht="13">
      <c r="A500" s="40">
        <v>45383</v>
      </c>
      <c r="B500" s="41">
        <f t="array" aca="1" ref="B500" ca="1">IF(AND(A500 &gt; TODAY(), A500 &lt;= TODAY() + 7),
   INDEX(calculations!B:B, MATCH(143^143, calculations!B:B)),
   IF(ISNUMBER(MATCH(A500, calculations!A:A, 0)),
      INDEX(calculations!B:B, MATCH(A500, calculations!A:A, 0)),
      ""
   )
)</f>
        <v>69791.63</v>
      </c>
      <c r="C500" s="42">
        <f t="array" aca="1" ref="C500" ca="1">IF(B500&lt;&gt;"", IF(MATCH(A500, calculations!A:A, 0), INDEX(calculations!D:D, MATCH(A500, calculations!A:A, 0)), "No Match"),"")</f>
        <v>216324625836</v>
      </c>
      <c r="D500" s="43">
        <f t="shared" ca="1" si="30"/>
        <v>-3.5748540661734115E-3</v>
      </c>
      <c r="E500" s="43">
        <f t="shared" ca="1" si="22"/>
        <v>2.664918280829169E-4</v>
      </c>
      <c r="F500" s="43">
        <f t="shared" ca="1" si="33"/>
        <v>9.2452320904935201E-2</v>
      </c>
      <c r="G500" s="42">
        <f t="shared" ca="1" si="23"/>
        <v>1.5097648246234554E+16</v>
      </c>
      <c r="H500" s="41">
        <f t="shared" ca="1" si="34"/>
        <v>58307.840562735859</v>
      </c>
      <c r="I500" s="3"/>
      <c r="J500" s="43">
        <f t="shared" ca="1" si="40"/>
        <v>-0.20467864420366694</v>
      </c>
      <c r="K500" s="44">
        <f t="shared" ca="1" si="31"/>
        <v>-2</v>
      </c>
      <c r="L500" s="3"/>
      <c r="M500" s="45">
        <f t="shared" ca="1" si="24"/>
        <v>47526.450188776151</v>
      </c>
      <c r="N500" s="47">
        <f t="shared" ca="1" si="25"/>
        <v>69089.23093669556</v>
      </c>
      <c r="O500" s="45">
        <f t="shared" ca="1" si="26"/>
        <v>42135.7550017963</v>
      </c>
      <c r="P500" s="47">
        <f t="shared" ca="1" si="27"/>
        <v>74479.926123675425</v>
      </c>
      <c r="Q500" s="45">
        <f t="shared" ca="1" si="28"/>
        <v>36745.059814816443</v>
      </c>
      <c r="R500" s="47">
        <f t="shared" ca="1" si="29"/>
        <v>79870.621310655275</v>
      </c>
      <c r="S500" s="73">
        <f t="shared" ca="1" si="41"/>
        <v>-0.20467864420366694</v>
      </c>
      <c r="T500" s="73"/>
      <c r="U500" s="3"/>
      <c r="V500" s="3"/>
      <c r="W500" s="3"/>
      <c r="X500" s="3"/>
    </row>
    <row r="501" spans="1:24" ht="13">
      <c r="A501" s="40">
        <v>45390</v>
      </c>
      <c r="B501" s="41">
        <f t="array" aca="1" ref="B501" ca="1">IF(AND(A501 &gt; TODAY(), A501 &lt;= TODAY() + 7),
   INDEX(calculations!B:B, MATCH(143^143, calculations!B:B)),
   IF(ISNUMBER(MATCH(A501, calculations!A:A, 0)),
      INDEX(calculations!B:B, MATCH(A501, calculations!A:A, 0)),
      ""
   )
)</f>
        <v>71712.800000000003</v>
      </c>
      <c r="C501" s="42">
        <f t="array" aca="1" ref="C501" ca="1">IF(B501&lt;&gt;"", IF(MATCH(A501, calculations!A:A, 0), INDEX(calculations!D:D, MATCH(A501, calculations!A:A, 0)), "No Match"),"")</f>
        <v>229427260104</v>
      </c>
      <c r="D501" s="43">
        <f t="shared" ca="1" si="30"/>
        <v>2.7527226402363696E-2</v>
      </c>
      <c r="E501" s="43">
        <f t="shared" ca="1" si="22"/>
        <v>2.1837459622157549E-4</v>
      </c>
      <c r="F501" s="43">
        <f t="shared" ca="1" si="33"/>
        <v>9.2158753459272408E-2</v>
      </c>
      <c r="G501" s="42">
        <f t="shared" ca="1" si="23"/>
        <v>1.6452871218386132E+16</v>
      </c>
      <c r="H501" s="41">
        <f t="shared" ca="1" si="34"/>
        <v>59903.496442281677</v>
      </c>
      <c r="I501" s="3"/>
      <c r="J501" s="43">
        <f t="shared" ca="1" si="40"/>
        <v>-0.2522898214303847</v>
      </c>
      <c r="K501" s="44">
        <f t="shared" ca="1" si="31"/>
        <v>-2</v>
      </c>
      <c r="L501" s="3"/>
      <c r="M501" s="45">
        <f t="shared" ca="1" si="24"/>
        <v>48862.233322336404</v>
      </c>
      <c r="N501" s="47">
        <f t="shared" ca="1" si="25"/>
        <v>70944.759562226958</v>
      </c>
      <c r="O501" s="45">
        <f t="shared" ca="1" si="26"/>
        <v>43341.60176236376</v>
      </c>
      <c r="P501" s="47">
        <f t="shared" ca="1" si="27"/>
        <v>76465.391122199595</v>
      </c>
      <c r="Q501" s="45">
        <f t="shared" ca="1" si="28"/>
        <v>37820.970202391123</v>
      </c>
      <c r="R501" s="47">
        <f t="shared" ca="1" si="29"/>
        <v>81986.022682172232</v>
      </c>
      <c r="S501" s="73">
        <f t="shared" ca="1" si="41"/>
        <v>-0.2522898214303847</v>
      </c>
      <c r="T501" s="73"/>
      <c r="U501" s="3"/>
      <c r="V501" s="3"/>
      <c r="W501" s="3"/>
      <c r="X501" s="3"/>
    </row>
    <row r="502" spans="1:24" ht="13">
      <c r="A502" s="40">
        <v>45397</v>
      </c>
      <c r="B502" s="41">
        <f t="array" aca="1" ref="B502" ca="1">IF(AND(A502 &gt; TODAY(), A502 &lt;= TODAY() + 7),
   INDEX(calculations!B:B, MATCH(143^143, calculations!B:B)),
   IF(ISNUMBER(MATCH(A502, calculations!A:A, 0)),
      INDEX(calculations!B:B, MATCH(A502, calculations!A:A, 0)),
      ""
   )
)</f>
        <v>63393.33</v>
      </c>
      <c r="C502" s="42">
        <f t="array" aca="1" ref="C502" ca="1">IF(B502&lt;&gt;"", IF(MATCH(A502, calculations!A:A, 0), INDEX(calculations!D:D, MATCH(A502, calculations!A:A, 0)), "No Match"),"")</f>
        <v>288243675431</v>
      </c>
      <c r="D502" s="43">
        <f t="shared" ca="1" si="30"/>
        <v>-0.11601094923082073</v>
      </c>
      <c r="E502" s="43">
        <f t="shared" ca="1" si="22"/>
        <v>1.6579310805565597E-2</v>
      </c>
      <c r="F502" s="43">
        <f t="shared" ca="1" si="33"/>
        <v>0.10051329614858841</v>
      </c>
      <c r="G502" s="42">
        <f t="shared" ca="1" si="23"/>
        <v>1.8272726437010276E+16</v>
      </c>
      <c r="H502" s="41">
        <f t="shared" ca="1" si="34"/>
        <v>60960.975719263253</v>
      </c>
      <c r="I502" s="3"/>
      <c r="J502" s="43">
        <f t="shared" ca="1" si="40"/>
        <v>1</v>
      </c>
      <c r="K502" s="44" t="str">
        <f t="shared" ca="1" si="31"/>
        <v/>
      </c>
      <c r="L502" s="3"/>
      <c r="M502" s="45">
        <f t="shared" ca="1" si="24"/>
        <v>48706.198507308829</v>
      </c>
      <c r="N502" s="47">
        <f t="shared" ca="1" si="25"/>
        <v>73215.752931217678</v>
      </c>
      <c r="O502" s="45">
        <f t="shared" ca="1" si="26"/>
        <v>42578.80990133161</v>
      </c>
      <c r="P502" s="47">
        <f t="shared" ca="1" si="27"/>
        <v>79343.141537194897</v>
      </c>
      <c r="Q502" s="45">
        <f t="shared" ca="1" si="28"/>
        <v>36451.421295354397</v>
      </c>
      <c r="R502" s="47">
        <f t="shared" ca="1" si="29"/>
        <v>85470.530143172102</v>
      </c>
      <c r="S502" s="73">
        <f t="shared" ca="1" si="41"/>
        <v>1</v>
      </c>
      <c r="T502" s="73"/>
      <c r="U502" s="3"/>
      <c r="V502" s="3"/>
      <c r="W502" s="3"/>
      <c r="X502" s="3"/>
    </row>
    <row r="503" spans="1:24" ht="13">
      <c r="A503" s="40">
        <v>45404</v>
      </c>
      <c r="B503" s="41">
        <f t="array" aca="1" ref="B503" ca="1">IF(AND(A503 &gt; TODAY(), A503 &lt;= TODAY() + 7),
   INDEX(calculations!B:B, MATCH(143^143, calculations!B:B)),
   IF(ISNUMBER(MATCH(A503, calculations!A:A, 0)),
      INDEX(calculations!B:B, MATCH(A503, calculations!A:A, 0)),
      ""
   )
)</f>
        <v>66944.600000000006</v>
      </c>
      <c r="C503" s="42">
        <f t="array" aca="1" ref="C503" ca="1">IF(B503&lt;&gt;"", IF(MATCH(A503, calculations!A:A, 0), INDEX(calculations!D:D, MATCH(A503, calculations!A:A, 0)), "No Match"),"")</f>
        <v>257889555865</v>
      </c>
      <c r="D503" s="43">
        <f t="shared" ca="1" si="30"/>
        <v>5.6019615943822543E-2</v>
      </c>
      <c r="E503" s="43">
        <f t="shared" ca="1" si="22"/>
        <v>1.872283604375143E-3</v>
      </c>
      <c r="F503" s="43">
        <f t="shared" ca="1" si="33"/>
        <v>9.4466443901290928E-2</v>
      </c>
      <c r="G503" s="42">
        <f t="shared" ca="1" si="23"/>
        <v>1.726431316156008E+16</v>
      </c>
      <c r="H503" s="41">
        <f t="shared" ca="1" si="34"/>
        <v>62812.551961573299</v>
      </c>
      <c r="I503" s="3"/>
      <c r="J503" s="43">
        <f t="shared" ca="1" si="40"/>
        <v>1</v>
      </c>
      <c r="K503" s="44" t="str">
        <f t="shared" ca="1" si="31"/>
        <v/>
      </c>
      <c r="L503" s="3"/>
      <c r="M503" s="45">
        <f t="shared" ca="1" si="24"/>
        <v>50945.195129223524</v>
      </c>
      <c r="N503" s="47">
        <f t="shared" ca="1" si="25"/>
        <v>74679.908793923067</v>
      </c>
      <c r="O503" s="45">
        <f t="shared" ca="1" si="26"/>
        <v>45011.516713048644</v>
      </c>
      <c r="P503" s="47">
        <f t="shared" ca="1" si="27"/>
        <v>80613.587210097961</v>
      </c>
      <c r="Q503" s="45">
        <f t="shared" ca="1" si="28"/>
        <v>39077.838296873757</v>
      </c>
      <c r="R503" s="47">
        <f t="shared" ca="1" si="29"/>
        <v>86547.265626272841</v>
      </c>
      <c r="S503" s="73">
        <f t="shared" ca="1" si="41"/>
        <v>1</v>
      </c>
      <c r="T503" s="73"/>
      <c r="U503" s="3"/>
      <c r="V503" s="3"/>
      <c r="W503" s="3"/>
      <c r="X503" s="3"/>
    </row>
    <row r="504" spans="1:24" ht="13">
      <c r="A504" s="40">
        <v>45411</v>
      </c>
      <c r="B504" s="41">
        <f t="array" aca="1" ref="B504" ca="1">IF(AND(A504 &gt; TODAY(), A504 &lt;= TODAY() + 7),
   INDEX(calculations!B:B, MATCH(143^143, calculations!B:B)),
   IF(ISNUMBER(MATCH(A504, calculations!A:A, 0)),
      INDEX(calculations!B:B, MATCH(A504, calculations!A:A, 0)),
      ""
   )
)</f>
        <v>63908.39</v>
      </c>
      <c r="C504" s="42">
        <f t="array" aca="1" ref="C504" ca="1">IF(B504&lt;&gt;"", IF(MATCH(A504, calculations!A:A, 0), INDEX(calculations!D:D, MATCH(A504, calculations!A:A, 0)), "No Match"),"")</f>
        <v>176031088174</v>
      </c>
      <c r="D504" s="43">
        <f t="shared" ca="1" si="30"/>
        <v>-4.5354068886810976E-2</v>
      </c>
      <c r="E504" s="43">
        <f t="shared" ca="1" si="22"/>
        <v>3.3760506732462541E-3</v>
      </c>
      <c r="F504" s="43">
        <f t="shared" ca="1" si="33"/>
        <v>9.2585580351874155E-2</v>
      </c>
      <c r="G504" s="42">
        <f t="shared" ca="1" si="23"/>
        <v>1.124986343514838E+16</v>
      </c>
      <c r="H504" s="41">
        <f t="shared" ca="1" si="34"/>
        <v>63803.159701785029</v>
      </c>
      <c r="I504" s="3"/>
      <c r="J504" s="43">
        <f t="shared" ca="1" si="40"/>
        <v>1</v>
      </c>
      <c r="K504" s="44" t="str">
        <f t="shared" ca="1" si="31"/>
        <v/>
      </c>
      <c r="L504" s="3"/>
      <c r="M504" s="45">
        <f t="shared" ca="1" si="24"/>
        <v>51988.654563238881</v>
      </c>
      <c r="N504" s="47">
        <f t="shared" ca="1" si="25"/>
        <v>75617.664840331185</v>
      </c>
      <c r="O504" s="45">
        <f t="shared" ca="1" si="26"/>
        <v>46081.401993965796</v>
      </c>
      <c r="P504" s="47">
        <f t="shared" ca="1" si="27"/>
        <v>81524.91740960427</v>
      </c>
      <c r="Q504" s="45">
        <f t="shared" ca="1" si="28"/>
        <v>40174.149424692725</v>
      </c>
      <c r="R504" s="47">
        <f t="shared" ca="1" si="29"/>
        <v>87432.169978877326</v>
      </c>
      <c r="S504" s="73">
        <f t="shared" ca="1" si="41"/>
        <v>1</v>
      </c>
      <c r="T504" s="73"/>
      <c r="U504" s="3"/>
      <c r="V504" s="3"/>
      <c r="W504" s="3"/>
      <c r="X504" s="3"/>
    </row>
    <row r="505" spans="1:24" ht="13">
      <c r="A505" s="40">
        <v>45418</v>
      </c>
      <c r="B505" s="41">
        <f t="array" aca="1" ref="B505" ca="1">IF(AND(A505 &gt; TODAY(), A505 &lt;= TODAY() + 7),
   INDEX(calculations!B:B, MATCH(143^143, calculations!B:B)),
   IF(ISNUMBER(MATCH(A505, calculations!A:A, 0)),
      INDEX(calculations!B:B, MATCH(A505, calculations!A:A, 0)),
      ""
   )
)</f>
        <v>63228.1</v>
      </c>
      <c r="C505" s="42">
        <f t="array" aca="1" ref="C505" ca="1">IF(B505&lt;&gt;"", IF(MATCH(A505, calculations!A:A, 0), INDEX(calculations!D:D, MATCH(A505, calculations!A:A, 0)), "No Match"),"")</f>
        <v>217717011805</v>
      </c>
      <c r="D505" s="43">
        <f t="shared" ca="1" si="30"/>
        <v>-1.0644768237785381E-2</v>
      </c>
      <c r="E505" s="43">
        <f t="shared" ca="1" si="22"/>
        <v>5.4730223703255965E-4</v>
      </c>
      <c r="F505" s="43">
        <f t="shared" ca="1" si="33"/>
        <v>9.2090120913739401E-2</v>
      </c>
      <c r="G505" s="42">
        <f t="shared" ca="1" si="23"/>
        <v>1.376583299410772E+16</v>
      </c>
      <c r="H505" s="41">
        <f t="shared" ca="1" si="34"/>
        <v>64675.698853651193</v>
      </c>
      <c r="I505" s="3"/>
      <c r="J505" s="43">
        <f t="shared" ca="1" si="40"/>
        <v>1</v>
      </c>
      <c r="K505" s="44" t="str">
        <f t="shared" ca="1" si="31"/>
        <v/>
      </c>
      <c r="L505" s="3"/>
      <c r="M505" s="45">
        <f t="shared" ca="1" si="24"/>
        <v>52763.712998424518</v>
      </c>
      <c r="N505" s="47">
        <f t="shared" ca="1" si="25"/>
        <v>76587.68470887786</v>
      </c>
      <c r="O505" s="45">
        <f t="shared" ca="1" si="26"/>
        <v>46807.720070811185</v>
      </c>
      <c r="P505" s="47">
        <f t="shared" ca="1" si="27"/>
        <v>82543.677636491193</v>
      </c>
      <c r="Q505" s="45">
        <f t="shared" ca="1" si="28"/>
        <v>40851.727143197852</v>
      </c>
      <c r="R505" s="47">
        <f t="shared" ca="1" si="29"/>
        <v>88499.670564104541</v>
      </c>
      <c r="S505" s="73">
        <f t="shared" ca="1" si="41"/>
        <v>1</v>
      </c>
      <c r="T505" s="73"/>
      <c r="U505" s="3"/>
      <c r="V505" s="3"/>
      <c r="W505" s="3"/>
      <c r="X505" s="3"/>
    </row>
    <row r="506" spans="1:24" ht="13">
      <c r="A506" s="40">
        <v>45425</v>
      </c>
      <c r="B506" s="41">
        <f t="array" aca="1" ref="B506" ca="1">IF(AND(A506 &gt; TODAY(), A506 &lt;= TODAY() + 7),
   INDEX(calculations!B:B, MATCH(143^143, calculations!B:B)),
   IF(ISNUMBER(MATCH(A506, calculations!A:A, 0)),
      INDEX(calculations!B:B, MATCH(A506, calculations!A:A, 0)),
      ""
   )
)</f>
        <v>62886.94</v>
      </c>
      <c r="C506" s="42">
        <f t="array" aca="1" ref="C506" ca="1">IF(B506&lt;&gt;"", IF(MATCH(A506, calculations!A:A, 0), INDEX(calculations!D:D, MATCH(A506, calculations!A:A, 0)), "No Match"),"")</f>
        <v>161617857129</v>
      </c>
      <c r="D506" s="43">
        <f t="shared" ca="1" si="30"/>
        <v>-5.3957022273324077E-3</v>
      </c>
      <c r="E506" s="43">
        <f t="shared" ca="1" si="22"/>
        <v>3.2925646967848777E-4</v>
      </c>
      <c r="F506" s="43">
        <f t="shared" ca="1" si="33"/>
        <v>9.1798655902819146E-2</v>
      </c>
      <c r="G506" s="42">
        <f t="shared" ca="1" si="23"/>
        <v>1.0163652484199996E+16</v>
      </c>
      <c r="H506" s="41">
        <f t="shared" ca="1" si="34"/>
        <v>65434.793115246721</v>
      </c>
      <c r="I506" s="3"/>
      <c r="J506" s="43">
        <f t="shared" ca="1" si="40"/>
        <v>1</v>
      </c>
      <c r="K506" s="44" t="str">
        <f t="shared" ca="1" si="31"/>
        <v/>
      </c>
      <c r="L506" s="3"/>
      <c r="M506" s="45">
        <f t="shared" ca="1" si="24"/>
        <v>53421.141000729331</v>
      </c>
      <c r="N506" s="47">
        <f t="shared" ca="1" si="25"/>
        <v>77448.445229764096</v>
      </c>
      <c r="O506" s="45">
        <f t="shared" ca="1" si="26"/>
        <v>47414.314943470643</v>
      </c>
      <c r="P506" s="47">
        <f t="shared" ca="1" si="27"/>
        <v>83455.271287022799</v>
      </c>
      <c r="Q506" s="45">
        <f t="shared" ca="1" si="28"/>
        <v>41407.488886211948</v>
      </c>
      <c r="R506" s="47">
        <f t="shared" ca="1" si="29"/>
        <v>89462.097344281501</v>
      </c>
      <c r="S506" s="73">
        <f t="shared" ca="1" si="41"/>
        <v>1</v>
      </c>
      <c r="T506" s="73"/>
      <c r="U506" s="3"/>
      <c r="V506" s="3"/>
      <c r="W506" s="3"/>
      <c r="X506" s="3"/>
    </row>
    <row r="507" spans="1:24" ht="13">
      <c r="A507" s="40">
        <v>45432</v>
      </c>
      <c r="B507" s="41">
        <f t="array" aca="1" ref="B507" ca="1">IF(AND(A507 &gt; TODAY(), A507 &lt;= TODAY() + 7),
   INDEX(calculations!B:B, MATCH(143^143, calculations!B:B)),
   IF(ISNUMBER(MATCH(A507, calculations!A:A, 0)),
      INDEX(calculations!B:B, MATCH(A507, calculations!A:A, 0)),
      ""
   )
)</f>
        <v>71202.2</v>
      </c>
      <c r="C507" s="42">
        <f t="array" aca="1" ref="C507" ca="1">IF(B507&lt;&gt;"", IF(MATCH(A507, calculations!A:A, 0), INDEX(calculations!D:D, MATCH(A507, calculations!A:A, 0)), "No Match"),"")</f>
        <v>191456349028</v>
      </c>
      <c r="D507" s="43">
        <f t="shared" ca="1" si="30"/>
        <v>0.1322255463535035</v>
      </c>
      <c r="E507" s="43">
        <f t="shared" ca="1" si="22"/>
        <v>1.4274472280415671E-2</v>
      </c>
      <c r="F507" s="43">
        <f t="shared" ca="1" si="33"/>
        <v>8.7530034848765204E-2</v>
      </c>
      <c r="G507" s="42">
        <f t="shared" ca="1" si="23"/>
        <v>1.3632113254761462E+16</v>
      </c>
      <c r="H507" s="41">
        <f t="shared" ca="1" si="34"/>
        <v>66423.929961017493</v>
      </c>
      <c r="I507" s="3"/>
      <c r="J507" s="43">
        <f t="shared" ca="1" si="40"/>
        <v>1</v>
      </c>
      <c r="K507" s="44" t="str">
        <f t="shared" ca="1" si="31"/>
        <v/>
      </c>
      <c r="L507" s="3"/>
      <c r="M507" s="45">
        <f t="shared" ca="1" si="24"/>
        <v>54795.752152457891</v>
      </c>
      <c r="N507" s="47">
        <f t="shared" ca="1" si="25"/>
        <v>78052.107769577095</v>
      </c>
      <c r="O507" s="45">
        <f t="shared" ca="1" si="26"/>
        <v>48981.663248178091</v>
      </c>
      <c r="P507" s="47">
        <f t="shared" ca="1" si="27"/>
        <v>83866.196673856888</v>
      </c>
      <c r="Q507" s="45">
        <f t="shared" ca="1" si="28"/>
        <v>43167.57434389829</v>
      </c>
      <c r="R507" s="47">
        <f t="shared" ca="1" si="29"/>
        <v>89680.285578136696</v>
      </c>
      <c r="S507" s="73">
        <f t="shared" ca="1" si="41"/>
        <v>1</v>
      </c>
      <c r="T507" s="73"/>
      <c r="U507" s="3"/>
      <c r="V507" s="3"/>
      <c r="W507" s="3"/>
      <c r="X507" s="3"/>
    </row>
    <row r="508" spans="1:24" ht="13">
      <c r="A508" s="40">
        <v>45439</v>
      </c>
      <c r="B508" s="41">
        <f t="array" aca="1" ref="B508" ca="1">IF(AND(A508 &gt; TODAY(), A508 &lt;= TODAY() + 7),
   INDEX(calculations!B:B, MATCH(143^143, calculations!B:B)),
   IF(ISNUMBER(MATCH(A508, calculations!A:A, 0)),
      INDEX(calculations!B:B, MATCH(A508, calculations!A:A, 0)),
      ""
   )
)</f>
        <v>69347.820000000007</v>
      </c>
      <c r="C508" s="42">
        <f t="array" aca="1" ref="C508" ca="1">IF(B508&lt;&gt;"", IF(MATCH(A508, calculations!A:A, 0), INDEX(calculations!D:D, MATCH(A508, calculations!A:A, 0)), "No Match"),"")</f>
        <v>225779718034</v>
      </c>
      <c r="D508" s="43">
        <f t="shared" ca="1" si="30"/>
        <v>-2.6043858195392702E-2</v>
      </c>
      <c r="E508" s="43">
        <f t="shared" ca="1" si="22"/>
        <v>1.5049419697518134E-3</v>
      </c>
      <c r="F508" s="43">
        <f t="shared" ca="1" si="33"/>
        <v>8.8703426697157681E-2</v>
      </c>
      <c r="G508" s="42">
        <f t="shared" ca="1" si="23"/>
        <v>1.5657331245872588E+16</v>
      </c>
      <c r="H508" s="41">
        <f t="shared" ca="1" si="34"/>
        <v>67476.60613211368</v>
      </c>
      <c r="I508" s="3"/>
      <c r="J508" s="43">
        <f t="shared" ca="1" si="40"/>
        <v>1</v>
      </c>
      <c r="K508" s="44" t="str">
        <f t="shared" ca="1" si="31"/>
        <v/>
      </c>
      <c r="L508" s="3"/>
      <c r="M508" s="45">
        <f t="shared" ca="1" si="24"/>
        <v>55505.793760487824</v>
      </c>
      <c r="N508" s="47">
        <f t="shared" ca="1" si="25"/>
        <v>79447.418503739536</v>
      </c>
      <c r="O508" s="45">
        <f t="shared" ca="1" si="26"/>
        <v>49520.387574674904</v>
      </c>
      <c r="P508" s="47">
        <f t="shared" ca="1" si="27"/>
        <v>85432.82468955245</v>
      </c>
      <c r="Q508" s="45">
        <f t="shared" ca="1" si="28"/>
        <v>43534.981388861968</v>
      </c>
      <c r="R508" s="47">
        <f t="shared" ca="1" si="29"/>
        <v>91418.230875365392</v>
      </c>
      <c r="S508" s="73">
        <f t="shared" ca="1" si="41"/>
        <v>1</v>
      </c>
      <c r="T508" s="73"/>
      <c r="U508" s="3"/>
      <c r="V508" s="3"/>
      <c r="W508" s="3"/>
      <c r="X508" s="3"/>
    </row>
    <row r="509" spans="1:24" ht="13">
      <c r="A509" s="40">
        <v>45446</v>
      </c>
      <c r="B509" s="41">
        <f t="array" aca="1" ref="B509" ca="1">IF(AND(A509 &gt; TODAY(), A509 &lt;= TODAY() + 7),
   INDEX(calculations!B:B, MATCH(143^143, calculations!B:B)),
   IF(ISNUMBER(MATCH(A509, calculations!A:A, 0)),
      INDEX(calculations!B:B, MATCH(A509, calculations!A:A, 0)),
      ""
   )
)</f>
        <v>68833.3</v>
      </c>
      <c r="C509" s="42">
        <f t="array" aca="1" ref="C509" ca="1">IF(B509&lt;&gt;"", IF(MATCH(A509, calculations!A:A, 0), INDEX(calculations!D:D, MATCH(A509, calculations!A:A, 0)), "No Match"),"")</f>
        <v>170949409910</v>
      </c>
      <c r="D509" s="43">
        <f t="shared" ca="1" si="30"/>
        <v>-7.4194113095408624E-3</v>
      </c>
      <c r="E509" s="43">
        <f t="shared" ca="1" si="22"/>
        <v>4.0679399324368074E-4</v>
      </c>
      <c r="F509" s="43">
        <f t="shared" ca="1" si="33"/>
        <v>8.8677228227154889E-2</v>
      </c>
      <c r="G509" s="42">
        <f t="shared" ca="1" si="23"/>
        <v>1.1767012017158004E+16</v>
      </c>
      <c r="H509" s="41">
        <f t="shared" ca="1" si="34"/>
        <v>68117.668151334001</v>
      </c>
      <c r="I509" s="3"/>
      <c r="J509" s="43">
        <f t="shared" ca="1" si="40"/>
        <v>1</v>
      </c>
      <c r="K509" s="44" t="str">
        <f t="shared" ca="1" si="31"/>
        <v/>
      </c>
      <c r="L509" s="3"/>
      <c r="M509" s="45">
        <f t="shared" ca="1" si="24"/>
        <v>56036.69614141911</v>
      </c>
      <c r="N509" s="47">
        <f t="shared" ca="1" si="25"/>
        <v>80198.640161248884</v>
      </c>
      <c r="O509" s="45">
        <f t="shared" ca="1" si="26"/>
        <v>49996.210136461668</v>
      </c>
      <c r="P509" s="47">
        <f t="shared" ca="1" si="27"/>
        <v>86239.126166206348</v>
      </c>
      <c r="Q509" s="45">
        <f t="shared" ca="1" si="28"/>
        <v>43955.724131504219</v>
      </c>
      <c r="R509" s="47">
        <f t="shared" ca="1" si="29"/>
        <v>92279.612171163782</v>
      </c>
      <c r="S509" s="73">
        <f t="shared" ca="1" si="41"/>
        <v>1</v>
      </c>
      <c r="T509" s="73"/>
      <c r="U509" s="3"/>
      <c r="V509" s="3"/>
      <c r="W509" s="3"/>
      <c r="X509" s="3"/>
    </row>
    <row r="510" spans="1:24" ht="13">
      <c r="A510" s="40">
        <v>45453</v>
      </c>
      <c r="B510" s="41">
        <f t="array" aca="1" ref="B510" ca="1">IF(AND(A510 &gt; TODAY(), A510 &lt;= TODAY() + 7),
   INDEX(calculations!B:B, MATCH(143^143, calculations!B:B)),
   IF(ISNUMBER(MATCH(A510, calculations!A:A, 0)),
      INDEX(calculations!B:B, MATCH(A510, calculations!A:A, 0)),
      ""
   )
)</f>
        <v>69465.94</v>
      </c>
      <c r="C510" s="42">
        <f t="array" aca="1" ref="C510" ca="1">IF(B510&lt;&gt;"", IF(MATCH(A510, calculations!A:A, 0), INDEX(calculations!D:D, MATCH(A510, calculations!A:A, 0)), "No Match"),"")</f>
        <v>265314017151</v>
      </c>
      <c r="D510" s="43">
        <f t="shared" ca="1" si="30"/>
        <v>9.190900334576424E-3</v>
      </c>
      <c r="E510" s="43">
        <f t="shared" ca="1" si="22"/>
        <v>1.2665221313158204E-5</v>
      </c>
      <c r="F510" s="43">
        <f t="shared" ca="1" si="33"/>
        <v>5.9650110447319299E-2</v>
      </c>
      <c r="G510" s="42">
        <f t="shared" ca="1" si="23"/>
        <v>1.8430287596570336E+16</v>
      </c>
      <c r="H510" s="41">
        <f t="shared" ca="1" si="34"/>
        <v>68221.095268947392</v>
      </c>
      <c r="I510" s="3"/>
      <c r="J510" s="43">
        <f t="shared" ca="1" si="40"/>
        <v>1</v>
      </c>
      <c r="K510" s="44" t="str">
        <f t="shared" ca="1" si="31"/>
        <v/>
      </c>
      <c r="L510" s="3"/>
      <c r="M510" s="45">
        <f t="shared" ca="1" si="24"/>
        <v>60082.303533687787</v>
      </c>
      <c r="N510" s="47">
        <f t="shared" ca="1" si="25"/>
        <v>76359.88700420699</v>
      </c>
      <c r="O510" s="45">
        <f t="shared" ca="1" si="26"/>
        <v>56012.907666057981</v>
      </c>
      <c r="P510" s="47">
        <f t="shared" ca="1" si="27"/>
        <v>80429.282871836796</v>
      </c>
      <c r="Q510" s="45">
        <f t="shared" ca="1" si="28"/>
        <v>51943.511798428175</v>
      </c>
      <c r="R510" s="47">
        <f t="shared" ca="1" si="29"/>
        <v>84498.678739466603</v>
      </c>
      <c r="S510" s="73">
        <f t="shared" ca="1" si="41"/>
        <v>1</v>
      </c>
      <c r="T510" s="73"/>
      <c r="U510" s="3"/>
      <c r="V510" s="3"/>
      <c r="W510" s="3"/>
      <c r="X510" s="3"/>
    </row>
    <row r="511" spans="1:24" ht="13">
      <c r="A511" s="40">
        <v>45460</v>
      </c>
      <c r="B511" s="41">
        <f t="array" aca="1" ref="B511" ca="1">IF(AND(A511 &gt; TODAY(), A511 &lt;= TODAY() + 7),
   INDEX(calculations!B:B, MATCH(143^143, calculations!B:B)),
   IF(ISNUMBER(MATCH(A511, calculations!A:A, 0)),
      INDEX(calculations!B:B, MATCH(A511, calculations!A:A, 0)),
      ""
   )
)</f>
        <v>66483.88</v>
      </c>
      <c r="C511" s="42">
        <f t="array" aca="1" ref="C511" ca="1">IF(B511&lt;&gt;"", IF(MATCH(A511, calculations!A:A, 0), INDEX(calculations!D:D, MATCH(A511, calculations!A:A, 0)), "No Match"),"")</f>
        <v>175973271622</v>
      </c>
      <c r="D511" s="43">
        <f t="shared" ca="1" si="30"/>
        <v>-4.2928376122168613E-2</v>
      </c>
      <c r="E511" s="43">
        <f t="shared" ca="1" si="22"/>
        <v>3.1000507617408948E-3</v>
      </c>
      <c r="F511" s="43">
        <f t="shared" ca="1" si="33"/>
        <v>5.8398583905256783E-2</v>
      </c>
      <c r="G511" s="42">
        <f t="shared" ca="1" si="23"/>
        <v>1.1699385873724454E+16</v>
      </c>
      <c r="H511" s="41">
        <f t="shared" ca="1" si="34"/>
        <v>67641.410266198785</v>
      </c>
      <c r="I511" s="3"/>
      <c r="J511" s="43">
        <f t="shared" ca="1" si="40"/>
        <v>1</v>
      </c>
      <c r="K511" s="44" t="str">
        <f t="shared" ca="1" si="31"/>
        <v/>
      </c>
      <c r="L511" s="3"/>
      <c r="M511" s="45">
        <f t="shared" ca="1" si="24"/>
        <v>59741.085120397773</v>
      </c>
      <c r="N511" s="47">
        <f t="shared" ca="1" si="25"/>
        <v>75541.735411999791</v>
      </c>
      <c r="O511" s="45">
        <f t="shared" ca="1" si="26"/>
        <v>55790.92254749727</v>
      </c>
      <c r="P511" s="47">
        <f t="shared" ca="1" si="27"/>
        <v>79491.897984900308</v>
      </c>
      <c r="Q511" s="45">
        <f t="shared" ca="1" si="28"/>
        <v>51840.759974596753</v>
      </c>
      <c r="R511" s="47">
        <f t="shared" ca="1" si="29"/>
        <v>83442.060557800811</v>
      </c>
      <c r="S511" s="73">
        <f t="shared" ca="1" si="41"/>
        <v>1</v>
      </c>
      <c r="T511" s="73"/>
      <c r="U511" s="3"/>
      <c r="V511" s="3"/>
      <c r="W511" s="3"/>
      <c r="X511" s="3"/>
    </row>
    <row r="512" spans="1:24" ht="13">
      <c r="A512" s="40">
        <v>45467</v>
      </c>
      <c r="B512" s="41">
        <f t="array" aca="1" ref="B512" ca="1">IF(AND(A512 &gt; TODAY(), A512 &lt;= TODAY() + 7),
   INDEX(calculations!B:B, MATCH(143^143, calculations!B:B)),
   IF(ISNUMBER(MATCH(A512, calculations!A:A, 0)),
      INDEX(calculations!B:B, MATCH(A512, calculations!A:A, 0)),
      ""
   )
)</f>
        <v>60258.96</v>
      </c>
      <c r="C512" s="42">
        <f t="array" aca="1" ref="C512" ca="1">IF(B512&lt;&gt;"", IF(MATCH(A512, calculations!A:A, 0), INDEX(calculations!D:D, MATCH(A512, calculations!A:A, 0)), "No Match"),"")</f>
        <v>163449015388</v>
      </c>
      <c r="D512" s="43">
        <f t="shared" ca="1" si="30"/>
        <v>-9.3630516149177889E-2</v>
      </c>
      <c r="E512" s="43">
        <f t="shared" ca="1" si="22"/>
        <v>1.1316755357637666E-2</v>
      </c>
      <c r="F512" s="43">
        <f t="shared" ca="1" si="33"/>
        <v>6.1387246822615142E-2</v>
      </c>
      <c r="G512" s="42">
        <f t="shared" ca="1" si="23"/>
        <v>9849267680304876</v>
      </c>
      <c r="H512" s="41">
        <f t="shared" ca="1" si="34"/>
        <v>67231.010419374914</v>
      </c>
      <c r="I512" s="3"/>
      <c r="J512" s="43">
        <f t="shared" ca="1" si="40"/>
        <v>1</v>
      </c>
      <c r="K512" s="44" t="str">
        <f t="shared" ca="1" si="31"/>
        <v/>
      </c>
      <c r="L512" s="3"/>
      <c r="M512" s="45">
        <f t="shared" ca="1" si="24"/>
        <v>58976.757157878958</v>
      </c>
      <c r="N512" s="47">
        <f t="shared" ca="1" si="25"/>
        <v>75485.263680870863</v>
      </c>
      <c r="O512" s="45">
        <f t="shared" ca="1" si="26"/>
        <v>54849.630527130983</v>
      </c>
      <c r="P512" s="47">
        <f t="shared" ca="1" si="27"/>
        <v>79612.390311618859</v>
      </c>
      <c r="Q512" s="45">
        <f t="shared" ca="1" si="28"/>
        <v>50722.503896383001</v>
      </c>
      <c r="R512" s="47">
        <f t="shared" ca="1" si="29"/>
        <v>83739.516942366827</v>
      </c>
      <c r="S512" s="73">
        <f t="shared" ca="1" si="41"/>
        <v>1</v>
      </c>
      <c r="T512" s="73"/>
      <c r="U512" s="3"/>
      <c r="V512" s="3"/>
      <c r="W512" s="3"/>
      <c r="X512" s="3"/>
    </row>
    <row r="513" spans="1:24" ht="13">
      <c r="A513" s="40">
        <v>45474</v>
      </c>
      <c r="B513" s="41">
        <f t="array" aca="1" ref="B513" ca="1">IF(AND(A513 &gt; TODAY(), A513 &lt;= TODAY() + 7),
   INDEX(calculations!B:B, MATCH(143^143, calculations!B:B)),
   IF(ISNUMBER(MATCH(A513, calculations!A:A, 0)),
      INDEX(calculations!B:B, MATCH(A513, calculations!A:A, 0)),
      ""
   )
)</f>
        <v>62835.4</v>
      </c>
      <c r="C513" s="42">
        <f t="array" aca="1" ref="C513" ca="1">IF(B513&lt;&gt;"", IF(MATCH(A513, calculations!A:A, 0), INDEX(calculations!D:D, MATCH(A513, calculations!A:A, 0)), "No Match"),"")</f>
        <v>171030093873</v>
      </c>
      <c r="D513" s="43">
        <f t="shared" ca="1" si="30"/>
        <v>4.2756131204388564E-2</v>
      </c>
      <c r="E513" s="43">
        <f t="shared" ref="E513:E578" ca="1" si="42">IF(D513&lt;&gt;"",(D513-$T$2)^2,"")</f>
        <v>9.0038451183446289E-4</v>
      </c>
      <c r="F513" s="43">
        <f t="shared" ca="1" si="33"/>
        <v>6.1899578587084871E-2</v>
      </c>
      <c r="G513" s="42">
        <f t="shared" ref="G513:G578" ca="1" si="43">IF(C513&lt;&gt;"",B513*C513,"")</f>
        <v>1.0746744360547504E+16</v>
      </c>
      <c r="H513" s="41">
        <f t="shared" ca="1" si="34"/>
        <v>66655.967784352775</v>
      </c>
      <c r="I513" s="3"/>
      <c r="J513" s="43">
        <f t="shared" ca="1" si="40"/>
        <v>1</v>
      </c>
      <c r="K513" s="44" t="str">
        <f t="shared" ca="1" si="31"/>
        <v/>
      </c>
      <c r="L513" s="3"/>
      <c r="M513" s="45">
        <f t="shared" ref="M513:M578" ca="1" si="44">IF(H513&lt;&gt;"",H513*(1-(F513*2)),"")</f>
        <v>58404.015152021289</v>
      </c>
      <c r="N513" s="47">
        <f t="shared" ref="N513:N578" ca="1" si="45">IF(H513&lt;&gt;"",H513*(1+(F513*2)),"")</f>
        <v>74907.920416684254</v>
      </c>
      <c r="O513" s="45">
        <f t="shared" ref="O513:O578" ca="1" si="46">IF(H513&lt;&gt;"",H513*(1-(F513*3)),"")</f>
        <v>54278.03883585555</v>
      </c>
      <c r="P513" s="47">
        <f t="shared" ref="P513:P578" ca="1" si="47">IF(H513&lt;&gt;"",H513*(1+(F513*3)),"")</f>
        <v>79033.89673285</v>
      </c>
      <c r="Q513" s="45">
        <f t="shared" ref="Q513:Q578" ca="1" si="48">IF(H513&lt;&gt;"",H513*(1-(F513*4)),"")</f>
        <v>50152.062519689811</v>
      </c>
      <c r="R513" s="47">
        <f t="shared" ref="R513:R578" ca="1" si="49">IF(H513&lt;&gt;"",H513*(1+(F513*4)),"")</f>
        <v>83159.873049015747</v>
      </c>
      <c r="S513" s="73">
        <f t="shared" ca="1" si="41"/>
        <v>1</v>
      </c>
      <c r="T513" s="73"/>
      <c r="U513" s="3"/>
      <c r="V513" s="3"/>
      <c r="W513" s="3"/>
      <c r="X513" s="3"/>
    </row>
    <row r="514" spans="1:24" ht="13">
      <c r="A514" s="40">
        <v>45481</v>
      </c>
      <c r="B514" s="41">
        <f t="array" aca="1" ref="B514" ca="1">IF(AND(A514 &gt; TODAY(), A514 &lt;= TODAY() + 7),
   INDEX(calculations!B:B, MATCH(143^143, calculations!B:B)),
   IF(ISNUMBER(MATCH(A514, calculations!A:A, 0)),
      INDEX(calculations!B:B, MATCH(A514, calculations!A:A, 0)),
      ""
   )
)</f>
        <v>56691.91</v>
      </c>
      <c r="C514" s="42">
        <f t="array" aca="1" ref="C514" ca="1">IF(B514&lt;&gt;"", IF(MATCH(A514, calculations!A:A, 0), INDEX(calculations!D:D, MATCH(A514, calculations!A:A, 0)), "No Match"),"")</f>
        <v>213107531443</v>
      </c>
      <c r="D514" s="43">
        <f t="shared" ref="D514:D577" ca="1" si="50">IF(B514&lt;&gt;"",(B514-B513)/B513,"")</f>
        <v>-9.7771160842455018E-2</v>
      </c>
      <c r="E514" s="43">
        <f t="shared" ca="1" si="42"/>
        <v>1.221486584448481E-2</v>
      </c>
      <c r="F514" s="43">
        <f t="shared" ca="1" si="33"/>
        <v>6.656528428825971E-2</v>
      </c>
      <c r="G514" s="42">
        <f t="shared" ca="1" si="43"/>
        <v>1.2081472992888726E+16</v>
      </c>
      <c r="H514" s="41">
        <f t="shared" ca="1" si="34"/>
        <v>65692.504805896082</v>
      </c>
      <c r="I514" s="3"/>
      <c r="J514" s="43">
        <f t="shared" ca="1" si="40"/>
        <v>2.3671842211395546</v>
      </c>
      <c r="K514" s="44">
        <f t="shared" ref="K514:K578" ca="1" si="51">IF(J514=1,"",IF(B514="","",IF(AND(B514&lt;&gt;"",J514&lt;0),IF(AND(P514&gt;B514,B514&gt;N514),-2, IF(AND(R514&gt;B514,B514&gt;P514), -3,IF(B514&gt;R514, -4))),IF(AND(B514&lt;&gt;"",J514&gt;0),IF(AND(O514&lt;B514,B514&lt;M514),2, IF(AND(Q514&lt;B514,B514&lt;O514), 3,IF(B514&lt;Q514, 4)))))))</f>
        <v>2</v>
      </c>
      <c r="L514" s="3"/>
      <c r="M514" s="45">
        <f t="shared" ca="1" si="44"/>
        <v>56946.824289871402</v>
      </c>
      <c r="N514" s="47">
        <f t="shared" ca="1" si="45"/>
        <v>74438.185321920755</v>
      </c>
      <c r="O514" s="45">
        <f t="shared" ca="1" si="46"/>
        <v>52573.984031859058</v>
      </c>
      <c r="P514" s="47">
        <f t="shared" ca="1" si="47"/>
        <v>78811.025579933106</v>
      </c>
      <c r="Q514" s="45">
        <f t="shared" ca="1" si="48"/>
        <v>48201.143773846728</v>
      </c>
      <c r="R514" s="47">
        <f t="shared" ca="1" si="49"/>
        <v>83183.865837945443</v>
      </c>
      <c r="S514" s="73">
        <f t="shared" ca="1" si="41"/>
        <v>2.3671842211395546</v>
      </c>
      <c r="T514" s="73"/>
      <c r="U514" s="3"/>
      <c r="V514" s="3"/>
      <c r="W514" s="3"/>
      <c r="X514" s="3"/>
    </row>
    <row r="515" spans="1:24" ht="13">
      <c r="A515" s="40">
        <v>45488</v>
      </c>
      <c r="B515" s="41">
        <f t="array" aca="1" ref="B515" ca="1">IF(AND(A515 &gt; TODAY(), A515 &lt;= TODAY() + 7),
   INDEX(calculations!B:B, MATCH(143^143, calculations!B:B)),
   IF(ISNUMBER(MATCH(A515, calculations!A:A, 0)),
      INDEX(calculations!B:B, MATCH(A515, calculations!A:A, 0)),
      ""
   )
)</f>
        <v>64734.76</v>
      </c>
      <c r="C515" s="42">
        <f t="array" aca="1" ref="C515" ca="1">IF(B515&lt;&gt;"", IF(MATCH(A515, calculations!A:A, 0), INDEX(calculations!D:D, MATCH(A515, calculations!A:A, 0)), "No Match"),"")</f>
        <v>187407019962</v>
      </c>
      <c r="D515" s="43">
        <f t="shared" ca="1" si="50"/>
        <v>0.14186944839219562</v>
      </c>
      <c r="E515" s="43">
        <f t="shared" ca="1" si="42"/>
        <v>1.6671903392866064E-2</v>
      </c>
      <c r="F515" s="43">
        <f t="shared" ca="1" si="33"/>
        <v>7.7923316418968339E-2</v>
      </c>
      <c r="G515" s="42">
        <f t="shared" ca="1" si="43"/>
        <v>1.213174845955528E+16</v>
      </c>
      <c r="H515" s="41">
        <f t="shared" ca="1" si="34"/>
        <v>65147.938631309094</v>
      </c>
      <c r="I515" s="3"/>
      <c r="J515" s="43">
        <f t="shared" ca="1" si="40"/>
        <v>1</v>
      </c>
      <c r="K515" s="44" t="str">
        <f t="shared" ca="1" si="51"/>
        <v/>
      </c>
      <c r="L515" s="3"/>
      <c r="M515" s="45">
        <f t="shared" ca="1" si="44"/>
        <v>54994.851759287034</v>
      </c>
      <c r="N515" s="47">
        <f t="shared" ca="1" si="45"/>
        <v>75301.025503331155</v>
      </c>
      <c r="O515" s="45">
        <f t="shared" ca="1" si="46"/>
        <v>49918.308323276011</v>
      </c>
      <c r="P515" s="47">
        <f t="shared" ca="1" si="47"/>
        <v>80377.568939342178</v>
      </c>
      <c r="Q515" s="45">
        <f t="shared" ca="1" si="48"/>
        <v>44841.764887264981</v>
      </c>
      <c r="R515" s="47">
        <f t="shared" ca="1" si="49"/>
        <v>85454.112375353216</v>
      </c>
      <c r="S515" s="73">
        <f t="shared" ca="1" si="41"/>
        <v>1</v>
      </c>
      <c r="T515" s="73"/>
      <c r="U515" s="3"/>
      <c r="V515" s="3"/>
      <c r="W515" s="3"/>
      <c r="X515" s="3"/>
    </row>
    <row r="516" spans="1:24" ht="13">
      <c r="A516" s="40">
        <v>45495</v>
      </c>
      <c r="B516" s="41">
        <f t="array" aca="1" ref="B516" ca="1">IF(AND(A516 &gt; TODAY(), A516 &lt;= TODAY() + 7),
   INDEX(calculations!B:B, MATCH(143^143, calculations!B:B)),
   IF(ISNUMBER(MATCH(A516, calculations!A:A, 0)),
      INDEX(calculations!B:B, MATCH(A516, calculations!A:A, 0)),
      ""
   )
)</f>
        <v>67535.199999999997</v>
      </c>
      <c r="C516" s="42">
        <f t="array" aca="1" ref="C516" ca="1">IF(B516&lt;&gt;"", IF(MATCH(A516, calculations!A:A, 0), INDEX(calculations!D:D, MATCH(A516, calculations!A:A, 0)), "No Match"),"")</f>
        <v>222161876179</v>
      </c>
      <c r="D516" s="43">
        <f t="shared" ca="1" si="50"/>
        <v>4.3260220629534968E-2</v>
      </c>
      <c r="E516" s="43">
        <f t="shared" ca="1" si="42"/>
        <v>9.3089044374683938E-4</v>
      </c>
      <c r="F516" s="43">
        <f t="shared" ca="1" si="33"/>
        <v>7.1776404753479017E-2</v>
      </c>
      <c r="G516" s="42">
        <f t="shared" ca="1" si="43"/>
        <v>1.5003746740124E+16</v>
      </c>
      <c r="H516" s="41">
        <f t="shared" ca="1" si="34"/>
        <v>65517.994452793675</v>
      </c>
      <c r="I516" s="3"/>
      <c r="J516" s="43">
        <f t="shared" ca="1" si="40"/>
        <v>1</v>
      </c>
      <c r="K516" s="44" t="str">
        <f t="shared" ca="1" si="51"/>
        <v/>
      </c>
      <c r="L516" s="3"/>
      <c r="M516" s="45">
        <f t="shared" ca="1" si="44"/>
        <v>56112.70227583385</v>
      </c>
      <c r="N516" s="47">
        <f t="shared" ca="1" si="45"/>
        <v>74923.286629753493</v>
      </c>
      <c r="O516" s="45">
        <f t="shared" ca="1" si="46"/>
        <v>51410.056187353941</v>
      </c>
      <c r="P516" s="47">
        <f t="shared" ca="1" si="47"/>
        <v>79625.932718233409</v>
      </c>
      <c r="Q516" s="45">
        <f t="shared" ca="1" si="48"/>
        <v>46707.410098874025</v>
      </c>
      <c r="R516" s="47">
        <f t="shared" ca="1" si="49"/>
        <v>84328.578806713325</v>
      </c>
      <c r="S516" s="73">
        <f t="shared" ca="1" si="41"/>
        <v>1</v>
      </c>
      <c r="T516" s="73"/>
      <c r="U516" s="3"/>
      <c r="V516" s="3"/>
      <c r="W516" s="3"/>
      <c r="X516" s="3"/>
    </row>
    <row r="517" spans="1:24" ht="13">
      <c r="A517" s="40">
        <v>45502</v>
      </c>
      <c r="B517" s="41">
        <f t="array" aca="1" ref="B517" ca="1">IF(AND(A517 &gt; TODAY(), A517 &lt;= TODAY() + 7),
   INDEX(calculations!B:B, MATCH(143^143, calculations!B:B)),
   IF(ISNUMBER(MATCH(A517, calculations!A:A, 0)),
      INDEX(calculations!B:B, MATCH(A517, calculations!A:A, 0)),
      ""
   )
)</f>
        <v>66867.17</v>
      </c>
      <c r="C517" s="42">
        <f t="array" aca="1" ref="C517" ca="1">IF(B517&lt;&gt;"", IF(MATCH(A517, calculations!A:A, 0), INDEX(calculations!D:D, MATCH(A517, calculations!A:A, 0)), "No Match"),"")</f>
        <v>227265184992</v>
      </c>
      <c r="D517" s="43">
        <f t="shared" ca="1" si="50"/>
        <v>-9.8915824636633762E-3</v>
      </c>
      <c r="E517" s="43">
        <f t="shared" ca="1" si="42"/>
        <v>5.126287293171401E-4</v>
      </c>
      <c r="F517" s="43">
        <f t="shared" ca="1" si="33"/>
        <v>7.0453807158139065E-2</v>
      </c>
      <c r="G517" s="42">
        <f t="shared" ca="1" si="43"/>
        <v>1.5196579759941512E+16</v>
      </c>
      <c r="H517" s="41">
        <f t="shared" ca="1" si="34"/>
        <v>65495.863611727618</v>
      </c>
      <c r="I517" s="3"/>
      <c r="J517" s="43">
        <f t="shared" ref="J517:J578" ca="1" si="52">IF(B517="","",
 IF(B517&lt;Q517, 1+(4*ABS(D517))+(1+$X$2)+F517,
 IF(B517&lt;O517, 1+(3*ABS(D517))+(1+$X$2)+F517,
 IF(B517&lt;M517, 1+(2*ABS(D517))+(1+$X$2)+F517,
 IF(B517&gt;R517, 1-(4*ABS(D517))-(1+$X$2)-F517,
 IF(B517&gt;P517, 1-(3*ABS(D517))-(1+$X$2)-F517,
 IF(B517&gt;N517, 1-(2*ABS(D517))-(1+$X$2)-F517,
 1)))))))</f>
        <v>1</v>
      </c>
      <c r="K517" s="44" t="str">
        <f t="shared" ca="1" si="51"/>
        <v/>
      </c>
      <c r="L517" s="3"/>
      <c r="M517" s="45">
        <f t="shared" ca="1" si="44"/>
        <v>56266.997722614746</v>
      </c>
      <c r="N517" s="47">
        <f t="shared" ca="1" si="45"/>
        <v>74724.729500840491</v>
      </c>
      <c r="O517" s="45">
        <f t="shared" ca="1" si="46"/>
        <v>51652.564778058317</v>
      </c>
      <c r="P517" s="47">
        <f t="shared" ca="1" si="47"/>
        <v>79339.162445396927</v>
      </c>
      <c r="Q517" s="45">
        <f t="shared" ca="1" si="48"/>
        <v>47038.13183350188</v>
      </c>
      <c r="R517" s="47">
        <f t="shared" ca="1" si="49"/>
        <v>83953.595389953363</v>
      </c>
      <c r="S517" s="73">
        <f t="shared" ca="1" si="41"/>
        <v>1</v>
      </c>
      <c r="T517" s="73"/>
      <c r="U517" s="3"/>
      <c r="V517" s="3"/>
      <c r="W517" s="3"/>
      <c r="X517" s="3"/>
    </row>
    <row r="518" spans="1:24" ht="13">
      <c r="A518" s="40">
        <v>45509</v>
      </c>
      <c r="B518" s="41">
        <f t="array" aca="1" ref="B518" ca="1">IF(AND(A518 &gt; TODAY(), A518 &lt;= TODAY() + 7),
   INDEX(calculations!B:B, MATCH(143^143, calculations!B:B)),
   IF(ISNUMBER(MATCH(A518, calculations!A:A, 0)),
      INDEX(calculations!B:B, MATCH(A518, calculations!A:A, 0)),
      ""
   )
)</f>
        <v>54343.63</v>
      </c>
      <c r="C518" s="42">
        <f t="array" aca="1" ref="C518" ca="1">IF(B518&lt;&gt;"", IF(MATCH(A518, calculations!A:A, 0), INDEX(calculations!D:D, MATCH(A518, calculations!A:A, 0)), "No Match"),"")</f>
        <v>251002338760</v>
      </c>
      <c r="D518" s="43">
        <f t="shared" ca="1" si="50"/>
        <v>-0.1872898165123483</v>
      </c>
      <c r="E518" s="43">
        <f t="shared" ca="1" si="42"/>
        <v>4.0015817511602977E-2</v>
      </c>
      <c r="F518" s="43">
        <f t="shared" ca="1" si="33"/>
        <v>8.625673716580913E-2</v>
      </c>
      <c r="G518" s="42">
        <f t="shared" ca="1" si="43"/>
        <v>1.3640378226708098E+16</v>
      </c>
      <c r="H518" s="41">
        <f t="shared" ca="1" si="34"/>
        <v>64609.932658304344</v>
      </c>
      <c r="I518" s="3"/>
      <c r="J518" s="43">
        <f t="shared" ca="1" si="52"/>
        <v>1</v>
      </c>
      <c r="K518" s="44" t="str">
        <f t="shared" ca="1" si="51"/>
        <v/>
      </c>
      <c r="L518" s="3"/>
      <c r="M518" s="45">
        <f t="shared" ca="1" si="44"/>
        <v>53463.848699088376</v>
      </c>
      <c r="N518" s="47">
        <f t="shared" ca="1" si="45"/>
        <v>75756.016617520319</v>
      </c>
      <c r="O518" s="45">
        <f t="shared" ca="1" si="46"/>
        <v>47890.806719480388</v>
      </c>
      <c r="P518" s="47">
        <f t="shared" ca="1" si="47"/>
        <v>81329.0585971283</v>
      </c>
      <c r="Q518" s="45">
        <f t="shared" ca="1" si="48"/>
        <v>42317.764739872408</v>
      </c>
      <c r="R518" s="47">
        <f t="shared" ca="1" si="49"/>
        <v>86902.10057673628</v>
      </c>
      <c r="S518" s="73">
        <f t="shared" ca="1" si="41"/>
        <v>1</v>
      </c>
      <c r="T518" s="73"/>
      <c r="U518" s="3"/>
      <c r="V518" s="3"/>
      <c r="W518" s="3"/>
      <c r="X518" s="3"/>
    </row>
    <row r="519" spans="1:24" ht="13">
      <c r="A519" s="40">
        <v>45516</v>
      </c>
      <c r="B519" s="41">
        <f t="array" aca="1" ref="B519" ca="1">IF(AND(A519 &gt; TODAY(), A519 &lt;= TODAY() + 7),
   INDEX(calculations!B:B, MATCH(143^143, calculations!B:B)),
   IF(ISNUMBER(MATCH(A519, calculations!A:A, 0)),
      INDEX(calculations!B:B, MATCH(A519, calculations!A:A, 0)),
      ""
   )
)</f>
        <v>59394.16</v>
      </c>
      <c r="C519" s="42">
        <f t="array" aca="1" ref="C519" ca="1">IF(B519&lt;&gt;"", IF(MATCH(A519, calculations!A:A, 0), INDEX(calculations!D:D, MATCH(A519, calculations!A:A, 0)), "No Match"),"")</f>
        <v>317158734647</v>
      </c>
      <c r="D519" s="43">
        <f t="shared" ca="1" si="50"/>
        <v>9.2936927474296549E-2</v>
      </c>
      <c r="E519" s="43">
        <f t="shared" ca="1" si="42"/>
        <v>6.4299877039636312E-3</v>
      </c>
      <c r="F519" s="43">
        <f t="shared" ca="1" si="33"/>
        <v>9.0355525535185111E-2</v>
      </c>
      <c r="G519" s="42">
        <f t="shared" ca="1" si="43"/>
        <v>1.8837376631021464E+16</v>
      </c>
      <c r="H519" s="41">
        <f t="shared" ca="1" si="34"/>
        <v>64150.173830860207</v>
      </c>
      <c r="I519" s="3"/>
      <c r="J519" s="43">
        <f t="shared" ca="1" si="52"/>
        <v>1</v>
      </c>
      <c r="K519" s="44" t="str">
        <f t="shared" ca="1" si="51"/>
        <v/>
      </c>
      <c r="L519" s="3"/>
      <c r="M519" s="45">
        <f t="shared" ca="1" si="44"/>
        <v>52557.528491538498</v>
      </c>
      <c r="N519" s="47">
        <f t="shared" ca="1" si="45"/>
        <v>75742.819170181916</v>
      </c>
      <c r="O519" s="45">
        <f t="shared" ca="1" si="46"/>
        <v>46761.205821877651</v>
      </c>
      <c r="P519" s="47">
        <f t="shared" ca="1" si="47"/>
        <v>81539.141839842763</v>
      </c>
      <c r="Q519" s="45">
        <f t="shared" ca="1" si="48"/>
        <v>40964.883152216797</v>
      </c>
      <c r="R519" s="47">
        <f t="shared" ca="1" si="49"/>
        <v>87335.464509503625</v>
      </c>
      <c r="S519" s="73">
        <f t="shared" ca="1" si="41"/>
        <v>1</v>
      </c>
      <c r="T519" s="73"/>
      <c r="U519" s="3"/>
      <c r="V519" s="3"/>
      <c r="W519" s="3"/>
      <c r="X519" s="3"/>
    </row>
    <row r="520" spans="1:24" ht="13">
      <c r="A520" s="40">
        <v>45523</v>
      </c>
      <c r="B520" s="41">
        <f t="array" aca="1" ref="B520" ca="1">IF(AND(A520 &gt; TODAY(), A520 &lt;= TODAY() + 7),
   INDEX(calculations!B:B, MATCH(143^143, calculations!B:B)),
   IF(ISNUMBER(MATCH(A520, calculations!A:A, 0)),
      INDEX(calculations!B:B, MATCH(A520, calculations!A:A, 0)),
      ""
   )
)</f>
        <v>59411.519999999997</v>
      </c>
      <c r="C520" s="42">
        <f t="array" aca="1" ref="C520" ca="1">IF(B520&lt;&gt;"", IF(MATCH(A520, calculations!A:A, 0), INDEX(calculations!D:D, MATCH(A520, calculations!A:A, 0)), "No Match"),"")</f>
        <v>193731393138</v>
      </c>
      <c r="D520" s="43">
        <f t="shared" ca="1" si="50"/>
        <v>2.9228462865698082E-4</v>
      </c>
      <c r="E520" s="43">
        <f t="shared" ca="1" si="42"/>
        <v>1.5518777969921558E-4</v>
      </c>
      <c r="F520" s="43">
        <f t="shared" ca="1" si="33"/>
        <v>9.0344997316964062E-2</v>
      </c>
      <c r="G520" s="42">
        <f t="shared" ca="1" si="43"/>
        <v>1.150987653804615E+16</v>
      </c>
      <c r="H520" s="41">
        <f t="shared" ca="1" si="34"/>
        <v>63910.282630868227</v>
      </c>
      <c r="I520" s="3"/>
      <c r="J520" s="43">
        <f t="shared" ca="1" si="52"/>
        <v>1</v>
      </c>
      <c r="K520" s="44" t="str">
        <f t="shared" ca="1" si="51"/>
        <v/>
      </c>
      <c r="L520" s="3"/>
      <c r="M520" s="45">
        <f t="shared" ca="1" si="44"/>
        <v>52362.334005243822</v>
      </c>
      <c r="N520" s="47">
        <f t="shared" ca="1" si="45"/>
        <v>75458.23125649264</v>
      </c>
      <c r="O520" s="45">
        <f t="shared" ca="1" si="46"/>
        <v>46588.359692431608</v>
      </c>
      <c r="P520" s="47">
        <f t="shared" ca="1" si="47"/>
        <v>81232.205569304846</v>
      </c>
      <c r="Q520" s="45">
        <f t="shared" ca="1" si="48"/>
        <v>40814.385379619409</v>
      </c>
      <c r="R520" s="47">
        <f t="shared" ca="1" si="49"/>
        <v>87006.179882117038</v>
      </c>
      <c r="S520" s="73">
        <f t="shared" ca="1" si="41"/>
        <v>1</v>
      </c>
      <c r="T520" s="73"/>
      <c r="U520" s="3"/>
      <c r="V520" s="3"/>
      <c r="W520" s="3"/>
      <c r="X520" s="3"/>
    </row>
    <row r="521" spans="1:24" ht="13">
      <c r="A521" s="40">
        <v>45530</v>
      </c>
      <c r="B521" s="41">
        <f t="array" aca="1" ref="B521" ca="1">IF(AND(A521 &gt; TODAY(), A521 &lt;= TODAY() + 7),
   INDEX(calculations!B:B, MATCH(143^143, calculations!B:B)),
   IF(ISNUMBER(MATCH(A521, calculations!A:A, 0)),
      INDEX(calculations!B:B, MATCH(A521, calculations!A:A, 0)),
      ""
   )
)</f>
        <v>62983.44</v>
      </c>
      <c r="C521" s="42">
        <f t="array" aca="1" ref="C521" ca="1">IF(B521&lt;&gt;"", IF(MATCH(A521, calculations!A:A, 0), INDEX(calculations!D:D, MATCH(A521, calculations!A:A, 0)), "No Match"),"")</f>
        <v>200670274120</v>
      </c>
      <c r="D521" s="43">
        <f t="shared" ca="1" si="50"/>
        <v>6.0121673372436957E-2</v>
      </c>
      <c r="E521" s="43">
        <f t="shared" ca="1" si="42"/>
        <v>2.2441016481555584E-3</v>
      </c>
      <c r="F521" s="43">
        <f t="shared" ca="1" si="33"/>
        <v>8.4052794615191967E-2</v>
      </c>
      <c r="G521" s="42">
        <f t="shared" ca="1" si="43"/>
        <v>1.2638904169820574E+16</v>
      </c>
      <c r="H521" s="41">
        <f t="shared" ca="1" si="34"/>
        <v>63380.274689251761</v>
      </c>
      <c r="I521" s="3"/>
      <c r="J521" s="43">
        <f t="shared" ca="1" si="52"/>
        <v>1</v>
      </c>
      <c r="K521" s="44" t="str">
        <f t="shared" ca="1" si="51"/>
        <v/>
      </c>
      <c r="L521" s="3"/>
      <c r="M521" s="45">
        <f t="shared" ca="1" si="44"/>
        <v>52725.696267031504</v>
      </c>
      <c r="N521" s="47">
        <f t="shared" ca="1" si="45"/>
        <v>74034.853111472024</v>
      </c>
      <c r="O521" s="45">
        <f t="shared" ca="1" si="46"/>
        <v>47398.40705592138</v>
      </c>
      <c r="P521" s="47">
        <f t="shared" ca="1" si="47"/>
        <v>79362.142322582149</v>
      </c>
      <c r="Q521" s="45">
        <f t="shared" ca="1" si="48"/>
        <v>42071.117844811248</v>
      </c>
      <c r="R521" s="47">
        <f t="shared" ca="1" si="49"/>
        <v>84689.431533692274</v>
      </c>
      <c r="S521" s="73">
        <f t="shared" ca="1" si="41"/>
        <v>1</v>
      </c>
      <c r="T521" s="73"/>
      <c r="U521" s="3"/>
      <c r="V521" s="3"/>
      <c r="W521" s="3"/>
      <c r="X521" s="3"/>
    </row>
    <row r="522" spans="1:24" ht="13">
      <c r="A522" s="40">
        <v>45537</v>
      </c>
      <c r="B522" s="41">
        <f t="array" aca="1" ref="B522" ca="1">IF(AND(A522 &gt; TODAY(), A522 &lt;= TODAY() + 7),
   INDEX(calculations!B:B, MATCH(143^143, calculations!B:B)),
   IF(ISNUMBER(MATCH(A522, calculations!A:A, 0)),
      INDEX(calculations!B:B, MATCH(A522, calculations!A:A, 0)),
      ""
   )
)</f>
        <v>59159.02</v>
      </c>
      <c r="C522" s="42">
        <f t="array" aca="1" ref="C522" ca="1">IF(B522&lt;&gt;"", IF(MATCH(A522, calculations!A:A, 0), INDEX(calculations!D:D, MATCH(A522, calculations!A:A, 0)), "No Match"),"")</f>
        <v>208589155271</v>
      </c>
      <c r="D522" s="43">
        <f t="shared" ca="1" si="50"/>
        <v>-6.0721040324250394E-2</v>
      </c>
      <c r="E522" s="43">
        <f t="shared" ca="1" si="42"/>
        <v>5.397953116075967E-3</v>
      </c>
      <c r="F522" s="43">
        <f t="shared" ca="1" si="33"/>
        <v>8.5213266712040756E-2</v>
      </c>
      <c r="G522" s="42">
        <f t="shared" ca="1" si="43"/>
        <v>1.2339930008460194E+16</v>
      </c>
      <c r="H522" s="41">
        <f t="shared" ca="1" si="34"/>
        <v>62629.600232143777</v>
      </c>
      <c r="I522" s="3"/>
      <c r="J522" s="43">
        <f t="shared" ca="1" si="52"/>
        <v>1</v>
      </c>
      <c r="K522" s="44" t="str">
        <f t="shared" ca="1" si="51"/>
        <v/>
      </c>
      <c r="L522" s="3"/>
      <c r="M522" s="45">
        <f t="shared" ca="1" si="44"/>
        <v>51955.854574843463</v>
      </c>
      <c r="N522" s="47">
        <f t="shared" ca="1" si="45"/>
        <v>73303.345889444099</v>
      </c>
      <c r="O522" s="45">
        <f t="shared" ca="1" si="46"/>
        <v>46618.981746193313</v>
      </c>
      <c r="P522" s="47">
        <f t="shared" ca="1" si="47"/>
        <v>78640.218718094242</v>
      </c>
      <c r="Q522" s="45">
        <f t="shared" ca="1" si="48"/>
        <v>41282.108917543148</v>
      </c>
      <c r="R522" s="47">
        <f t="shared" ca="1" si="49"/>
        <v>83977.091546744414</v>
      </c>
      <c r="S522" s="73">
        <f t="shared" ca="1" si="41"/>
        <v>1</v>
      </c>
      <c r="T522" s="73"/>
      <c r="U522" s="3"/>
      <c r="V522" s="3"/>
      <c r="W522" s="3"/>
      <c r="X522" s="3"/>
    </row>
    <row r="523" spans="1:24" ht="13">
      <c r="A523" s="40">
        <v>45544</v>
      </c>
      <c r="B523" s="41">
        <f t="array" aca="1" ref="B523" ca="1">IF(AND(A523 &gt; TODAY(), A523 &lt;= TODAY() + 7),
   INDEX(calculations!B:B, MATCH(143^143, calculations!B:B)),
   IF(ISNUMBER(MATCH(A523, calculations!A:A, 0)),
      INDEX(calculations!B:B, MATCH(A523, calculations!A:A, 0)),
      ""
   )
)</f>
        <v>57135.78</v>
      </c>
      <c r="C523" s="42">
        <f t="array" aca="1" ref="C523" ca="1">IF(B523&lt;&gt;"", IF(MATCH(A523, calculations!A:A, 0), INDEX(calculations!D:D, MATCH(A523, calculations!A:A, 0)), "No Match"),"")</f>
        <v>207052844168</v>
      </c>
      <c r="D523" s="43">
        <f t="shared" ca="1" si="50"/>
        <v>-3.420002562584705E-2</v>
      </c>
      <c r="E523" s="43">
        <f t="shared" ca="1" si="42"/>
        <v>2.2042789296608709E-3</v>
      </c>
      <c r="F523" s="43">
        <f t="shared" ca="1" si="33"/>
        <v>8.5504118440940163E-2</v>
      </c>
      <c r="G523" s="42">
        <f t="shared" ca="1" si="43"/>
        <v>1.183012575275713E+16</v>
      </c>
      <c r="H523" s="41">
        <f t="shared" ca="1" si="34"/>
        <v>61897.877941453255</v>
      </c>
      <c r="I523" s="3"/>
      <c r="J523" s="43">
        <f t="shared" ca="1" si="52"/>
        <v>1</v>
      </c>
      <c r="K523" s="44" t="str">
        <f t="shared" ca="1" si="51"/>
        <v/>
      </c>
      <c r="L523" s="3"/>
      <c r="M523" s="45">
        <f t="shared" ca="1" si="44"/>
        <v>51312.830967955495</v>
      </c>
      <c r="N523" s="47">
        <f t="shared" ca="1" si="45"/>
        <v>72482.924914951014</v>
      </c>
      <c r="O523" s="45">
        <f t="shared" ca="1" si="46"/>
        <v>46020.307481206626</v>
      </c>
      <c r="P523" s="47">
        <f t="shared" ca="1" si="47"/>
        <v>77775.448401699876</v>
      </c>
      <c r="Q523" s="45">
        <f t="shared" ca="1" si="48"/>
        <v>40727.78399445775</v>
      </c>
      <c r="R523" s="47">
        <f t="shared" ca="1" si="49"/>
        <v>83067.971888448767</v>
      </c>
      <c r="S523" s="73">
        <f t="shared" ca="1" si="41"/>
        <v>1</v>
      </c>
      <c r="T523" s="73"/>
      <c r="U523" s="3"/>
      <c r="V523" s="3"/>
      <c r="W523" s="3"/>
      <c r="X523" s="3"/>
    </row>
    <row r="524" spans="1:24" ht="13">
      <c r="A524" s="40">
        <v>45551</v>
      </c>
      <c r="B524" s="41">
        <f t="array" aca="1" ref="B524" ca="1">IF(AND(A524 &gt; TODAY(), A524 &lt;= TODAY() + 7),
   INDEX(calculations!B:B, MATCH(143^143, calculations!B:B)),
   IF(ISNUMBER(MATCH(A524, calculations!A:A, 0)),
      INDEX(calculations!B:B, MATCH(A524, calculations!A:A, 0)),
      ""
   )
)</f>
        <v>58227.46</v>
      </c>
      <c r="C524" s="42">
        <f t="array" aca="1" ref="C524" ca="1">IF(B524&lt;&gt;"", IF(MATCH(A524, calculations!A:A, 0), INDEX(calculations!D:D, MATCH(A524, calculations!A:A, 0)), "No Match"),"")</f>
        <v>201400392020</v>
      </c>
      <c r="D524" s="43">
        <f t="shared" ca="1" si="50"/>
        <v>1.9106766373015303E-2</v>
      </c>
      <c r="E524" s="43">
        <f t="shared" ca="1" si="42"/>
        <v>4.0411995892774805E-5</v>
      </c>
      <c r="F524" s="43">
        <f t="shared" ca="1" si="33"/>
        <v>8.5713582225765722E-2</v>
      </c>
      <c r="G524" s="42">
        <f t="shared" ca="1" si="43"/>
        <v>1.172703327032887E+16</v>
      </c>
      <c r="H524" s="41">
        <f t="shared" ca="1" si="34"/>
        <v>60963.477473377512</v>
      </c>
      <c r="I524" s="3"/>
      <c r="J524" s="43">
        <f t="shared" ca="1" si="52"/>
        <v>1</v>
      </c>
      <c r="K524" s="44" t="str">
        <f t="shared" ca="1" si="51"/>
        <v/>
      </c>
      <c r="L524" s="3"/>
      <c r="M524" s="45">
        <f t="shared" ca="1" si="44"/>
        <v>50512.68139501159</v>
      </c>
      <c r="N524" s="47">
        <f t="shared" ca="1" si="45"/>
        <v>71414.273551743434</v>
      </c>
      <c r="O524" s="45">
        <f t="shared" ca="1" si="46"/>
        <v>45287.283355828637</v>
      </c>
      <c r="P524" s="47">
        <f t="shared" ca="1" si="47"/>
        <v>76639.671590926388</v>
      </c>
      <c r="Q524" s="45">
        <f t="shared" ca="1" si="48"/>
        <v>40061.885316645676</v>
      </c>
      <c r="R524" s="47">
        <f t="shared" ca="1" si="49"/>
        <v>81865.069630109356</v>
      </c>
      <c r="S524" s="73">
        <f t="shared" ca="1" si="41"/>
        <v>1</v>
      </c>
      <c r="T524" s="73"/>
      <c r="U524" s="3"/>
      <c r="V524" s="3"/>
      <c r="W524" s="3"/>
      <c r="X524" s="3"/>
    </row>
    <row r="525" spans="1:24" ht="13">
      <c r="A525" s="40">
        <v>45558</v>
      </c>
      <c r="B525" s="41">
        <f t="array" aca="1" ref="B525" ca="1">IF(AND(A525 &gt; TODAY(), A525 &lt;= TODAY() + 7),
   INDEX(calculations!B:B, MATCH(143^143, calculations!B:B)),
   IF(ISNUMBER(MATCH(A525, calculations!A:A, 0)),
      INDEX(calculations!B:B, MATCH(A525, calculations!A:A, 0)),
      ""
   )
)</f>
        <v>63336.01</v>
      </c>
      <c r="C525" s="42">
        <f t="array" aca="1" ref="C525" ca="1">IF(B525&lt;&gt;"", IF(MATCH(A525, calculations!A:A, 0), INDEX(calculations!D:D, MATCH(A525, calculations!A:A, 0)), "No Match"),"")</f>
        <v>223578476939</v>
      </c>
      <c r="D525" s="43">
        <f t="shared" ca="1" si="50"/>
        <v>8.7734378246964631E-2</v>
      </c>
      <c r="E525" s="43">
        <f t="shared" ca="1" si="42"/>
        <v>5.6226984687937727E-3</v>
      </c>
      <c r="F525" s="43">
        <f t="shared" ca="1" si="33"/>
        <v>8.8794153276857662E-2</v>
      </c>
      <c r="G525" s="42">
        <f t="shared" ca="1" si="43"/>
        <v>1.4160568651193274E+16</v>
      </c>
      <c r="H525" s="41">
        <f t="shared" ca="1" si="34"/>
        <v>60815.868876104942</v>
      </c>
      <c r="I525" s="3"/>
      <c r="J525" s="43">
        <f t="shared" ca="1" si="52"/>
        <v>1</v>
      </c>
      <c r="K525" s="44" t="str">
        <f t="shared" ca="1" si="51"/>
        <v/>
      </c>
      <c r="L525" s="3"/>
      <c r="M525" s="45">
        <f t="shared" ca="1" si="44"/>
        <v>50015.68171080466</v>
      </c>
      <c r="N525" s="47">
        <f t="shared" ca="1" si="45"/>
        <v>71616.056041405231</v>
      </c>
      <c r="O525" s="45">
        <f t="shared" ca="1" si="46"/>
        <v>44615.588128154523</v>
      </c>
      <c r="P525" s="47">
        <f t="shared" ca="1" si="47"/>
        <v>77016.149624055353</v>
      </c>
      <c r="Q525" s="45">
        <f t="shared" ca="1" si="48"/>
        <v>39215.494545504385</v>
      </c>
      <c r="R525" s="47">
        <f t="shared" ca="1" si="49"/>
        <v>82416.243206705505</v>
      </c>
      <c r="S525" s="73">
        <f t="shared" ca="1" si="41"/>
        <v>1</v>
      </c>
      <c r="T525" s="73"/>
      <c r="U525" s="3"/>
      <c r="V525" s="3"/>
      <c r="W525" s="3"/>
      <c r="X525" s="3"/>
    </row>
    <row r="526" spans="1:24" ht="13">
      <c r="A526" s="40">
        <v>45565</v>
      </c>
      <c r="B526" s="41">
        <f t="array" aca="1" ref="B526" ca="1">IF(AND(A526 &gt; TODAY(), A526 &lt;= TODAY() + 7),
   INDEX(calculations!B:B, MATCH(143^143, calculations!B:B)),
   IF(ISNUMBER(MATCH(A526, calculations!A:A, 0)),
      INDEX(calculations!B:B, MATCH(A526, calculations!A:A, 0)),
      ""
   )
)</f>
        <v>63260.04</v>
      </c>
      <c r="C526" s="42">
        <f t="array" aca="1" ref="C526" ca="1">IF(B526&lt;&gt;"", IF(MATCH(A526, calculations!A:A, 0), INDEX(calculations!D:D, MATCH(A526, calculations!A:A, 0)), "No Match"),"")</f>
        <v>185380794223</v>
      </c>
      <c r="D526" s="43">
        <f t="shared" ca="1" si="50"/>
        <v>-1.1994756221618817E-3</v>
      </c>
      <c r="E526" s="43">
        <f t="shared" ca="1" si="42"/>
        <v>1.9458015219249409E-4</v>
      </c>
      <c r="F526" s="43">
        <f t="shared" ref="F526:F578" ca="1" si="53">IF(AND(D525&lt;&gt;"",B525&lt;&gt;""),_xlfn.STDEV.S(D513:D526),"")</f>
        <v>8.4608302895581411E-2</v>
      </c>
      <c r="G526" s="42">
        <f t="shared" ca="1" si="43"/>
        <v>1.172719645777875E+16</v>
      </c>
      <c r="H526" s="41">
        <f t="shared" ca="1" si="34"/>
        <v>60996.670359052659</v>
      </c>
      <c r="I526" s="3"/>
      <c r="J526" s="43">
        <f t="shared" ca="1" si="52"/>
        <v>1</v>
      </c>
      <c r="K526" s="44" t="str">
        <f t="shared" ca="1" si="51"/>
        <v/>
      </c>
      <c r="L526" s="3"/>
      <c r="M526" s="45">
        <f t="shared" ca="1" si="44"/>
        <v>50675.020836331343</v>
      </c>
      <c r="N526" s="47">
        <f t="shared" ca="1" si="45"/>
        <v>71318.319881773976</v>
      </c>
      <c r="O526" s="45">
        <f t="shared" ca="1" si="46"/>
        <v>45514.196074970678</v>
      </c>
      <c r="P526" s="47">
        <f t="shared" ca="1" si="47"/>
        <v>76479.144643134641</v>
      </c>
      <c r="Q526" s="45">
        <f t="shared" ca="1" si="48"/>
        <v>40353.37131361002</v>
      </c>
      <c r="R526" s="47">
        <f t="shared" ca="1" si="49"/>
        <v>81639.969404495292</v>
      </c>
      <c r="S526" s="73">
        <f t="shared" ca="1" si="41"/>
        <v>1</v>
      </c>
      <c r="T526" s="73"/>
      <c r="U526" s="3"/>
      <c r="V526" s="3"/>
      <c r="W526" s="3"/>
      <c r="X526" s="3"/>
    </row>
    <row r="527" spans="1:24" ht="13">
      <c r="A527" s="40">
        <v>45572</v>
      </c>
      <c r="B527" s="41">
        <f t="array" aca="1" ref="B527" ca="1">IF(AND(A527 &gt; TODAY(), A527 &lt;= TODAY() + 7),
   INDEX(calculations!B:B, MATCH(143^143, calculations!B:B)),
   IF(ISNUMBER(MATCH(A527, calculations!A:A, 0)),
      INDEX(calculations!B:B, MATCH(A527, calculations!A:A, 0)),
      ""
   )
)</f>
        <v>62416.51</v>
      </c>
      <c r="C527" s="42">
        <f t="array" aca="1" ref="C527" ca="1">IF(B527&lt;&gt;"", IF(MATCH(A527, calculations!A:A, 0), INDEX(calculations!D:D, MATCH(A527, calculations!A:A, 0)), "No Match"),"")</f>
        <v>221870167581</v>
      </c>
      <c r="D527" s="43">
        <f t="shared" ca="1" si="50"/>
        <v>-1.3334326061127985E-2</v>
      </c>
      <c r="E527" s="43">
        <f t="shared" ca="1" si="42"/>
        <v>6.8037763410763556E-4</v>
      </c>
      <c r="F527" s="43">
        <f t="shared" ca="1" si="53"/>
        <v>8.4107819343100007E-2</v>
      </c>
      <c r="G527" s="42">
        <f t="shared" ca="1" si="43"/>
        <v>1.3848361533521162E+16</v>
      </c>
      <c r="H527" s="41">
        <f t="shared" ref="H527:H578" ca="1" si="54">IF(C527&lt;&gt;"",SUM(G514:G527)/SUM(C514:C527),"")</f>
        <v>60996.847447078559</v>
      </c>
      <c r="I527" s="3"/>
      <c r="J527" s="43">
        <f t="shared" ca="1" si="52"/>
        <v>1</v>
      </c>
      <c r="K527" s="44" t="str">
        <f t="shared" ca="1" si="51"/>
        <v/>
      </c>
      <c r="L527" s="3"/>
      <c r="M527" s="45">
        <f t="shared" ca="1" si="44"/>
        <v>50736.223795923528</v>
      </c>
      <c r="N527" s="47">
        <f t="shared" ca="1" si="45"/>
        <v>71257.471098233582</v>
      </c>
      <c r="O527" s="45">
        <f t="shared" ca="1" si="46"/>
        <v>45605.911970346016</v>
      </c>
      <c r="P527" s="47">
        <f t="shared" ca="1" si="47"/>
        <v>76387.782923811101</v>
      </c>
      <c r="Q527" s="45">
        <f t="shared" ca="1" si="48"/>
        <v>40475.600144768498</v>
      </c>
      <c r="R527" s="47">
        <f t="shared" ca="1" si="49"/>
        <v>81518.09474938862</v>
      </c>
      <c r="S527" s="73">
        <f t="shared" ca="1" si="41"/>
        <v>1</v>
      </c>
      <c r="T527" s="73"/>
      <c r="U527" s="3"/>
      <c r="V527" s="3"/>
      <c r="W527" s="3"/>
      <c r="X527" s="3"/>
    </row>
    <row r="528" spans="1:24" ht="13">
      <c r="A528" s="40">
        <v>45579</v>
      </c>
      <c r="B528" s="41">
        <f t="array" aca="1" ref="B528" ca="1">IF(AND(A528 &gt; TODAY(), A528 &lt;= TODAY() + 7),
   INDEX(calculations!B:B, MATCH(143^143, calculations!B:B)),
   IF(ISNUMBER(MATCH(A528, calculations!A:A, 0)),
      INDEX(calculations!B:B, MATCH(A528, calculations!A:A, 0)),
      ""
   )
)</f>
        <v>66089.759999999995</v>
      </c>
      <c r="C528" s="42">
        <f t="array" aca="1" ref="C528" ca="1">IF(B528&lt;&gt;"", IF(MATCH(A528, calculations!A:A, 0), INDEX(calculations!D:D, MATCH(A528, calculations!A:A, 0)), "No Match"),"")</f>
        <v>185760615870</v>
      </c>
      <c r="D528" s="43">
        <f t="shared" ca="1" si="50"/>
        <v>5.8850615005548897E-2</v>
      </c>
      <c r="E528" s="43">
        <f t="shared" ca="1" si="42"/>
        <v>2.1252922106846841E-3</v>
      </c>
      <c r="F528" s="43">
        <f t="shared" ca="1" si="53"/>
        <v>8.0000103621568328E-2</v>
      </c>
      <c r="G528" s="42">
        <f t="shared" ca="1" si="43"/>
        <v>1.227687452030049E+16</v>
      </c>
      <c r="H528" s="41">
        <f t="shared" ca="1" si="54"/>
        <v>61611.242166083306</v>
      </c>
      <c r="I528" s="3"/>
      <c r="J528" s="43">
        <f t="shared" ca="1" si="52"/>
        <v>1</v>
      </c>
      <c r="K528" s="44" t="str">
        <f t="shared" ca="1" si="51"/>
        <v/>
      </c>
      <c r="L528" s="3"/>
      <c r="M528" s="45">
        <f t="shared" ca="1" si="44"/>
        <v>51753.430651002898</v>
      </c>
      <c r="N528" s="47">
        <f t="shared" ca="1" si="45"/>
        <v>71469.053681163714</v>
      </c>
      <c r="O528" s="45">
        <f t="shared" ca="1" si="46"/>
        <v>46824.524893462694</v>
      </c>
      <c r="P528" s="47">
        <f t="shared" ca="1" si="47"/>
        <v>76397.959438703911</v>
      </c>
      <c r="Q528" s="45">
        <f t="shared" ca="1" si="48"/>
        <v>41895.619135922483</v>
      </c>
      <c r="R528" s="47">
        <f t="shared" ca="1" si="49"/>
        <v>81326.865196244122</v>
      </c>
      <c r="S528" s="73">
        <f t="shared" ca="1" si="41"/>
        <v>1</v>
      </c>
      <c r="T528" s="73"/>
      <c r="U528" s="3"/>
      <c r="V528" s="3"/>
      <c r="W528" s="3"/>
      <c r="X528" s="3"/>
    </row>
    <row r="529" spans="1:24" ht="13">
      <c r="A529" s="40">
        <v>45586</v>
      </c>
      <c r="B529" s="41">
        <f t="array" aca="1" ref="B529" ca="1">IF(AND(A529 &gt; TODAY(), A529 &lt;= TODAY() + 7),
   INDEX(calculations!B:B, MATCH(143^143, calculations!B:B)),
   IF(ISNUMBER(MATCH(A529, calculations!A:A, 0)),
      INDEX(calculations!B:B, MATCH(A529, calculations!A:A, 0)),
      ""
   )
)</f>
        <v>67440.460000000006</v>
      </c>
      <c r="C529" s="42">
        <f t="array" aca="1" ref="C529" ca="1">IF(B529&lt;&gt;"", IF(MATCH(A529, calculations!A:A, 0), INDEX(calculations!D:D, MATCH(A529, calculations!A:A, 0)), "No Match"),"")</f>
        <v>233833427420</v>
      </c>
      <c r="D529" s="43">
        <f t="shared" ca="1" si="50"/>
        <v>2.0437356710026059E-2</v>
      </c>
      <c r="E529" s="43">
        <f t="shared" ca="1" si="42"/>
        <v>5.9099706552788923E-5</v>
      </c>
      <c r="F529" s="43">
        <f t="shared" ca="1" si="53"/>
        <v>7.1179317271096734E-2</v>
      </c>
      <c r="G529" s="42">
        <f t="shared" ca="1" si="43"/>
        <v>1.5769833908581414E+16</v>
      </c>
      <c r="H529" s="41">
        <f t="shared" ca="1" si="54"/>
        <v>61863.785764116161</v>
      </c>
      <c r="I529" s="3"/>
      <c r="J529" s="43">
        <f t="shared" ca="1" si="52"/>
        <v>1</v>
      </c>
      <c r="K529" s="44" t="str">
        <f t="shared" ca="1" si="51"/>
        <v/>
      </c>
      <c r="L529" s="3"/>
      <c r="M529" s="45">
        <f t="shared" ca="1" si="44"/>
        <v>53056.941695125803</v>
      </c>
      <c r="N529" s="47">
        <f t="shared" ca="1" si="45"/>
        <v>70670.629833106519</v>
      </c>
      <c r="O529" s="45">
        <f t="shared" ca="1" si="46"/>
        <v>48653.519660630613</v>
      </c>
      <c r="P529" s="47">
        <f t="shared" ca="1" si="47"/>
        <v>75074.051867601709</v>
      </c>
      <c r="Q529" s="45">
        <f t="shared" ca="1" si="48"/>
        <v>44250.097626135437</v>
      </c>
      <c r="R529" s="47">
        <f t="shared" ca="1" si="49"/>
        <v>79477.473902096885</v>
      </c>
      <c r="S529" s="73">
        <f t="shared" ca="1" si="41"/>
        <v>1</v>
      </c>
      <c r="T529" s="73"/>
      <c r="U529" s="3"/>
      <c r="V529" s="3"/>
      <c r="W529" s="3"/>
      <c r="X529" s="3"/>
    </row>
    <row r="530" spans="1:24" ht="13">
      <c r="A530" s="40">
        <v>45593</v>
      </c>
      <c r="B530" s="41">
        <f t="array" aca="1" ref="B530" ca="1">IF(AND(A530 &gt; TODAY(), A530 &lt;= TODAY() + 7),
   INDEX(calculations!B:B, MATCH(143^143, calculations!B:B)),
   IF(ISNUMBER(MATCH(A530, calculations!A:A, 0)),
      INDEX(calculations!B:B, MATCH(A530, calculations!A:A, 0)),
      ""
   )
)</f>
        <v>69862.52</v>
      </c>
      <c r="C530" s="42">
        <f t="array" aca="1" ref="C530" ca="1">IF(B530&lt;&gt;"", IF(MATCH(A530, calculations!A:A, 0), INDEX(calculations!D:D, MATCH(A530, calculations!A:A, 0)), "No Match"),"")</f>
        <v>210764883686</v>
      </c>
      <c r="D530" s="43">
        <f t="shared" ca="1" si="50"/>
        <v>3.5914049222084153E-2</v>
      </c>
      <c r="E530" s="43">
        <f t="shared" ca="1" si="42"/>
        <v>5.3658599273026292E-4</v>
      </c>
      <c r="F530" s="43">
        <f t="shared" ca="1" si="53"/>
        <v>7.0905583339941916E-2</v>
      </c>
      <c r="G530" s="42">
        <f t="shared" ca="1" si="43"/>
        <v>1.472456590181085E+16</v>
      </c>
      <c r="H530" s="41">
        <f t="shared" ca="1" si="54"/>
        <v>62002.596754274775</v>
      </c>
      <c r="I530" s="3"/>
      <c r="J530" s="43">
        <f t="shared" ca="1" si="52"/>
        <v>1</v>
      </c>
      <c r="K530" s="44" t="str">
        <f t="shared" ca="1" si="51"/>
        <v/>
      </c>
      <c r="L530" s="3"/>
      <c r="M530" s="45">
        <f t="shared" ca="1" si="44"/>
        <v>53209.936171368696</v>
      </c>
      <c r="N530" s="47">
        <f t="shared" ca="1" si="45"/>
        <v>70795.257337180854</v>
      </c>
      <c r="O530" s="45">
        <f t="shared" ca="1" si="46"/>
        <v>48813.605879915653</v>
      </c>
      <c r="P530" s="47">
        <f t="shared" ca="1" si="47"/>
        <v>75191.587628633904</v>
      </c>
      <c r="Q530" s="45">
        <f t="shared" ca="1" si="48"/>
        <v>44417.275588462609</v>
      </c>
      <c r="R530" s="47">
        <f t="shared" ca="1" si="49"/>
        <v>79587.91792008694</v>
      </c>
      <c r="S530" s="73">
        <f t="shared" ca="1" si="41"/>
        <v>1</v>
      </c>
      <c r="T530" s="73"/>
      <c r="U530" s="3"/>
      <c r="V530" s="3"/>
      <c r="W530" s="3"/>
      <c r="X530" s="3"/>
    </row>
    <row r="531" spans="1:24" ht="13">
      <c r="A531" s="40">
        <v>45600</v>
      </c>
      <c r="B531" s="41">
        <f t="array" aca="1" ref="B531" ca="1">IF(AND(A531 &gt; TODAY(), A531 &lt;= TODAY() + 7),
   INDEX(calculations!B:B, MATCH(143^143, calculations!B:B)),
   IF(ISNUMBER(MATCH(A531, calculations!A:A, 0)),
      INDEX(calculations!B:B, MATCH(A531, calculations!A:A, 0)),
      ""
   )
)</f>
        <v>67779.100000000006</v>
      </c>
      <c r="C531" s="42">
        <f t="array" aca="1" ref="C531" ca="1">IF(B531&lt;&gt;"", IF(MATCH(A531, calculations!A:A, 0), INDEX(calculations!D:D, MATCH(A531, calculations!A:A, 0)), "No Match"),"")</f>
        <v>281658996077</v>
      </c>
      <c r="D531" s="43">
        <f t="shared" ca="1" si="50"/>
        <v>-2.9821712700887373E-2</v>
      </c>
      <c r="E531" s="43">
        <f t="shared" ca="1" si="42"/>
        <v>1.8123271681291958E-3</v>
      </c>
      <c r="F531" s="43">
        <f t="shared" ca="1" si="53"/>
        <v>7.1423819687382345E-2</v>
      </c>
      <c r="G531" s="42">
        <f t="shared" ca="1" si="43"/>
        <v>1.9090593261002592E+16</v>
      </c>
      <c r="H531" s="41">
        <f t="shared" ca="1" si="54"/>
        <v>62169.598803928056</v>
      </c>
      <c r="I531" s="3"/>
      <c r="J531" s="43">
        <f t="shared" ca="1" si="52"/>
        <v>1</v>
      </c>
      <c r="K531" s="44" t="str">
        <f t="shared" ca="1" si="51"/>
        <v/>
      </c>
      <c r="L531" s="3"/>
      <c r="M531" s="45">
        <f t="shared" ca="1" si="44"/>
        <v>53288.818373910741</v>
      </c>
      <c r="N531" s="47">
        <f t="shared" ca="1" si="45"/>
        <v>71050.379233945365</v>
      </c>
      <c r="O531" s="45">
        <f t="shared" ca="1" si="46"/>
        <v>48848.428158902076</v>
      </c>
      <c r="P531" s="47">
        <f t="shared" ca="1" si="47"/>
        <v>75490.76944895403</v>
      </c>
      <c r="Q531" s="45">
        <f t="shared" ca="1" si="48"/>
        <v>44408.037943893425</v>
      </c>
      <c r="R531" s="47">
        <f t="shared" ca="1" si="49"/>
        <v>79931.15966396268</v>
      </c>
      <c r="S531" s="73">
        <f t="shared" ca="1" si="41"/>
        <v>1</v>
      </c>
      <c r="T531" s="73"/>
      <c r="U531" s="3"/>
      <c r="V531" s="3"/>
      <c r="W531" s="3"/>
      <c r="X531" s="3"/>
    </row>
    <row r="532" spans="1:24" ht="13">
      <c r="A532" s="40">
        <v>45607</v>
      </c>
      <c r="B532" s="41">
        <f t="array" aca="1" ref="B532" ca="1">IF(AND(A532 &gt; TODAY(), A532 &lt;= TODAY() + 7),
   INDEX(calculations!B:B, MATCH(143^143, calculations!B:B)),
   IF(ISNUMBER(MATCH(A532, calculations!A:A, 0)),
      INDEX(calculations!B:B, MATCH(A532, calculations!A:A, 0)),
      ""
   )
)</f>
        <v>88860</v>
      </c>
      <c r="C532" s="42">
        <f t="array" aca="1" ref="C532" ca="1">IF(B532&lt;&gt;"", IF(MATCH(A532, calculations!A:A, 0), INDEX(calculations!D:D, MATCH(A532, calculations!A:A, 0)), "No Match"),"")</f>
        <v>436048950363</v>
      </c>
      <c r="D532" s="43">
        <f t="shared" ca="1" si="50"/>
        <v>0.31102360462148348</v>
      </c>
      <c r="E532" s="43">
        <f t="shared" ca="1" si="42"/>
        <v>8.8967308243889751E-2</v>
      </c>
      <c r="F532" s="43">
        <f t="shared" ca="1" si="53"/>
        <v>9.0623104681835182E-2</v>
      </c>
      <c r="G532" s="42">
        <f t="shared" ca="1" si="43"/>
        <v>3.8747309729256176E+16</v>
      </c>
      <c r="H532" s="41">
        <f t="shared" ca="1" si="54"/>
        <v>66282.270482795328</v>
      </c>
      <c r="I532" s="3"/>
      <c r="J532" s="43">
        <f t="shared" ca="1" si="52"/>
        <v>-1.1287705337126703</v>
      </c>
      <c r="K532" s="44">
        <f t="shared" ca="1" si="51"/>
        <v>-3</v>
      </c>
      <c r="L532" s="3"/>
      <c r="M532" s="45">
        <f t="shared" ca="1" si="44"/>
        <v>54268.86020977117</v>
      </c>
      <c r="N532" s="47">
        <f t="shared" ca="1" si="45"/>
        <v>78295.680755819485</v>
      </c>
      <c r="O532" s="45">
        <f t="shared" ca="1" si="46"/>
        <v>48262.155073259106</v>
      </c>
      <c r="P532" s="47">
        <f t="shared" ca="1" si="47"/>
        <v>84302.385892331557</v>
      </c>
      <c r="Q532" s="45">
        <f t="shared" ca="1" si="48"/>
        <v>42255.449936747027</v>
      </c>
      <c r="R532" s="47">
        <f t="shared" ca="1" si="49"/>
        <v>90309.091028843643</v>
      </c>
      <c r="S532" s="73">
        <f t="shared" ca="1" si="41"/>
        <v>-1.1287705337126703</v>
      </c>
      <c r="T532" s="73"/>
      <c r="U532" s="3"/>
      <c r="V532" s="3"/>
      <c r="W532" s="3"/>
      <c r="X532" s="3"/>
    </row>
    <row r="533" spans="1:24" ht="13">
      <c r="A533" s="40">
        <v>45614</v>
      </c>
      <c r="B533" s="41">
        <f t="array" aca="1" ref="B533" ca="1">IF(AND(A533 &gt; TODAY(), A533 &lt;= TODAY() + 7),
   INDEX(calculations!B:B, MATCH(143^143, calculations!B:B)),
   IF(ISNUMBER(MATCH(A533, calculations!A:A, 0)),
      INDEX(calculations!B:B, MATCH(A533, calculations!A:A, 0)),
      ""
   )
)</f>
        <v>90587.7</v>
      </c>
      <c r="C533" s="42">
        <f t="array" aca="1" ref="C533" ca="1">IF(B533&lt;&gt;"", IF(MATCH(A533, calculations!A:A, 0), INDEX(calculations!D:D, MATCH(A533, calculations!A:A, 0)), "No Match"),"")</f>
        <v>631742325166</v>
      </c>
      <c r="D533" s="43">
        <f t="shared" ca="1" si="50"/>
        <v>1.9442943956785922E-2</v>
      </c>
      <c r="E533" s="43">
        <f t="shared" ca="1" si="42"/>
        <v>4.4799201981927415E-5</v>
      </c>
      <c r="F533" s="43">
        <f t="shared" ca="1" si="53"/>
        <v>8.9383601621401673E-2</v>
      </c>
      <c r="G533" s="42">
        <f t="shared" ca="1" si="43"/>
        <v>5.7228084229440056E+16</v>
      </c>
      <c r="H533" s="41">
        <f t="shared" ca="1" si="54"/>
        <v>71124.620708911199</v>
      </c>
      <c r="I533" s="3"/>
      <c r="J533" s="43">
        <f t="shared" ca="1" si="52"/>
        <v>-0.25278904865814433</v>
      </c>
      <c r="K533" s="44">
        <f t="shared" ca="1" si="51"/>
        <v>-3</v>
      </c>
      <c r="L533" s="3"/>
      <c r="M533" s="45">
        <f t="shared" ca="1" si="44"/>
        <v>58409.87118307397</v>
      </c>
      <c r="N533" s="47">
        <f t="shared" ca="1" si="45"/>
        <v>83839.370234748436</v>
      </c>
      <c r="O533" s="45">
        <f t="shared" ca="1" si="46"/>
        <v>52052.496420155359</v>
      </c>
      <c r="P533" s="47">
        <f t="shared" ca="1" si="47"/>
        <v>90196.744997667032</v>
      </c>
      <c r="Q533" s="45">
        <f t="shared" ca="1" si="48"/>
        <v>45695.121657236741</v>
      </c>
      <c r="R533" s="47">
        <f t="shared" ca="1" si="49"/>
        <v>96554.119760585658</v>
      </c>
      <c r="S533" s="73">
        <f t="shared" ca="1" si="41"/>
        <v>-0.25278904865814433</v>
      </c>
      <c r="T533" s="73"/>
      <c r="U533" s="3"/>
      <c r="V533" s="3"/>
      <c r="W533" s="3"/>
      <c r="X533" s="3"/>
    </row>
    <row r="534" spans="1:24" ht="13">
      <c r="A534" s="40">
        <v>45621</v>
      </c>
      <c r="B534" s="41">
        <f t="array" aca="1" ref="B534" ca="1">IF(AND(A534 &gt; TODAY(), A534 &lt;= TODAY() + 7),
   INDEX(calculations!B:B, MATCH(143^143, calculations!B:B)),
   IF(ISNUMBER(MATCH(A534, calculations!A:A, 0)),
      INDEX(calculations!B:B, MATCH(A534, calculations!A:A, 0)),
      ""
   )
)</f>
        <v>93343.03</v>
      </c>
      <c r="C534" s="42">
        <f t="array" aca="1" ref="C534" ca="1">IF(B534&lt;&gt;"", IF(MATCH(A534, calculations!A:A, 0), INDEX(calculations!D:D, MATCH(A534, calculations!A:A, 0)), "No Match"),"")</f>
        <v>502412531238</v>
      </c>
      <c r="D534" s="43">
        <f t="shared" ca="1" si="50"/>
        <v>3.0416160251336571E-2</v>
      </c>
      <c r="E534" s="43">
        <f t="shared" ca="1" si="42"/>
        <v>3.1210299250074091E-4</v>
      </c>
      <c r="F534" s="43">
        <f t="shared" ca="1" si="53"/>
        <v>8.8875240456679355E-2</v>
      </c>
      <c r="G534" s="42">
        <f t="shared" ca="1" si="43"/>
        <v>4.6896707975724568E+16</v>
      </c>
      <c r="H534" s="41">
        <f t="shared" ca="1" si="54"/>
        <v>74541.768911418942</v>
      </c>
      <c r="I534" s="3"/>
      <c r="J534" s="43">
        <f t="shared" ca="1" si="52"/>
        <v>-0.25478417612573745</v>
      </c>
      <c r="K534" s="44">
        <f t="shared" ca="1" si="51"/>
        <v>-2</v>
      </c>
      <c r="L534" s="3"/>
      <c r="M534" s="45">
        <f t="shared" ca="1" si="44"/>
        <v>61291.933639281771</v>
      </c>
      <c r="N534" s="47">
        <f t="shared" ca="1" si="45"/>
        <v>87791.604183556119</v>
      </c>
      <c r="O534" s="45">
        <f t="shared" ca="1" si="46"/>
        <v>54667.01600321319</v>
      </c>
      <c r="P534" s="47">
        <f t="shared" ca="1" si="47"/>
        <v>94416.521819624686</v>
      </c>
      <c r="Q534" s="45">
        <f t="shared" ca="1" si="48"/>
        <v>48042.098367144608</v>
      </c>
      <c r="R534" s="47">
        <f t="shared" ca="1" si="49"/>
        <v>101041.43945569328</v>
      </c>
      <c r="S534" s="73">
        <f t="shared" ca="1" si="41"/>
        <v>-0.25478417612573745</v>
      </c>
      <c r="T534" s="73"/>
      <c r="U534" s="3"/>
      <c r="V534" s="3"/>
      <c r="W534" s="3"/>
      <c r="X534" s="3"/>
    </row>
    <row r="535" spans="1:24" ht="13">
      <c r="A535" s="40">
        <v>45628</v>
      </c>
      <c r="B535" s="41">
        <f t="array" aca="1" ref="B535" ca="1">IF(AND(A535 &gt; TODAY(), A535 &lt;= TODAY() + 7),
   INDEX(calculations!B:B, MATCH(143^143, calculations!B:B)),
   IF(ISNUMBER(MATCH(A535, calculations!A:A, 0)),
      INDEX(calculations!B:B, MATCH(A535, calculations!A:A, 0)),
      ""
   )
)</f>
        <v>95726.44</v>
      </c>
      <c r="C535" s="42">
        <f t="array" aca="1" ref="C535" ca="1">IF(B535&lt;&gt;"", IF(MATCH(A535, calculations!A:A, 0), INDEX(calculations!D:D, MATCH(A535, calculations!A:A, 0)), "No Match"),"")</f>
        <v>419153048682</v>
      </c>
      <c r="D535" s="43">
        <f t="shared" ca="1" si="50"/>
        <v>2.5533882926234593E-2</v>
      </c>
      <c r="E535" s="43">
        <f t="shared" ca="1" si="42"/>
        <v>1.6343473586210216E-4</v>
      </c>
      <c r="F535" s="43">
        <f t="shared" ca="1" si="53"/>
        <v>8.863304231770007E-2</v>
      </c>
      <c r="G535" s="42">
        <f t="shared" ca="1" si="43"/>
        <v>4.0124029165474552E+16</v>
      </c>
      <c r="H535" s="41">
        <f t="shared" ca="1" si="54"/>
        <v>77240.820946464344</v>
      </c>
      <c r="I535" s="3"/>
      <c r="J535" s="43">
        <f t="shared" ca="1" si="52"/>
        <v>-0.24477742333655417</v>
      </c>
      <c r="K535" s="44">
        <f t="shared" ca="1" si="51"/>
        <v>-2</v>
      </c>
      <c r="L535" s="3"/>
      <c r="M535" s="45">
        <f t="shared" ca="1" si="44"/>
        <v>63548.643043260607</v>
      </c>
      <c r="N535" s="47">
        <f t="shared" ca="1" si="45"/>
        <v>90932.998849668089</v>
      </c>
      <c r="O535" s="45">
        <f t="shared" ca="1" si="46"/>
        <v>56702.554091658742</v>
      </c>
      <c r="P535" s="47">
        <f t="shared" ca="1" si="47"/>
        <v>97779.08780126994</v>
      </c>
      <c r="Q535" s="45">
        <f t="shared" ca="1" si="48"/>
        <v>49856.465140056869</v>
      </c>
      <c r="R535" s="47">
        <f t="shared" ca="1" si="49"/>
        <v>104625.17675287182</v>
      </c>
      <c r="S535" s="73">
        <f t="shared" ca="1" si="41"/>
        <v>-0.24477742333655417</v>
      </c>
      <c r="T535" s="73"/>
      <c r="U535" s="3"/>
      <c r="V535" s="3"/>
      <c r="W535" s="3"/>
      <c r="X535" s="3"/>
    </row>
    <row r="536" spans="1:24" ht="13">
      <c r="A536" s="40">
        <v>45635</v>
      </c>
      <c r="B536" s="41">
        <f t="array" aca="1" ref="B536" ca="1">IF(AND(A536 &gt; TODAY(), A536 &lt;= TODAY() + 7),
   INDEX(calculations!B:B, MATCH(143^143, calculations!B:B)),
   IF(ISNUMBER(MATCH(A536, calculations!A:A, 0)),
      INDEX(calculations!B:B, MATCH(A536, calculations!A:A, 0)),
      ""
   )
)</f>
        <v>97390.2</v>
      </c>
      <c r="C536" s="42">
        <f t="array" aca="1" ref="C536" ca="1">IF(B536&lt;&gt;"", IF(MATCH(A536, calculations!A:A, 0), INDEX(calculations!D:D, MATCH(A536, calculations!A:A, 0)), "No Match"),"")</f>
        <v>549005393438</v>
      </c>
      <c r="D536" s="43">
        <f t="shared" ca="1" si="50"/>
        <v>1.7380360117852441E-2</v>
      </c>
      <c r="E536" s="43">
        <f t="shared" ca="1" si="42"/>
        <v>2.1442796800254387E-5</v>
      </c>
      <c r="F536" s="43">
        <f t="shared" ca="1" si="53"/>
        <v>8.461228452568248E-2</v>
      </c>
      <c r="G536" s="42">
        <f t="shared" ca="1" si="43"/>
        <v>5.3467745068005504E+16</v>
      </c>
      <c r="H536" s="41">
        <f t="shared" ca="1" si="54"/>
        <v>80544.807429626933</v>
      </c>
      <c r="I536" s="3"/>
      <c r="J536" s="43">
        <f t="shared" ca="1" si="52"/>
        <v>-0.22444961992777224</v>
      </c>
      <c r="K536" s="44">
        <f t="shared" ca="1" si="51"/>
        <v>-2</v>
      </c>
      <c r="L536" s="3"/>
      <c r="M536" s="45">
        <f t="shared" ca="1" si="44"/>
        <v>66914.647103023133</v>
      </c>
      <c r="N536" s="47">
        <f t="shared" ca="1" si="45"/>
        <v>94174.967756230733</v>
      </c>
      <c r="O536" s="45">
        <f t="shared" ca="1" si="46"/>
        <v>60099.56693972124</v>
      </c>
      <c r="P536" s="47">
        <f t="shared" ca="1" si="47"/>
        <v>100990.04791953263</v>
      </c>
      <c r="Q536" s="45">
        <f t="shared" ca="1" si="48"/>
        <v>53284.48677641934</v>
      </c>
      <c r="R536" s="47">
        <f t="shared" ca="1" si="49"/>
        <v>107805.12808283452</v>
      </c>
      <c r="S536" s="73">
        <f t="shared" ca="1" si="41"/>
        <v>-0.22444961992777224</v>
      </c>
      <c r="T536" s="73"/>
      <c r="U536" s="3"/>
      <c r="V536" s="3"/>
      <c r="W536" s="3"/>
      <c r="X536" s="3"/>
    </row>
    <row r="537" spans="1:24" ht="13">
      <c r="A537" s="40">
        <v>45642</v>
      </c>
      <c r="B537" s="41">
        <f t="array" aca="1" ref="B537" ca="1">IF(AND(A537 &gt; TODAY(), A537 &lt;= TODAY() + 7),
   INDEX(calculations!B:B, MATCH(143^143, calculations!B:B)),
   IF(ISNUMBER(MATCH(A537, calculations!A:A, 0)),
      INDEX(calculations!B:B, MATCH(A537, calculations!A:A, 0)),
      ""
   )
)</f>
        <v>105855.67</v>
      </c>
      <c r="C537" s="42">
        <f t="array" aca="1" ref="C537" ca="1">IF(B537&lt;&gt;"", IF(MATCH(A537, calculations!A:A, 0), INDEX(calculations!D:D, MATCH(A537, calculations!A:A, 0)), "No Match"),"")</f>
        <v>521429282524</v>
      </c>
      <c r="D537" s="43">
        <f t="shared" ca="1" si="50"/>
        <v>8.6923222254395222E-2</v>
      </c>
      <c r="E537" s="43">
        <f t="shared" ca="1" si="42"/>
        <v>5.501707938510441E-3</v>
      </c>
      <c r="F537" s="43">
        <f t="shared" ca="1" si="53"/>
        <v>8.2712825626971159E-2</v>
      </c>
      <c r="G537" s="42">
        <f t="shared" ca="1" si="43"/>
        <v>5.5196246059197312E+16</v>
      </c>
      <c r="H537" s="41">
        <f t="shared" ca="1" si="54"/>
        <v>84300.965434856815</v>
      </c>
      <c r="I537" s="3"/>
      <c r="J537" s="43">
        <f t="shared" ca="1" si="52"/>
        <v>-0.44855910755654171</v>
      </c>
      <c r="K537" s="44">
        <f t="shared" ca="1" si="51"/>
        <v>-3</v>
      </c>
      <c r="L537" s="3"/>
      <c r="M537" s="45">
        <f t="shared" ca="1" si="44"/>
        <v>70355.423326459553</v>
      </c>
      <c r="N537" s="47">
        <f t="shared" ca="1" si="45"/>
        <v>98246.507543254076</v>
      </c>
      <c r="O537" s="45">
        <f t="shared" ca="1" si="46"/>
        <v>63382.652272260908</v>
      </c>
      <c r="P537" s="47">
        <f t="shared" ca="1" si="47"/>
        <v>105219.27859745271</v>
      </c>
      <c r="Q537" s="45">
        <f t="shared" ca="1" si="48"/>
        <v>56409.881218062277</v>
      </c>
      <c r="R537" s="47">
        <f t="shared" ca="1" si="49"/>
        <v>112192.04965165134</v>
      </c>
      <c r="S537" s="73">
        <f t="shared" ca="1" si="41"/>
        <v>-0.44855910755654171</v>
      </c>
      <c r="T537" s="73"/>
      <c r="U537" s="3"/>
      <c r="V537" s="3"/>
      <c r="W537" s="3"/>
      <c r="X537" s="3"/>
    </row>
    <row r="538" spans="1:24" ht="13">
      <c r="A538" s="40">
        <v>45649</v>
      </c>
      <c r="B538" s="41">
        <f t="array" aca="1" ref="B538" ca="1">IF(AND(A538 &gt; TODAY(), A538 &lt;= TODAY() + 7),
   INDEX(calculations!B:B, MATCH(143^143, calculations!B:B)),
   IF(ISNUMBER(MATCH(A538, calculations!A:A, 0)),
      INDEX(calculations!B:B, MATCH(A538, calculations!A:A, 0)),
      ""
   )
)</f>
        <v>94800.76</v>
      </c>
      <c r="C538" s="42">
        <f t="array" aca="1" ref="C538" ca="1">IF(B538&lt;&gt;"", IF(MATCH(A538, calculations!A:A, 0), INDEX(calculations!D:D, MATCH(A538, calculations!A:A, 0)), "No Match"),"")</f>
        <v>551244500231</v>
      </c>
      <c r="D538" s="43">
        <f t="shared" ca="1" si="50"/>
        <v>-0.10443380123143148</v>
      </c>
      <c r="E538" s="43">
        <f t="shared" ca="1" si="42"/>
        <v>1.3731978435238391E-2</v>
      </c>
      <c r="F538" s="43">
        <f t="shared" ca="1" si="53"/>
        <v>9.2064373503799091E-2</v>
      </c>
      <c r="G538" s="42">
        <f t="shared" ca="1" si="43"/>
        <v>5.2258397567718976E+16</v>
      </c>
      <c r="H538" s="41">
        <f t="shared" ca="1" si="54"/>
        <v>86442.878121038564</v>
      </c>
      <c r="I538" s="3"/>
      <c r="J538" s="43">
        <f t="shared" ca="1" si="52"/>
        <v>1</v>
      </c>
      <c r="K538" s="44" t="str">
        <f t="shared" ca="1" si="51"/>
        <v/>
      </c>
      <c r="L538" s="3"/>
      <c r="M538" s="45">
        <f t="shared" ca="1" si="44"/>
        <v>70526.259284881206</v>
      </c>
      <c r="N538" s="47">
        <f t="shared" ca="1" si="45"/>
        <v>102359.49695719592</v>
      </c>
      <c r="O538" s="45">
        <f t="shared" ca="1" si="46"/>
        <v>62567.949866802541</v>
      </c>
      <c r="P538" s="47">
        <f t="shared" ca="1" si="47"/>
        <v>110317.80637527459</v>
      </c>
      <c r="Q538" s="45">
        <f t="shared" ca="1" si="48"/>
        <v>54609.640448723854</v>
      </c>
      <c r="R538" s="47">
        <f t="shared" ca="1" si="49"/>
        <v>118276.11579335327</v>
      </c>
      <c r="S538" s="73">
        <f t="shared" ca="1" si="41"/>
        <v>1</v>
      </c>
      <c r="T538" s="73"/>
      <c r="U538" s="3"/>
      <c r="V538" s="3"/>
      <c r="W538" s="3"/>
      <c r="X538" s="3"/>
    </row>
    <row r="539" spans="1:24" ht="13">
      <c r="A539" s="40">
        <v>45656</v>
      </c>
      <c r="B539" s="41">
        <f t="array" aca="1" ref="B539" ca="1">IF(AND(A539 &gt; TODAY(), A539 &lt;= TODAY() + 7),
   INDEX(calculations!B:B, MATCH(143^143, calculations!B:B)),
   IF(ISNUMBER(MATCH(A539, calculations!A:A, 0)),
      INDEX(calculations!B:B, MATCH(A539, calculations!A:A, 0)),
      ""
   )
)</f>
        <v>92523.16</v>
      </c>
      <c r="C539" s="42">
        <f t="array" aca="1" ref="C539" ca="1">IF(B539&lt;&gt;"", IF(MATCH(A539, calculations!A:A, 0), INDEX(calculations!D:D, MATCH(A539, calculations!A:A, 0)), "No Match"),"")</f>
        <v>299272588112</v>
      </c>
      <c r="D539" s="43">
        <f t="shared" ca="1" si="50"/>
        <v>-2.4025123849217997E-2</v>
      </c>
      <c r="E539" s="43">
        <f t="shared" ca="1" si="42"/>
        <v>1.3523893871256838E-3</v>
      </c>
      <c r="F539" s="43">
        <f t="shared" ca="1" si="53"/>
        <v>9.235088637332016E-2</v>
      </c>
      <c r="G539" s="42">
        <f t="shared" ca="1" si="43"/>
        <v>2.7689645553500676E+16</v>
      </c>
      <c r="H539" s="41">
        <f t="shared" ca="1" si="54"/>
        <v>87778.714537946027</v>
      </c>
      <c r="I539" s="3"/>
      <c r="J539" s="43">
        <f t="shared" ca="1" si="52"/>
        <v>1</v>
      </c>
      <c r="K539" s="44" t="str">
        <f t="shared" ca="1" si="51"/>
        <v/>
      </c>
      <c r="L539" s="3"/>
      <c r="M539" s="45">
        <f t="shared" ca="1" si="44"/>
        <v>71565.830353366109</v>
      </c>
      <c r="N539" s="47">
        <f t="shared" ca="1" si="45"/>
        <v>103991.59872252595</v>
      </c>
      <c r="O539" s="45">
        <f t="shared" ca="1" si="46"/>
        <v>63459.38826107615</v>
      </c>
      <c r="P539" s="47">
        <f t="shared" ca="1" si="47"/>
        <v>112098.0408148159</v>
      </c>
      <c r="Q539" s="45">
        <f t="shared" ca="1" si="48"/>
        <v>55352.946168786184</v>
      </c>
      <c r="R539" s="47">
        <f t="shared" ca="1" si="49"/>
        <v>120204.48290710588</v>
      </c>
      <c r="S539" s="73">
        <f t="shared" ca="1" si="41"/>
        <v>1</v>
      </c>
      <c r="T539" s="73"/>
      <c r="U539" s="3"/>
      <c r="V539" s="3"/>
      <c r="W539" s="3"/>
      <c r="X539" s="3"/>
    </row>
    <row r="540" spans="1:24" ht="13">
      <c r="A540" s="40">
        <v>45663</v>
      </c>
      <c r="B540" s="41">
        <f t="array" aca="1" ref="B540" ca="1">IF(AND(A540 &gt; TODAY(), A540 &lt;= TODAY() + 7),
   INDEX(calculations!B:B, MATCH(143^143, calculations!B:B)),
   IF(ISNUMBER(MATCH(A540, calculations!A:A, 0)),
      INDEX(calculations!B:B, MATCH(A540, calculations!A:A, 0)),
      ""
   )
)</f>
        <v>102179.56</v>
      </c>
      <c r="C540" s="42">
        <f t="array" aca="1" ref="C540" ca="1">IF(B540&lt;&gt;"", IF(MATCH(A540, calculations!A:A, 0), INDEX(calculations!D:D, MATCH(A540, calculations!A:A, 0)), "No Match"),"")</f>
        <v>248821817930</v>
      </c>
      <c r="D540" s="43">
        <f t="shared" ca="1" si="50"/>
        <v>0.10436738217760821</v>
      </c>
      <c r="E540" s="43">
        <f t="shared" ca="1" si="42"/>
        <v>8.3937954075575995E-3</v>
      </c>
      <c r="F540" s="43">
        <f t="shared" ca="1" si="53"/>
        <v>9.3823204206767791E-2</v>
      </c>
      <c r="G540" s="42">
        <f t="shared" ca="1" si="43"/>
        <v>2.5424503874487512E+16</v>
      </c>
      <c r="H540" s="41">
        <f t="shared" ca="1" si="54"/>
        <v>89314.423484220955</v>
      </c>
      <c r="I540" s="3"/>
      <c r="J540" s="43">
        <f t="shared" ca="1" si="52"/>
        <v>1</v>
      </c>
      <c r="K540" s="44" t="str">
        <f t="shared" ca="1" si="51"/>
        <v/>
      </c>
      <c r="L540" s="3"/>
      <c r="M540" s="45">
        <f t="shared" ca="1" si="44"/>
        <v>72554.892697881354</v>
      </c>
      <c r="N540" s="47">
        <f t="shared" ca="1" si="45"/>
        <v>106073.95427056056</v>
      </c>
      <c r="O540" s="45">
        <f t="shared" ca="1" si="46"/>
        <v>64175.127304711561</v>
      </c>
      <c r="P540" s="47">
        <f t="shared" ca="1" si="47"/>
        <v>114453.71966373036</v>
      </c>
      <c r="Q540" s="45">
        <f t="shared" ca="1" si="48"/>
        <v>55795.36191154176</v>
      </c>
      <c r="R540" s="47">
        <f t="shared" ca="1" si="49"/>
        <v>122833.48505690016</v>
      </c>
      <c r="S540" s="73">
        <f t="shared" ca="1" si="41"/>
        <v>1</v>
      </c>
      <c r="T540" s="73"/>
      <c r="U540" s="3"/>
      <c r="V540" s="3"/>
      <c r="W540" s="3"/>
      <c r="X540" s="3"/>
    </row>
    <row r="541" spans="1:24" ht="13">
      <c r="A541" s="40">
        <v>45670</v>
      </c>
      <c r="B541" s="41">
        <f t="array" aca="1" ref="B541" ca="1">IF(AND(A541 &gt; TODAY(), A541 &lt;= TODAY() + 7),
   INDEX(calculations!B:B, MATCH(143^143, calculations!B:B)),
   IF(ISNUMBER(MATCH(A541, calculations!A:A, 0)),
      INDEX(calculations!B:B, MATCH(A541, calculations!A:A, 0)),
      ""
   )
)</f>
        <v>94375.73</v>
      </c>
      <c r="C541" s="42">
        <f t="array" aca="1" ref="C541" ca="1">IF(B541&lt;&gt;"", IF(MATCH(A541, calculations!A:A, 0), INDEX(calculations!D:D, MATCH(A541, calculations!A:A, 0)), "No Match"),"")</f>
        <v>338967010865</v>
      </c>
      <c r="D541" s="43">
        <f t="shared" ca="1" si="50"/>
        <v>-7.6373689610720594E-2</v>
      </c>
      <c r="E541" s="43">
        <f t="shared" ca="1" si="42"/>
        <v>7.9429827392208732E-3</v>
      </c>
      <c r="F541" s="43">
        <f t="shared" ca="1" si="53"/>
        <v>9.7924107165430221E-2</v>
      </c>
      <c r="G541" s="42">
        <f t="shared" ca="1" si="43"/>
        <v>3.1990259096302304E+16</v>
      </c>
      <c r="H541" s="41">
        <f t="shared" ca="1" si="54"/>
        <v>90734.626194384851</v>
      </c>
      <c r="I541" s="3"/>
      <c r="J541" s="43">
        <f t="shared" ca="1" si="52"/>
        <v>1</v>
      </c>
      <c r="K541" s="44" t="str">
        <f t="shared" ca="1" si="51"/>
        <v/>
      </c>
      <c r="L541" s="3"/>
      <c r="M541" s="45">
        <f t="shared" ca="1" si="44"/>
        <v>72964.411676236472</v>
      </c>
      <c r="N541" s="47">
        <f t="shared" ca="1" si="45"/>
        <v>108504.84071253323</v>
      </c>
      <c r="O541" s="45">
        <f t="shared" ca="1" si="46"/>
        <v>64079.304417162275</v>
      </c>
      <c r="P541" s="47">
        <f t="shared" ca="1" si="47"/>
        <v>117389.94797160743</v>
      </c>
      <c r="Q541" s="45">
        <f t="shared" ca="1" si="48"/>
        <v>55194.197158088078</v>
      </c>
      <c r="R541" s="47">
        <f t="shared" ca="1" si="49"/>
        <v>126275.05523068162</v>
      </c>
      <c r="S541" s="73">
        <f t="shared" ref="S541:S578" ca="1" si="55">IF(B541="","",
 IF(B541&lt;Q541, 1+(4*ABS(D541))+(1+$X$2)+F541,
 IF(B541&lt;O541, 1+(3*ABS(D541))+(1+$X$2)+F541,
 IF(B541&lt;M541, 1+(2*ABS(D541))+(1+$X$2)+F541,
 IF(B541&gt;R541, 1-(4*ABS(D541))-(1+$X$2)-F541,
 IF(B541&gt;P541, 1-(3*ABS(D541))-(1+$X$2)-F541,
 IF(B541&gt;N541, 1-(2*ABS(D541))-(1+$X$2)-F541,
 1)))))))</f>
        <v>1</v>
      </c>
      <c r="T541" s="73"/>
      <c r="U541" s="3"/>
      <c r="V541" s="3"/>
      <c r="W541" s="3"/>
      <c r="X541" s="3"/>
    </row>
    <row r="542" spans="1:24" ht="13">
      <c r="A542" s="40">
        <v>45677</v>
      </c>
      <c r="B542" s="41">
        <f t="array" aca="1" ref="B542" ca="1">IF(AND(A542 &gt; TODAY(), A542 &lt;= TODAY() + 7),
   INDEX(calculations!B:B, MATCH(143^143, calculations!B:B)),
   IF(ISNUMBER(MATCH(A542, calculations!A:A, 0)),
      INDEX(calculations!B:B, MATCH(A542, calculations!A:A, 0)),
      ""
   )
)</f>
        <v>102589</v>
      </c>
      <c r="C542" s="42">
        <f t="array" aca="1" ref="C542" ca="1">IF(B542&lt;&gt;"", IF(MATCH(A542, calculations!A:A, 0), INDEX(calculations!D:D, MATCH(A542, calculations!A:A, 0)), "No Match"),"")</f>
        <v>431218741018</v>
      </c>
      <c r="D542" s="43">
        <f t="shared" ca="1" si="50"/>
        <v>8.702735332484321E-2</v>
      </c>
      <c r="E542" s="43">
        <f t="shared" ca="1" si="42"/>
        <v>5.5171663134681494E-3</v>
      </c>
      <c r="F542" s="43">
        <f t="shared" ca="1" si="53"/>
        <v>9.8760707732559141E-2</v>
      </c>
      <c r="G542" s="42">
        <f t="shared" ca="1" si="43"/>
        <v>4.42382994222956E+16</v>
      </c>
      <c r="H542" s="41">
        <f t="shared" ca="1" si="54"/>
        <v>92447.957950374795</v>
      </c>
      <c r="I542" s="3"/>
      <c r="J542" s="43">
        <f t="shared" ca="1" si="52"/>
        <v>1</v>
      </c>
      <c r="K542" s="44" t="str">
        <f t="shared" ca="1" si="51"/>
        <v/>
      </c>
      <c r="L542" s="3"/>
      <c r="M542" s="45">
        <f t="shared" ca="1" si="44"/>
        <v>74187.506439157034</v>
      </c>
      <c r="N542" s="47">
        <f t="shared" ca="1" si="45"/>
        <v>110708.40946159257</v>
      </c>
      <c r="O542" s="45">
        <f t="shared" ca="1" si="46"/>
        <v>65057.280683548146</v>
      </c>
      <c r="P542" s="47">
        <f t="shared" ca="1" si="47"/>
        <v>119838.63521720146</v>
      </c>
      <c r="Q542" s="45">
        <f t="shared" ca="1" si="48"/>
        <v>55927.054927939273</v>
      </c>
      <c r="R542" s="47">
        <f t="shared" ca="1" si="49"/>
        <v>128968.86097281032</v>
      </c>
      <c r="S542" s="73">
        <f t="shared" ca="1" si="55"/>
        <v>1</v>
      </c>
      <c r="T542" s="73"/>
      <c r="U542" s="3"/>
      <c r="V542" s="3"/>
      <c r="W542" s="3"/>
      <c r="X542" s="3"/>
    </row>
    <row r="543" spans="1:24" ht="13">
      <c r="A543" s="40">
        <v>45684</v>
      </c>
      <c r="B543" s="41">
        <f t="array" aca="1" ref="B543" ca="1">IF(AND(A543 &gt; TODAY(), A543 &lt;= TODAY() + 7),
   INDEX(calculations!B:B, MATCH(143^143, calculations!B:B)),
   IF(ISNUMBER(MATCH(A543, calculations!A:A, 0)),
      INDEX(calculations!B:B, MATCH(A543, calculations!A:A, 0)),
      ""
   )
)</f>
        <v>101907.45</v>
      </c>
      <c r="C543" s="42">
        <f t="array" aca="1" ref="C543" ca="1">IF(B543&lt;&gt;"", IF(MATCH(A543, calculations!A:A, 0), INDEX(calculations!D:D, MATCH(A543, calculations!A:A, 0)), "No Match"),"")</f>
        <v>471816874719</v>
      </c>
      <c r="D543" s="43">
        <f t="shared" ca="1" si="50"/>
        <v>-6.6434997904259024E-3</v>
      </c>
      <c r="E543" s="43">
        <f t="shared" ca="1" si="42"/>
        <v>3.7609710409068284E-4</v>
      </c>
      <c r="F543" s="43">
        <f t="shared" ca="1" si="53"/>
        <v>9.9352119396404856E-2</v>
      </c>
      <c r="G543" s="42">
        <f t="shared" ca="1" si="43"/>
        <v>4.8081654569582752E+16</v>
      </c>
      <c r="H543" s="41">
        <f t="shared" ca="1" si="54"/>
        <v>94197.451003568989</v>
      </c>
      <c r="I543" s="3"/>
      <c r="J543" s="43">
        <f t="shared" ca="1" si="52"/>
        <v>1</v>
      </c>
      <c r="K543" s="44" t="str">
        <f t="shared" ca="1" si="51"/>
        <v/>
      </c>
      <c r="L543" s="3"/>
      <c r="M543" s="45">
        <f t="shared" ca="1" si="44"/>
        <v>75480.018205681816</v>
      </c>
      <c r="N543" s="47">
        <f t="shared" ca="1" si="45"/>
        <v>112914.88380145616</v>
      </c>
      <c r="O543" s="45">
        <f t="shared" ca="1" si="46"/>
        <v>66121.301806738236</v>
      </c>
      <c r="P543" s="47">
        <f t="shared" ca="1" si="47"/>
        <v>122273.60020039974</v>
      </c>
      <c r="Q543" s="45">
        <f t="shared" ca="1" si="48"/>
        <v>56762.585407794657</v>
      </c>
      <c r="R543" s="47">
        <f t="shared" ca="1" si="49"/>
        <v>131632.31659934332</v>
      </c>
      <c r="S543" s="73">
        <f t="shared" ca="1" si="55"/>
        <v>1</v>
      </c>
      <c r="T543" s="73"/>
      <c r="U543" s="3"/>
      <c r="V543" s="3"/>
      <c r="W543" s="3"/>
      <c r="X543" s="3"/>
    </row>
    <row r="544" spans="1:24" ht="13">
      <c r="A544" s="40">
        <v>45691</v>
      </c>
      <c r="B544" s="41">
        <f t="array" aca="1" ref="B544" ca="1">IF(AND(A544 &gt; TODAY(), A544 &lt;= TODAY() + 7),
   INDEX(calculations!B:B, MATCH(143^143, calculations!B:B)),
   IF(ISNUMBER(MATCH(A544, calculations!A:A, 0)),
      INDEX(calculations!B:B, MATCH(A544, calculations!A:A, 0)),
      ""
   )
)</f>
        <v>101582.41</v>
      </c>
      <c r="C544" s="42">
        <f t="array" aca="1" ref="C544" ca="1">IF(B544&lt;&gt;"", IF(MATCH(A544, calculations!A:A, 0), INDEX(calculations!D:D, MATCH(A544, calculations!A:A, 0)), "No Match"),"")</f>
        <v>293750824274</v>
      </c>
      <c r="D544" s="43">
        <f t="shared" ca="1" si="50"/>
        <v>-3.1895607239705594E-3</v>
      </c>
      <c r="E544" s="43">
        <f t="shared" ca="1" si="42"/>
        <v>2.5406077705072473E-4</v>
      </c>
      <c r="F544" s="43">
        <f t="shared" ca="1" si="53"/>
        <v>9.9844198014854738E-2</v>
      </c>
      <c r="G544" s="42">
        <f t="shared" ca="1" si="43"/>
        <v>2.983991666923942E+16</v>
      </c>
      <c r="H544" s="41">
        <f t="shared" ca="1" si="54"/>
        <v>95418.60624929909</v>
      </c>
      <c r="I544" s="3"/>
      <c r="J544" s="43">
        <f t="shared" ca="1" si="52"/>
        <v>1</v>
      </c>
      <c r="K544" s="44" t="str">
        <f t="shared" ca="1" si="51"/>
        <v/>
      </c>
      <c r="L544" s="3"/>
      <c r="M544" s="45">
        <f t="shared" ca="1" si="44"/>
        <v>76364.617815986145</v>
      </c>
      <c r="N544" s="47">
        <f t="shared" ca="1" si="45"/>
        <v>114472.59468261205</v>
      </c>
      <c r="O544" s="45">
        <f t="shared" ca="1" si="46"/>
        <v>66837.623599329672</v>
      </c>
      <c r="P544" s="47">
        <f t="shared" ca="1" si="47"/>
        <v>123999.58889926852</v>
      </c>
      <c r="Q544" s="45">
        <f t="shared" ca="1" si="48"/>
        <v>57310.6293826732</v>
      </c>
      <c r="R544" s="47">
        <f t="shared" ca="1" si="49"/>
        <v>133526.58311592499</v>
      </c>
      <c r="S544" s="73">
        <f t="shared" ca="1" si="55"/>
        <v>1</v>
      </c>
      <c r="T544" s="73"/>
      <c r="U544" s="3"/>
      <c r="V544" s="3"/>
      <c r="W544" s="3"/>
      <c r="X544" s="3"/>
    </row>
    <row r="545" spans="1:24" ht="13">
      <c r="A545" s="40">
        <v>45698</v>
      </c>
      <c r="B545" s="41">
        <f t="array" aca="1" ref="B545" ca="1">IF(AND(A545 &gt; TODAY(), A545 &lt;= TODAY() + 7),
   INDEX(calculations!B:B, MATCH(143^143, calculations!B:B)),
   IF(ISNUMBER(MATCH(A545, calculations!A:A, 0)),
      INDEX(calculations!B:B, MATCH(A545, calculations!A:A, 0)),
      ""
   )
)</f>
        <v>97375.23</v>
      </c>
      <c r="C545" s="42">
        <f t="array" aca="1" ref="C545" ca="1">IF(B545&lt;&gt;"", IF(MATCH(A545, calculations!A:A, 0), INDEX(calculations!D:D, MATCH(A545, calculations!A:A, 0)), "No Match"),"")</f>
        <v>388753129798</v>
      </c>
      <c r="D545" s="43">
        <f t="shared" ca="1" si="50"/>
        <v>-4.1416422390451332E-2</v>
      </c>
      <c r="E545" s="43">
        <f t="shared" ca="1" si="42"/>
        <v>2.9339713452593437E-3</v>
      </c>
      <c r="F545" s="43">
        <f t="shared" ca="1" si="53"/>
        <v>0.10043616182062323</v>
      </c>
      <c r="G545" s="42">
        <f t="shared" ca="1" si="43"/>
        <v>3.7854925427300104E+16</v>
      </c>
      <c r="H545" s="41">
        <f t="shared" ca="1" si="54"/>
        <v>96823.285582299475</v>
      </c>
      <c r="I545" s="3"/>
      <c r="J545" s="43">
        <f t="shared" ca="1" si="52"/>
        <v>1</v>
      </c>
      <c r="K545" s="44" t="str">
        <f t="shared" ca="1" si="51"/>
        <v/>
      </c>
      <c r="L545" s="3"/>
      <c r="M545" s="45">
        <f t="shared" ca="1" si="44"/>
        <v>77374.167224802994</v>
      </c>
      <c r="N545" s="47">
        <f t="shared" ca="1" si="45"/>
        <v>116272.40393979596</v>
      </c>
      <c r="O545" s="45">
        <f t="shared" ca="1" si="46"/>
        <v>67649.608046054738</v>
      </c>
      <c r="P545" s="47">
        <f t="shared" ca="1" si="47"/>
        <v>125996.96311854421</v>
      </c>
      <c r="Q545" s="45">
        <f t="shared" ca="1" si="48"/>
        <v>57925.04886730649</v>
      </c>
      <c r="R545" s="47">
        <f t="shared" ca="1" si="49"/>
        <v>135721.52229729245</v>
      </c>
      <c r="S545" s="73">
        <f t="shared" ca="1" si="55"/>
        <v>1</v>
      </c>
      <c r="T545" s="73"/>
      <c r="U545" s="3"/>
      <c r="V545" s="3"/>
      <c r="W545" s="3"/>
      <c r="X545" s="3"/>
    </row>
    <row r="546" spans="1:24" ht="13">
      <c r="A546" s="40">
        <v>45705</v>
      </c>
      <c r="B546" s="41">
        <f t="array" aca="1" ref="B546" ca="1">IF(AND(A546 &gt; TODAY(), A546 &lt;= TODAY() + 7),
   INDEX(calculations!B:B, MATCH(143^143, calculations!B:B)),
   IF(ISNUMBER(MATCH(A546, calculations!A:A, 0)),
      INDEX(calculations!B:B, MATCH(A546, calculations!A:A, 0)),
      ""
   )
)</f>
        <v>95790.51</v>
      </c>
      <c r="C546" s="42">
        <f t="array" aca="1" ref="C546" ca="1">IF(B546&lt;&gt;"", IF(MATCH(A546, calculations!A:A, 0), INDEX(calculations!D:D, MATCH(A546, calculations!A:A, 0)), "No Match"),"")</f>
        <v>230337481014</v>
      </c>
      <c r="D546" s="43">
        <f t="shared" ca="1" si="50"/>
        <v>-1.6274364640781861E-2</v>
      </c>
      <c r="E546" s="43">
        <f t="shared" ca="1" si="42"/>
        <v>8.423976841700734E-4</v>
      </c>
      <c r="F546" s="43">
        <f t="shared" ca="1" si="53"/>
        <v>6.0085777218529444E-2</v>
      </c>
      <c r="G546" s="42">
        <f t="shared" ca="1" si="43"/>
        <v>2.2064144778446376E+16</v>
      </c>
      <c r="H546" s="41">
        <f t="shared" ca="1" si="54"/>
        <v>97373.563969896306</v>
      </c>
      <c r="I546" s="3"/>
      <c r="J546" s="43">
        <f t="shared" ca="1" si="52"/>
        <v>1</v>
      </c>
      <c r="K546" s="44" t="str">
        <f t="shared" ca="1" si="51"/>
        <v/>
      </c>
      <c r="L546" s="3"/>
      <c r="M546" s="45">
        <f t="shared" ca="1" si="44"/>
        <v>85672.031426557485</v>
      </c>
      <c r="N546" s="47">
        <f t="shared" ca="1" si="45"/>
        <v>109075.09651323514</v>
      </c>
      <c r="O546" s="45">
        <f t="shared" ca="1" si="46"/>
        <v>79821.265154888068</v>
      </c>
      <c r="P546" s="47">
        <f t="shared" ca="1" si="47"/>
        <v>114925.86278490456</v>
      </c>
      <c r="Q546" s="45">
        <f t="shared" ca="1" si="48"/>
        <v>73970.49888321865</v>
      </c>
      <c r="R546" s="47">
        <f t="shared" ca="1" si="49"/>
        <v>120776.62905657396</v>
      </c>
      <c r="S546" s="73">
        <f t="shared" ca="1" si="55"/>
        <v>1</v>
      </c>
      <c r="T546" s="73"/>
      <c r="U546" s="3"/>
      <c r="V546" s="3"/>
      <c r="W546" s="3"/>
      <c r="X546" s="3"/>
    </row>
    <row r="547" spans="1:24" ht="13">
      <c r="A547" s="40">
        <v>45712</v>
      </c>
      <c r="B547" s="41">
        <f t="array" aca="1" ref="B547" ca="1">IF(AND(A547 &gt; TODAY(), A547 &lt;= TODAY() + 7),
   INDEX(calculations!B:B, MATCH(143^143, calculations!B:B)),
   IF(ISNUMBER(MATCH(A547, calculations!A:A, 0)),
      INDEX(calculations!B:B, MATCH(A547, calculations!A:A, 0)),
      ""
   )
)</f>
        <v>91869.65</v>
      </c>
      <c r="C547" s="42">
        <f t="array" aca="1" ref="C547" ca="1">IF(B547&lt;&gt;"", IF(MATCH(A547, calculations!A:A, 0), INDEX(calculations!D:D, MATCH(A547, calculations!A:A, 0)), "No Match"),"")</f>
        <v>210283176728</v>
      </c>
      <c r="D547" s="43">
        <f t="shared" ca="1" si="50"/>
        <v>-4.0931612118987576E-2</v>
      </c>
      <c r="E547" s="43">
        <f t="shared" ca="1" si="42"/>
        <v>2.8816857786096053E-3</v>
      </c>
      <c r="F547" s="43">
        <f t="shared" ca="1" si="53"/>
        <v>6.1282759095765027E-2</v>
      </c>
      <c r="G547" s="42">
        <f t="shared" ca="1" si="43"/>
        <v>1.9318641846889504E+16</v>
      </c>
      <c r="H547" s="41">
        <f t="shared" ca="1" si="54"/>
        <v>97947.11042630767</v>
      </c>
      <c r="I547" s="3"/>
      <c r="J547" s="43">
        <f t="shared" ca="1" si="52"/>
        <v>1</v>
      </c>
      <c r="K547" s="44" t="str">
        <f t="shared" ca="1" si="51"/>
        <v/>
      </c>
      <c r="L547" s="3"/>
      <c r="M547" s="45">
        <f t="shared" ca="1" si="44"/>
        <v>85942.172081544253</v>
      </c>
      <c r="N547" s="47">
        <f t="shared" ca="1" si="45"/>
        <v>109952.04877107107</v>
      </c>
      <c r="O547" s="45">
        <f t="shared" ca="1" si="46"/>
        <v>79939.702909162545</v>
      </c>
      <c r="P547" s="47">
        <f t="shared" ca="1" si="47"/>
        <v>115954.5179434528</v>
      </c>
      <c r="Q547" s="45">
        <f t="shared" ca="1" si="48"/>
        <v>73937.233736780836</v>
      </c>
      <c r="R547" s="47">
        <f t="shared" ca="1" si="49"/>
        <v>121956.9871158345</v>
      </c>
      <c r="S547" s="73">
        <f t="shared" ca="1" si="55"/>
        <v>1</v>
      </c>
      <c r="T547" s="73"/>
      <c r="U547" s="3"/>
      <c r="V547" s="3"/>
      <c r="W547" s="3"/>
      <c r="X547" s="3"/>
    </row>
    <row r="548" spans="1:24" ht="13">
      <c r="A548" s="40">
        <v>45719</v>
      </c>
      <c r="B548" s="41">
        <f t="array" aca="1" ref="B548" ca="1">IF(AND(A548 &gt; TODAY(), A548 &lt;= TODAY() + 7),
   INDEX(calculations!B:B, MATCH(143^143, calculations!B:B)),
   IF(ISNUMBER(MATCH(A548, calculations!A:A, 0)),
      INDEX(calculations!B:B, MATCH(A548, calculations!A:A, 0)),
      ""
   )
)</f>
        <v>86315.93</v>
      </c>
      <c r="C548" s="42">
        <f t="array" aca="1" ref="C548" ca="1">IF(B548&lt;&gt;"", IF(MATCH(A548, calculations!A:A, 0), INDEX(calculations!D:D, MATCH(A548, calculations!A:A, 0)), "No Match"),"")</f>
        <v>424642208809</v>
      </c>
      <c r="D548" s="43">
        <f t="shared" ca="1" si="50"/>
        <v>-6.0452173269409444E-2</v>
      </c>
      <c r="E548" s="43">
        <f t="shared" ca="1" si="42"/>
        <v>5.358517669872739E-3</v>
      </c>
      <c r="F548" s="43">
        <f t="shared" ca="1" si="53"/>
        <v>6.2916299939447681E-2</v>
      </c>
      <c r="G548" s="42">
        <f t="shared" ca="1" si="43"/>
        <v>3.6653387170603024E+16</v>
      </c>
      <c r="H548" s="41">
        <f t="shared" ca="1" si="54"/>
        <v>97458.898709540459</v>
      </c>
      <c r="I548" s="3"/>
      <c r="J548" s="43">
        <f t="shared" ca="1" si="52"/>
        <v>1</v>
      </c>
      <c r="K548" s="44" t="str">
        <f t="shared" ca="1" si="51"/>
        <v/>
      </c>
      <c r="L548" s="3"/>
      <c r="M548" s="45">
        <f t="shared" ca="1" si="44"/>
        <v>85195.392103585065</v>
      </c>
      <c r="N548" s="47">
        <f t="shared" ca="1" si="45"/>
        <v>109722.40531549585</v>
      </c>
      <c r="O548" s="45">
        <f t="shared" ca="1" si="46"/>
        <v>79063.638800607354</v>
      </c>
      <c r="P548" s="47">
        <f t="shared" ca="1" si="47"/>
        <v>115854.15861847356</v>
      </c>
      <c r="Q548" s="45">
        <f t="shared" ca="1" si="48"/>
        <v>72931.885497629657</v>
      </c>
      <c r="R548" s="47">
        <f t="shared" ca="1" si="49"/>
        <v>121985.91192145126</v>
      </c>
      <c r="S548" s="73">
        <f t="shared" ca="1" si="55"/>
        <v>1</v>
      </c>
      <c r="T548" s="73"/>
      <c r="U548" s="3"/>
      <c r="V548" s="3"/>
      <c r="W548" s="3"/>
      <c r="X548" s="3"/>
    </row>
    <row r="549" spans="1:24" ht="13">
      <c r="A549" s="40">
        <v>45726</v>
      </c>
      <c r="B549" s="41">
        <f t="array" aca="1" ref="B549" ca="1">IF(AND(A549 &gt; TODAY(), A549 &lt;= TODAY() + 7),
   INDEX(calculations!B:B, MATCH(143^143, calculations!B:B)),
   IF(ISNUMBER(MATCH(A549, calculations!A:A, 0)),
      INDEX(calculations!B:B, MATCH(A549, calculations!A:A, 0)),
      ""
   )
)</f>
        <v>79005.960000000006</v>
      </c>
      <c r="C549" s="42">
        <f t="array" aca="1" ref="C549" ca="1">IF(B549&lt;&gt;"", IF(MATCH(A549, calculations!A:A, 0), INDEX(calculations!D:D, MATCH(A549, calculations!A:A, 0)), "No Match"),"")</f>
        <v>351467410238</v>
      </c>
      <c r="D549" s="43">
        <f t="shared" ca="1" si="50"/>
        <v>-8.468853895219558E-2</v>
      </c>
      <c r="E549" s="43">
        <f t="shared" ca="1" si="42"/>
        <v>9.4942149620608294E-3</v>
      </c>
      <c r="F549" s="43">
        <f t="shared" ca="1" si="53"/>
        <v>6.5800152272855322E-2</v>
      </c>
      <c r="G549" s="42">
        <f t="shared" ca="1" si="43"/>
        <v>2.776802015456702E+16</v>
      </c>
      <c r="H549" s="41">
        <f t="shared" ca="1" si="54"/>
        <v>96374.464533577775</v>
      </c>
      <c r="I549" s="3"/>
      <c r="J549" s="43">
        <f t="shared" ca="1" si="52"/>
        <v>2.3402538453436317</v>
      </c>
      <c r="K549" s="44">
        <f t="shared" ca="1" si="51"/>
        <v>2</v>
      </c>
      <c r="L549" s="3"/>
      <c r="M549" s="45">
        <f t="shared" ca="1" si="44"/>
        <v>83691.555650529161</v>
      </c>
      <c r="N549" s="47">
        <f t="shared" ca="1" si="45"/>
        <v>109057.37341662639</v>
      </c>
      <c r="O549" s="45">
        <f t="shared" ca="1" si="46"/>
        <v>77350.101209004832</v>
      </c>
      <c r="P549" s="47">
        <f t="shared" ca="1" si="47"/>
        <v>115398.8278581507</v>
      </c>
      <c r="Q549" s="45">
        <f t="shared" ca="1" si="48"/>
        <v>71008.646767480532</v>
      </c>
      <c r="R549" s="47">
        <f t="shared" ca="1" si="49"/>
        <v>121740.28229967502</v>
      </c>
      <c r="S549" s="73">
        <f t="shared" ca="1" si="55"/>
        <v>2.3402538453436317</v>
      </c>
      <c r="T549" s="73"/>
      <c r="U549" s="3"/>
      <c r="V549" s="3"/>
      <c r="W549" s="3"/>
      <c r="X549" s="3"/>
    </row>
    <row r="550" spans="1:24" ht="13">
      <c r="A550" s="40">
        <v>45733</v>
      </c>
      <c r="B550" s="41">
        <f t="array" aca="1" ref="B550" ca="1">IF(AND(A550 &gt; TODAY(), A550 &lt;= TODAY() + 7),
   INDEX(calculations!B:B, MATCH(143^143, calculations!B:B)),
   IF(ISNUMBER(MATCH(A550, calculations!A:A, 0)),
      INDEX(calculations!B:B, MATCH(A550, calculations!A:A, 0)),
      ""
   )
)</f>
        <v>84013.95</v>
      </c>
      <c r="C550" s="42">
        <f t="array" aca="1" ref="C550" ca="1">IF(B550&lt;&gt;"", IF(MATCH(A550, calculations!A:A, 0), INDEX(calculations!D:D, MATCH(A550, calculations!A:A, 0)), "No Match"),"")</f>
        <v>245099235090</v>
      </c>
      <c r="D550" s="43">
        <f t="shared" ca="1" si="50"/>
        <v>6.3387496335719357E-2</v>
      </c>
      <c r="E550" s="43">
        <f t="shared" ca="1" si="42"/>
        <v>2.5641840521272723E-3</v>
      </c>
      <c r="F550" s="43">
        <f t="shared" ca="1" si="53"/>
        <v>6.8455390345319445E-2</v>
      </c>
      <c r="G550" s="42">
        <f t="shared" ca="1" si="43"/>
        <v>2.0591754881889504E+16</v>
      </c>
      <c r="H550" s="41">
        <f t="shared" ca="1" si="54"/>
        <v>95658.043084112025</v>
      </c>
      <c r="I550" s="3"/>
      <c r="J550" s="43">
        <f t="shared" ca="1" si="52"/>
        <v>1</v>
      </c>
      <c r="K550" s="44" t="str">
        <f t="shared" ca="1" si="51"/>
        <v/>
      </c>
      <c r="L550" s="3"/>
      <c r="M550" s="45">
        <f t="shared" ca="1" si="44"/>
        <v>82561.425726127476</v>
      </c>
      <c r="N550" s="47">
        <f t="shared" ca="1" si="45"/>
        <v>108754.66044209657</v>
      </c>
      <c r="O550" s="45">
        <f t="shared" ca="1" si="46"/>
        <v>76013.117047135209</v>
      </c>
      <c r="P550" s="47">
        <f t="shared" ca="1" si="47"/>
        <v>115302.96912108886</v>
      </c>
      <c r="Q550" s="45">
        <f t="shared" ca="1" si="48"/>
        <v>69464.808368142927</v>
      </c>
      <c r="R550" s="47">
        <f t="shared" ca="1" si="49"/>
        <v>121851.27780008112</v>
      </c>
      <c r="S550" s="73">
        <f t="shared" ca="1" si="55"/>
        <v>1</v>
      </c>
      <c r="T550" s="73"/>
      <c r="U550" s="3"/>
      <c r="V550" s="3"/>
      <c r="W550" s="3"/>
      <c r="X550" s="3"/>
    </row>
    <row r="551" spans="1:24" ht="13">
      <c r="A551" s="40">
        <v>45740</v>
      </c>
      <c r="B551" s="41">
        <f t="array" aca="1" ref="B551" ca="1">IF(AND(A551 &gt; TODAY(), A551 &lt;= TODAY() + 7),
   INDEX(calculations!B:B, MATCH(143^143, calculations!B:B)),
   IF(ISNUMBER(MATCH(A551, calculations!A:A, 0)),
      INDEX(calculations!B:B, MATCH(A551, calculations!A:A, 0)),
      ""
   )
)</f>
        <v>87322.57</v>
      </c>
      <c r="C551" s="42">
        <f t="array" aca="1" ref="C551" ca="1">IF(B551&lt;&gt;"", IF(MATCH(A551, calculations!A:A, 0), INDEX(calculations!D:D, MATCH(A551, calculations!A:A, 0)), "No Match"),"")</f>
        <v>154637791297</v>
      </c>
      <c r="D551" s="43">
        <f t="shared" ca="1" si="50"/>
        <v>3.9381793142686541E-2</v>
      </c>
      <c r="E551" s="43">
        <f t="shared" ca="1" si="42"/>
        <v>7.0926714100811856E-4</v>
      </c>
      <c r="F551" s="43">
        <f t="shared" ca="1" si="53"/>
        <v>6.44270136672557E-2</v>
      </c>
      <c r="G551" s="42">
        <f t="shared" ca="1" si="43"/>
        <v>1.3503369355177674E+16</v>
      </c>
      <c r="H551" s="41">
        <f t="shared" ca="1" si="54"/>
        <v>94234.363101287774</v>
      </c>
      <c r="I551" s="3"/>
      <c r="J551" s="43">
        <f t="shared" ca="1" si="52"/>
        <v>1</v>
      </c>
      <c r="K551" s="44" t="str">
        <f t="shared" ca="1" si="51"/>
        <v/>
      </c>
      <c r="L551" s="3"/>
      <c r="M551" s="45">
        <f t="shared" ca="1" si="44"/>
        <v>82091.885902384165</v>
      </c>
      <c r="N551" s="47">
        <f t="shared" ca="1" si="45"/>
        <v>106376.84030019138</v>
      </c>
      <c r="O551" s="45">
        <f t="shared" ca="1" si="46"/>
        <v>76020.647302932353</v>
      </c>
      <c r="P551" s="47">
        <f t="shared" ca="1" si="47"/>
        <v>112448.07889964319</v>
      </c>
      <c r="Q551" s="45">
        <f t="shared" ca="1" si="48"/>
        <v>69949.408703480556</v>
      </c>
      <c r="R551" s="47">
        <f t="shared" ca="1" si="49"/>
        <v>118519.31749909498</v>
      </c>
      <c r="S551" s="73">
        <f t="shared" ca="1" si="55"/>
        <v>1</v>
      </c>
      <c r="T551" s="73"/>
      <c r="U551" s="3"/>
      <c r="V551" s="3"/>
      <c r="W551" s="3"/>
      <c r="X551" s="3"/>
    </row>
    <row r="552" spans="1:24" ht="13">
      <c r="A552" s="40">
        <v>45747</v>
      </c>
      <c r="B552" s="41">
        <f t="array" aca="1" ref="B552" ca="1">IF(AND(A552 &gt; TODAY(), A552 &lt;= TODAY() + 7),
   INDEX(calculations!B:B, MATCH(143^143, calculations!B:B)),
   IF(ISNUMBER(MATCH(A552, calculations!A:A, 0)),
      INDEX(calculations!B:B, MATCH(A552, calculations!A:A, 0)),
      ""
   )
)</f>
        <v>82461.45</v>
      </c>
      <c r="C552" s="42">
        <f t="array" aca="1" ref="C552" ca="1">IF(B552&lt;&gt;"", IF(MATCH(A552, calculations!A:A, 0), INDEX(calculations!D:D, MATCH(A552, calculations!A:A, 0)), "No Match"),"")</f>
        <v>181637739548</v>
      </c>
      <c r="D552" s="43">
        <f t="shared" ca="1" si="50"/>
        <v>-5.5668540218181961E-2</v>
      </c>
      <c r="E552" s="43">
        <f t="shared" ca="1" si="42"/>
        <v>4.6810587908012171E-3</v>
      </c>
      <c r="F552" s="43">
        <f t="shared" ca="1" si="53"/>
        <v>6.0209871917354725E-2</v>
      </c>
      <c r="G552" s="42">
        <f t="shared" ca="1" si="43"/>
        <v>1.4978111377850424E+16</v>
      </c>
      <c r="H552" s="41">
        <f t="shared" ca="1" si="54"/>
        <v>93660.540299605156</v>
      </c>
      <c r="I552" s="3"/>
      <c r="J552" s="43">
        <f t="shared" ca="1" si="52"/>
        <v>1</v>
      </c>
      <c r="K552" s="44" t="str">
        <f t="shared" ca="1" si="51"/>
        <v/>
      </c>
      <c r="L552" s="3"/>
      <c r="M552" s="45">
        <f t="shared" ca="1" si="44"/>
        <v>82381.962029306218</v>
      </c>
      <c r="N552" s="47">
        <f t="shared" ca="1" si="45"/>
        <v>104939.11856990409</v>
      </c>
      <c r="O552" s="45">
        <f t="shared" ca="1" si="46"/>
        <v>76742.672894156756</v>
      </c>
      <c r="P552" s="47">
        <f t="shared" ca="1" si="47"/>
        <v>110578.40770505356</v>
      </c>
      <c r="Q552" s="45">
        <f t="shared" ca="1" si="48"/>
        <v>71103.383759007294</v>
      </c>
      <c r="R552" s="47">
        <f t="shared" ca="1" si="49"/>
        <v>116217.69684020302</v>
      </c>
      <c r="S552" s="73">
        <f t="shared" ca="1" si="55"/>
        <v>1</v>
      </c>
      <c r="T552" s="73"/>
      <c r="U552" s="3"/>
      <c r="V552" s="3"/>
      <c r="W552" s="3"/>
      <c r="X552" s="3"/>
    </row>
    <row r="553" spans="1:24" ht="13">
      <c r="A553" s="40">
        <v>45754</v>
      </c>
      <c r="B553" s="41">
        <f t="array" aca="1" ref="B553" ca="1">IF(AND(A553 &gt; TODAY(), A553 &lt;= TODAY() + 7),
   INDEX(calculations!B:B, MATCH(143^143, calculations!B:B)),
   IF(ISNUMBER(MATCH(A553, calculations!A:A, 0)),
      INDEX(calculations!B:B, MATCH(A553, calculations!A:A, 0)),
      ""
   )
)</f>
        <v>79421.8</v>
      </c>
      <c r="C553" s="42">
        <f t="array" aca="1" ref="C553" ca="1">IF(B553&lt;&gt;"", IF(MATCH(A553, calculations!A:A, 0), INDEX(calculations!D:D, MATCH(A553, calculations!A:A, 0)), "No Match"),"")</f>
        <v>237449686690</v>
      </c>
      <c r="D553" s="43">
        <f t="shared" ca="1" si="50"/>
        <v>-3.6861466782357022E-2</v>
      </c>
      <c r="E553" s="43">
        <f t="shared" ca="1" si="42"/>
        <v>2.4612701871581104E-3</v>
      </c>
      <c r="F553" s="43">
        <f t="shared" ca="1" si="53"/>
        <v>6.0565264098777896E-2</v>
      </c>
      <c r="G553" s="42">
        <f t="shared" ca="1" si="43"/>
        <v>1.8858681526355844E+16</v>
      </c>
      <c r="H553" s="41">
        <f t="shared" ca="1" si="54"/>
        <v>92938.116420255741</v>
      </c>
      <c r="I553" s="3"/>
      <c r="J553" s="43">
        <f t="shared" ca="1" si="52"/>
        <v>2.2393648128298769</v>
      </c>
      <c r="K553" s="44">
        <f t="shared" ca="1" si="51"/>
        <v>2</v>
      </c>
      <c r="L553" s="3"/>
      <c r="M553" s="45">
        <f t="shared" ca="1" si="44"/>
        <v>81680.473288584239</v>
      </c>
      <c r="N553" s="47">
        <f t="shared" ca="1" si="45"/>
        <v>104195.75955192726</v>
      </c>
      <c r="O553" s="45">
        <f t="shared" ca="1" si="46"/>
        <v>76051.651722748473</v>
      </c>
      <c r="P553" s="47">
        <f t="shared" ca="1" si="47"/>
        <v>109824.58111776302</v>
      </c>
      <c r="Q553" s="45">
        <f t="shared" ca="1" si="48"/>
        <v>70422.830156912722</v>
      </c>
      <c r="R553" s="47">
        <f t="shared" ca="1" si="49"/>
        <v>115453.40268359876</v>
      </c>
      <c r="S553" s="73">
        <f t="shared" ca="1" si="55"/>
        <v>2.2393648128298769</v>
      </c>
      <c r="T553" s="73"/>
      <c r="U553" s="3"/>
      <c r="V553" s="3"/>
      <c r="W553" s="3"/>
      <c r="X553" s="3"/>
    </row>
    <row r="554" spans="1:24" ht="13">
      <c r="A554" s="40">
        <v>45761</v>
      </c>
      <c r="B554" s="41">
        <f t="array" aca="1" ref="B554" ca="1">IF(AND(A554 &gt; TODAY(), A554 &lt;= TODAY() + 7),
   INDEX(calculations!B:B, MATCH(143^143, calculations!B:B)),
   IF(ISNUMBER(MATCH(A554, calculations!A:A, 0)),
      INDEX(calculations!B:B, MATCH(A554, calculations!A:A, 0)),
      ""
   )
)</f>
        <v>84589.03</v>
      </c>
      <c r="C554" s="42">
        <f t="array" aca="1" ref="C554" ca="1">IF(B554&lt;&gt;"", IF(MATCH(A554, calculations!A:A, 0), INDEX(calculations!D:D, MATCH(A554, calculations!A:A, 0)), "No Match"),"")</f>
        <v>363220466107</v>
      </c>
      <c r="D554" s="43">
        <f t="shared" ca="1" si="50"/>
        <v>6.5060600490041726E-2</v>
      </c>
      <c r="E554" s="43">
        <f t="shared" ca="1" si="42"/>
        <v>2.7364278663072725E-3</v>
      </c>
      <c r="F554" s="43">
        <f t="shared" ca="1" si="53"/>
        <v>5.5605270817522284E-2</v>
      </c>
      <c r="G554" s="42">
        <f t="shared" ca="1" si="43"/>
        <v>3.0724466904139004E+16</v>
      </c>
      <c r="H554" s="41">
        <f t="shared" ca="1" si="54"/>
        <v>91704.786711722336</v>
      </c>
      <c r="I554" s="3"/>
      <c r="J554" s="43">
        <f t="shared" ca="1" si="52"/>
        <v>1</v>
      </c>
      <c r="K554" s="44" t="str">
        <f t="shared" ca="1" si="51"/>
        <v/>
      </c>
      <c r="L554" s="3"/>
      <c r="M554" s="45">
        <f t="shared" ca="1" si="44"/>
        <v>81506.247710985452</v>
      </c>
      <c r="N554" s="47">
        <f t="shared" ca="1" si="45"/>
        <v>101903.32571245922</v>
      </c>
      <c r="O554" s="45">
        <f t="shared" ca="1" si="46"/>
        <v>76406.978210617017</v>
      </c>
      <c r="P554" s="47">
        <f t="shared" ca="1" si="47"/>
        <v>107002.59521282765</v>
      </c>
      <c r="Q554" s="45">
        <f t="shared" ca="1" si="48"/>
        <v>71307.708710248582</v>
      </c>
      <c r="R554" s="47">
        <f t="shared" ca="1" si="49"/>
        <v>112101.8647131961</v>
      </c>
      <c r="S554" s="73">
        <f t="shared" ca="1" si="55"/>
        <v>1</v>
      </c>
      <c r="T554" s="73"/>
      <c r="U554" s="3"/>
      <c r="V554" s="3"/>
      <c r="W554" s="3"/>
      <c r="X554" s="3"/>
    </row>
    <row r="555" spans="1:24" ht="13">
      <c r="A555" s="40">
        <v>45768</v>
      </c>
      <c r="B555" s="41">
        <f t="array" aca="1" ref="B555" ca="1">IF(AND(A555 &gt; TODAY(), A555 &lt;= TODAY() + 7),
   INDEX(calculations!B:B, MATCH(143^143, calculations!B:B)),
   IF(ISNUMBER(MATCH(A555, calculations!A:A, 0)),
      INDEX(calculations!B:B, MATCH(A555, calculations!A:A, 0)),
      ""
   )
)</f>
        <v>87360.72</v>
      </c>
      <c r="C555" s="42">
        <f t="array" aca="1" ref="C555" ca="1">IF(B555&lt;&gt;"", IF(MATCH(A555, calculations!A:A, 0), INDEX(calculations!D:D, MATCH(A555, calculations!A:A, 0)), "No Match"),"")</f>
        <v>155677486406</v>
      </c>
      <c r="D555" s="43">
        <f t="shared" ca="1" si="50"/>
        <v>3.2766541949943183E-2</v>
      </c>
      <c r="E555" s="43">
        <f t="shared" ca="1" si="42"/>
        <v>4.0067302653652747E-4</v>
      </c>
      <c r="F555" s="43">
        <f t="shared" ca="1" si="53"/>
        <v>5.34926100978848E-2</v>
      </c>
      <c r="G555" s="42">
        <f t="shared" ca="1" si="43"/>
        <v>1.3600097300218372E+16</v>
      </c>
      <c r="H555" s="41">
        <f t="shared" ca="1" si="54"/>
        <v>91322.748545246272</v>
      </c>
      <c r="I555" s="3"/>
      <c r="J555" s="43">
        <f t="shared" ca="1" si="52"/>
        <v>1</v>
      </c>
      <c r="K555" s="44" t="str">
        <f t="shared" ca="1" si="51"/>
        <v/>
      </c>
      <c r="L555" s="3"/>
      <c r="M555" s="45">
        <f t="shared" ca="1" si="44"/>
        <v>81552.564183250201</v>
      </c>
      <c r="N555" s="47">
        <f t="shared" ca="1" si="45"/>
        <v>101092.93290724233</v>
      </c>
      <c r="O555" s="45">
        <f t="shared" ca="1" si="46"/>
        <v>76667.472002252165</v>
      </c>
      <c r="P555" s="47">
        <f t="shared" ca="1" si="47"/>
        <v>105978.02508824038</v>
      </c>
      <c r="Q555" s="45">
        <f t="shared" ca="1" si="48"/>
        <v>71782.37982125413</v>
      </c>
      <c r="R555" s="47">
        <f t="shared" ca="1" si="49"/>
        <v>110863.11726923841</v>
      </c>
      <c r="S555" s="73">
        <f t="shared" ca="1" si="55"/>
        <v>1</v>
      </c>
      <c r="T555" s="73"/>
      <c r="U555" s="3"/>
      <c r="V555" s="3"/>
      <c r="W555" s="3"/>
      <c r="X555" s="3"/>
    </row>
    <row r="556" spans="1:24" ht="13">
      <c r="A556" s="40">
        <v>45775</v>
      </c>
      <c r="B556" s="41">
        <f t="array" aca="1" ref="B556" ca="1">IF(AND(A556 &gt; TODAY(), A556 &lt;= TODAY() + 7),
   INDEX(calculations!B:B, MATCH(143^143, calculations!B:B)),
   IF(ISNUMBER(MATCH(A556, calculations!A:A, 0)),
      INDEX(calculations!B:B, MATCH(A556, calculations!A:A, 0)),
      ""
   )
)</f>
        <v>95066.02</v>
      </c>
      <c r="C556" s="42">
        <f t="array" aca="1" ref="C556" ca="1">IF(B556&lt;&gt;"", IF(MATCH(A556, calculations!A:A, 0), INDEX(calculations!D:D, MATCH(A556, calculations!A:A, 0)), "No Match"),"")</f>
        <v>247116398033</v>
      </c>
      <c r="D556" s="43">
        <f t="shared" ca="1" si="50"/>
        <v>8.8200967208145756E-2</v>
      </c>
      <c r="E556" s="43">
        <f t="shared" ca="1" si="42"/>
        <v>5.6928901985106575E-3</v>
      </c>
      <c r="F556" s="43">
        <f t="shared" ca="1" si="53"/>
        <v>5.3647232219436965E-2</v>
      </c>
      <c r="G556" s="42">
        <f t="shared" ca="1" si="43"/>
        <v>2.349237243773314E+16</v>
      </c>
      <c r="H556" s="41">
        <f t="shared" ca="1" si="54"/>
        <v>90328.485534829364</v>
      </c>
      <c r="I556" s="3"/>
      <c r="J556" s="43">
        <f t="shared" ca="1" si="52"/>
        <v>1</v>
      </c>
      <c r="K556" s="44" t="str">
        <f t="shared" ca="1" si="51"/>
        <v/>
      </c>
      <c r="L556" s="3"/>
      <c r="M556" s="45">
        <f t="shared" ca="1" si="44"/>
        <v>80636.739055795275</v>
      </c>
      <c r="N556" s="47">
        <f t="shared" ca="1" si="45"/>
        <v>100020.23201386345</v>
      </c>
      <c r="O556" s="45">
        <f t="shared" ca="1" si="46"/>
        <v>75790.865816278223</v>
      </c>
      <c r="P556" s="47">
        <f t="shared" ca="1" si="47"/>
        <v>104866.10525338049</v>
      </c>
      <c r="Q556" s="45">
        <f t="shared" ca="1" si="48"/>
        <v>70944.992576761186</v>
      </c>
      <c r="R556" s="47">
        <f t="shared" ca="1" si="49"/>
        <v>109711.97849289754</v>
      </c>
      <c r="S556" s="73">
        <f t="shared" ca="1" si="55"/>
        <v>1</v>
      </c>
      <c r="T556" s="73"/>
      <c r="U556" s="3"/>
      <c r="V556" s="3"/>
      <c r="W556" s="3"/>
      <c r="X556" s="3"/>
    </row>
    <row r="557" spans="1:24" ht="13">
      <c r="A557" s="40">
        <v>45782</v>
      </c>
      <c r="B557" s="41">
        <f t="array" aca="1" ref="B557" ca="1">IF(AND(A557 &gt; TODAY(), A557 &lt;= TODAY() + 7),
   INDEX(calculations!B:B, MATCH(143^143, calculations!B:B)),
   IF(ISNUMBER(MATCH(A557, calculations!A:A, 0)),
      INDEX(calculations!B:B, MATCH(A557, calculations!A:A, 0)),
      ""
   )
)</f>
        <v>94853.73</v>
      </c>
      <c r="C557" s="42">
        <f t="array" aca="1" ref="C557" ca="1">IF(B557&lt;&gt;"", IF(MATCH(A557, calculations!A:A, 0), INDEX(calculations!D:D, MATCH(A557, calculations!A:A, 0)), "No Match"),"")</f>
        <v>179785916926</v>
      </c>
      <c r="D557" s="43">
        <f t="shared" ca="1" si="50"/>
        <v>-2.2330797060822376E-3</v>
      </c>
      <c r="E557" s="43">
        <f t="shared" ca="1" si="42"/>
        <v>2.2448438766173887E-4</v>
      </c>
      <c r="F557" s="43">
        <f t="shared" ca="1" si="53"/>
        <v>5.3644064504264247E-2</v>
      </c>
      <c r="G557" s="42">
        <f t="shared" ca="1" si="43"/>
        <v>1.7053364821901234E+16</v>
      </c>
      <c r="H557" s="41">
        <f t="shared" ca="1" si="54"/>
        <v>89059.44770799423</v>
      </c>
      <c r="I557" s="3"/>
      <c r="J557" s="43">
        <f t="shared" ca="1" si="52"/>
        <v>1</v>
      </c>
      <c r="K557" s="44" t="str">
        <f t="shared" ca="1" si="51"/>
        <v/>
      </c>
      <c r="L557" s="3"/>
      <c r="M557" s="45">
        <f t="shared" ca="1" si="44"/>
        <v>79504.426192870655</v>
      </c>
      <c r="N557" s="47">
        <f t="shared" ca="1" si="45"/>
        <v>98614.46922311782</v>
      </c>
      <c r="O557" s="45">
        <f t="shared" ca="1" si="46"/>
        <v>74726.915435308852</v>
      </c>
      <c r="P557" s="47">
        <f t="shared" ca="1" si="47"/>
        <v>103391.97998067961</v>
      </c>
      <c r="Q557" s="45">
        <f t="shared" ca="1" si="48"/>
        <v>69949.404677747065</v>
      </c>
      <c r="R557" s="47">
        <f t="shared" ca="1" si="49"/>
        <v>108169.49073824139</v>
      </c>
      <c r="S557" s="73">
        <f t="shared" ca="1" si="55"/>
        <v>1</v>
      </c>
      <c r="T557" s="73"/>
      <c r="U557" s="3"/>
      <c r="V557" s="3"/>
      <c r="W557" s="3"/>
      <c r="X557" s="3"/>
    </row>
    <row r="558" spans="1:24" ht="13">
      <c r="A558" s="40">
        <v>45789</v>
      </c>
      <c r="B558" s="41">
        <f t="array" aca="1" ref="B558" ca="1">IF(AND(A558 &gt; TODAY(), A558 &lt;= TODAY() + 7),
   INDEX(calculations!B:B, MATCH(143^143, calculations!B:B)),
   IF(ISNUMBER(MATCH(A558, calculations!A:A, 0)),
      INDEX(calculations!B:B, MATCH(A558, calculations!A:A, 0)),
      ""
   )
)</f>
        <v>102920.07</v>
      </c>
      <c r="C558" s="42">
        <f t="array" aca="1" ref="C558" ca="1">IF(B558&lt;&gt;"", IF(MATCH(A558, calculations!A:A, 0), INDEX(calculations!D:D, MATCH(A558, calculations!A:A, 0)), "No Match"),"")</f>
        <v>329648419633</v>
      </c>
      <c r="D558" s="43">
        <f t="shared" ca="1" si="50"/>
        <v>8.5039776506416892E-2</v>
      </c>
      <c r="E558" s="43">
        <f t="shared" ca="1" si="42"/>
        <v>5.2258517841784237E-3</v>
      </c>
      <c r="F558" s="43">
        <f t="shared" ca="1" si="53"/>
        <v>5.8666244540006997E-2</v>
      </c>
      <c r="G558" s="42">
        <f t="shared" ca="1" si="43"/>
        <v>3.3927438424017736E+16</v>
      </c>
      <c r="H558" s="41">
        <f t="shared" ca="1" si="54"/>
        <v>89300.139690537573</v>
      </c>
      <c r="I558" s="3"/>
      <c r="J558" s="43">
        <f t="shared" ca="1" si="52"/>
        <v>-0.33382241271922575</v>
      </c>
      <c r="K558" s="44">
        <f t="shared" ca="1" si="51"/>
        <v>-2</v>
      </c>
      <c r="L558" s="3"/>
      <c r="M558" s="45">
        <f t="shared" ca="1" si="44"/>
        <v>78822.332025453841</v>
      </c>
      <c r="N558" s="47">
        <f t="shared" ca="1" si="45"/>
        <v>99777.947355621305</v>
      </c>
      <c r="O558" s="45">
        <f t="shared" ca="1" si="46"/>
        <v>73583.428192911975</v>
      </c>
      <c r="P558" s="47">
        <f t="shared" ca="1" si="47"/>
        <v>105016.85118816317</v>
      </c>
      <c r="Q558" s="45">
        <f t="shared" ca="1" si="48"/>
        <v>68344.524360370124</v>
      </c>
      <c r="R558" s="47">
        <f t="shared" ca="1" si="49"/>
        <v>110255.75502070502</v>
      </c>
      <c r="S558" s="73">
        <f t="shared" ca="1" si="55"/>
        <v>-0.33382241271922575</v>
      </c>
      <c r="T558" s="73"/>
      <c r="U558" s="3"/>
      <c r="V558" s="3"/>
      <c r="W558" s="3"/>
      <c r="X558" s="3"/>
    </row>
    <row r="559" spans="1:24" ht="13">
      <c r="A559" s="40">
        <v>45796</v>
      </c>
      <c r="B559" s="41">
        <f t="array" aca="1" ref="B559" ca="1">IF(AND(A559 &gt; TODAY(), A559 &lt;= TODAY() + 7),
   INDEX(calculations!B:B, MATCH(143^143, calculations!B:B)),
   IF(ISNUMBER(MATCH(A559, calculations!A:A, 0)),
      INDEX(calculations!B:B, MATCH(A559, calculations!A:A, 0)),
      ""
   )
)</f>
        <v>105615.83</v>
      </c>
      <c r="C559" s="42">
        <f t="array" aca="1" ref="C559" ca="1">IF(B559&lt;&gt;"", IF(MATCH(A559, calculations!A:A, 0), INDEX(calculations!D:D, MATCH(A559, calculations!A:A, 0)), "No Match"),"")</f>
        <v>344395798973</v>
      </c>
      <c r="D559" s="43">
        <f t="shared" ca="1" si="50"/>
        <v>2.6192753269600327E-2</v>
      </c>
      <c r="E559" s="43">
        <f t="shared" ca="1" si="42"/>
        <v>1.8071505319999396E-4</v>
      </c>
      <c r="F559" s="43">
        <f t="shared" ca="1" si="53"/>
        <v>5.7543066162479839E-2</v>
      </c>
      <c r="G559" s="42">
        <f t="shared" ca="1" si="43"/>
        <v>3.6373648157046544E+16</v>
      </c>
      <c r="H559" s="41">
        <f t="shared" ca="1" si="54"/>
        <v>89978.543996750843</v>
      </c>
      <c r="I559" s="3"/>
      <c r="J559" s="43">
        <f t="shared" ca="1" si="52"/>
        <v>-0.24119794113766568</v>
      </c>
      <c r="K559" s="44">
        <f t="shared" ca="1" si="51"/>
        <v>-3</v>
      </c>
      <c r="L559" s="3"/>
      <c r="M559" s="45">
        <f t="shared" ca="1" si="44"/>
        <v>79623.261375933565</v>
      </c>
      <c r="N559" s="47">
        <f t="shared" ca="1" si="45"/>
        <v>100333.82661756812</v>
      </c>
      <c r="O559" s="45">
        <f t="shared" ca="1" si="46"/>
        <v>74445.620065524927</v>
      </c>
      <c r="P559" s="47">
        <f t="shared" ca="1" si="47"/>
        <v>105511.46792797676</v>
      </c>
      <c r="Q559" s="45">
        <f t="shared" ca="1" si="48"/>
        <v>69267.978755116288</v>
      </c>
      <c r="R559" s="47">
        <f t="shared" ca="1" si="49"/>
        <v>110689.1092383854</v>
      </c>
      <c r="S559" s="73">
        <f t="shared" ca="1" si="55"/>
        <v>-0.24119794113766568</v>
      </c>
      <c r="T559" s="73"/>
      <c r="U559" s="3"/>
      <c r="V559" s="3"/>
      <c r="W559" s="3"/>
      <c r="X559" s="3"/>
    </row>
    <row r="560" spans="1:24" ht="13">
      <c r="A560" s="40">
        <v>45803</v>
      </c>
      <c r="B560" s="41">
        <f t="array" aca="1" ref="B560" ca="1">IF(AND(A560 &gt; TODAY(), A560 &lt;= TODAY() + 7),
   INDEX(calculations!B:B, MATCH(143^143, calculations!B:B)),
   IF(ISNUMBER(MATCH(A560, calculations!A:A, 0)),
      INDEX(calculations!B:B, MATCH(A560, calculations!A:A, 0)),
      ""
   )
)</f>
        <v>109371.99</v>
      </c>
      <c r="C560" s="42">
        <f t="array" aca="1" ref="C560" ca="1">IF(B560&lt;&gt;"", IF(MATCH(A560, calculations!A:A, 0), INDEX(calculations!D:D, MATCH(A560, calculations!A:A, 0)), "No Match"),"")</f>
        <v>407490594865</v>
      </c>
      <c r="D560" s="43">
        <f t="shared" ca="1" si="50"/>
        <v>3.5564365682682259E-2</v>
      </c>
      <c r="E560" s="43">
        <f t="shared" ca="1" si="42"/>
        <v>5.2050790439607682E-4</v>
      </c>
      <c r="F560" s="43">
        <f t="shared" ca="1" si="53"/>
        <v>5.757369985391747E-2</v>
      </c>
      <c r="G560" s="42">
        <f t="shared" ca="1" si="43"/>
        <v>4.4568057266668832E+16</v>
      </c>
      <c r="H560" s="41">
        <f t="shared" ca="1" si="54"/>
        <v>91691.223348618718</v>
      </c>
      <c r="I560" s="3"/>
      <c r="J560" s="43">
        <f t="shared" ca="1" si="52"/>
        <v>-0.26934341206834911</v>
      </c>
      <c r="K560" s="44">
        <f t="shared" ca="1" si="51"/>
        <v>-3</v>
      </c>
      <c r="L560" s="3"/>
      <c r="M560" s="45">
        <f t="shared" ca="1" si="44"/>
        <v>81133.217403994946</v>
      </c>
      <c r="N560" s="47">
        <f t="shared" ca="1" si="45"/>
        <v>102249.22929324249</v>
      </c>
      <c r="O560" s="45">
        <f t="shared" ca="1" si="46"/>
        <v>75854.214431683067</v>
      </c>
      <c r="P560" s="47">
        <f t="shared" ca="1" si="47"/>
        <v>107528.23226555435</v>
      </c>
      <c r="Q560" s="45">
        <f t="shared" ca="1" si="48"/>
        <v>70575.211459371189</v>
      </c>
      <c r="R560" s="47">
        <f t="shared" ca="1" si="49"/>
        <v>112807.23523786625</v>
      </c>
      <c r="S560" s="73">
        <f t="shared" ca="1" si="55"/>
        <v>-0.26934341206834911</v>
      </c>
      <c r="T560" s="73"/>
      <c r="U560" s="3"/>
      <c r="V560" s="3"/>
      <c r="W560" s="3"/>
      <c r="X560" s="3"/>
    </row>
    <row r="561" spans="1:24" ht="13">
      <c r="A561" s="40">
        <v>45810</v>
      </c>
      <c r="B561" s="41">
        <f t="array" aca="1" ref="B561" ca="1">IF(AND(A561 &gt; TODAY(), A561 &lt;= TODAY() + 7),
   INDEX(calculations!B:B, MATCH(143^143, calculations!B:B)),
   IF(ISNUMBER(MATCH(A561, calculations!A:A, 0)),
      INDEX(calculations!B:B, MATCH(A561, calculations!A:A, 0)),
      ""
   )
)</f>
        <v>105899.7</v>
      </c>
      <c r="C561" s="42">
        <f t="array" aca="1" ref="C561" ca="1">IF(B561&lt;&gt;"", IF(MATCH(A561, calculations!A:A, 0), INDEX(calculations!D:D, MATCH(A561, calculations!A:A, 0)), "No Match"),"")</f>
        <v>342628955292</v>
      </c>
      <c r="D561" s="43">
        <f t="shared" ca="1" si="50"/>
        <v>-3.1747525120462819E-2</v>
      </c>
      <c r="E561" s="43">
        <f t="shared" ca="1" si="42"/>
        <v>1.9800051221679216E-3</v>
      </c>
      <c r="F561" s="43">
        <f t="shared" ca="1" si="53"/>
        <v>5.6985112750320852E-2</v>
      </c>
      <c r="G561" s="42">
        <f t="shared" ca="1" si="43"/>
        <v>3.6284303576736208E+16</v>
      </c>
      <c r="H561" s="41">
        <f t="shared" ca="1" si="54"/>
        <v>92909.593974248259</v>
      </c>
      <c r="I561" s="3"/>
      <c r="J561" s="43">
        <f t="shared" ca="1" si="52"/>
        <v>-0.22555677815763137</v>
      </c>
      <c r="K561" s="44">
        <f t="shared" ca="1" si="51"/>
        <v>-2</v>
      </c>
      <c r="L561" s="3"/>
      <c r="M561" s="45">
        <f t="shared" ca="1" si="44"/>
        <v>82320.666597830117</v>
      </c>
      <c r="N561" s="47">
        <f t="shared" ca="1" si="45"/>
        <v>103498.52135066639</v>
      </c>
      <c r="O561" s="45">
        <f t="shared" ca="1" si="46"/>
        <v>77026.202909621061</v>
      </c>
      <c r="P561" s="47">
        <f t="shared" ca="1" si="47"/>
        <v>108792.98503887546</v>
      </c>
      <c r="Q561" s="45">
        <f t="shared" ca="1" si="48"/>
        <v>71731.739221411975</v>
      </c>
      <c r="R561" s="47">
        <f t="shared" ca="1" si="49"/>
        <v>114087.44872708454</v>
      </c>
      <c r="S561" s="73">
        <f t="shared" ca="1" si="55"/>
        <v>-0.22555677815763137</v>
      </c>
      <c r="T561" s="73"/>
      <c r="U561" s="3"/>
      <c r="V561" s="3"/>
      <c r="W561" s="3"/>
      <c r="X561" s="3"/>
    </row>
    <row r="562" spans="1:24" ht="13">
      <c r="A562" s="40">
        <v>45817</v>
      </c>
      <c r="B562" s="41">
        <f t="array" aca="1" ref="B562" ca="1">IF(AND(A562 &gt; TODAY(), A562 &lt;= TODAY() + 7),
   INDEX(calculations!B:B, MATCH(143^143, calculations!B:B)),
   IF(ISNUMBER(MATCH(A562, calculations!A:A, 0)),
      INDEX(calculations!B:B, MATCH(A562, calculations!A:A, 0)),
      ""
   )
)</f>
        <v>110198.16</v>
      </c>
      <c r="C562" s="42">
        <f t="array" aca="1" ref="C562" ca="1">IF(B562&lt;&gt;"", IF(MATCH(A562, calculations!A:A, 0), INDEX(calculations!D:D, MATCH(A562, calculations!A:A, 0)), "No Match"),"")</f>
        <v>317888269963</v>
      </c>
      <c r="D562" s="43">
        <f t="shared" ca="1" si="50"/>
        <v>4.0589916685316453E-2</v>
      </c>
      <c r="E562" s="43">
        <f t="shared" ca="1" si="42"/>
        <v>7.7507636449368402E-4</v>
      </c>
      <c r="F562" s="43">
        <f t="shared" ca="1" si="53"/>
        <v>5.3430268829779942E-2</v>
      </c>
      <c r="G562" s="42">
        <f t="shared" ca="1" si="43"/>
        <v>3.5030702435505868E+16</v>
      </c>
      <c r="H562" s="41">
        <f t="shared" ca="1" si="54"/>
        <v>95059.793659568852</v>
      </c>
      <c r="I562" s="3"/>
      <c r="J562" s="43">
        <f t="shared" ca="1" si="52"/>
        <v>-0.23968671736679778</v>
      </c>
      <c r="K562" s="44">
        <f t="shared" ca="1" si="51"/>
        <v>-2</v>
      </c>
      <c r="L562" s="3"/>
      <c r="M562" s="45">
        <f t="shared" ca="1" si="44"/>
        <v>84901.652999300495</v>
      </c>
      <c r="N562" s="47">
        <f t="shared" ca="1" si="45"/>
        <v>105217.93431983721</v>
      </c>
      <c r="O562" s="45">
        <f t="shared" ca="1" si="46"/>
        <v>79822.582669166324</v>
      </c>
      <c r="P562" s="47">
        <f t="shared" ca="1" si="47"/>
        <v>110297.00464997138</v>
      </c>
      <c r="Q562" s="45">
        <f t="shared" ca="1" si="48"/>
        <v>74743.512339032153</v>
      </c>
      <c r="R562" s="47">
        <f t="shared" ca="1" si="49"/>
        <v>115376.07498010556</v>
      </c>
      <c r="S562" s="73">
        <f t="shared" ca="1" si="55"/>
        <v>-0.23968671736679778</v>
      </c>
      <c r="T562" s="73"/>
      <c r="U562" s="3"/>
      <c r="V562" s="3"/>
      <c r="W562" s="3"/>
      <c r="X562" s="3"/>
    </row>
    <row r="563" spans="1:24" ht="13">
      <c r="A563" s="40">
        <v>45824</v>
      </c>
      <c r="B563" s="41">
        <f t="array" aca="1" ref="B563" ca="1">IF(AND(A563 &gt; TODAY(), A563 &lt;= TODAY() + 7),
   INDEX(calculations!B:B, MATCH(143^143, calculations!B:B)),
   IF(ISNUMBER(MATCH(A563, calculations!A:A, 0)),
      INDEX(calculations!B:B, MATCH(A563, calculations!A:A, 0)),
      ""
   )
)</f>
        <v>107243.93</v>
      </c>
      <c r="C563" s="42">
        <f t="array" aca="1" ref="C563" ca="1">IF(B563&lt;&gt;"", IF(MATCH(A563, calculations!A:A, 0), INDEX(calculations!D:D, MATCH(A563, calculations!A:A, 0)), "No Match"),"")</f>
        <v>361795536525</v>
      </c>
      <c r="D563" s="43">
        <f t="shared" ca="1" si="50"/>
        <v>-2.6808342353447739E-2</v>
      </c>
      <c r="E563" s="43">
        <f t="shared" ca="1" si="42"/>
        <v>1.5648405628435386E-3</v>
      </c>
      <c r="F563" s="43">
        <f t="shared" ca="1" si="53"/>
        <v>4.6598536060378545E-2</v>
      </c>
      <c r="G563" s="42">
        <f t="shared" ca="1" si="43"/>
        <v>3.8800375193399544E+16</v>
      </c>
      <c r="H563" s="41">
        <f t="shared" ca="1" si="54"/>
        <v>97657.864607934331</v>
      </c>
      <c r="I563" s="3"/>
      <c r="J563" s="43">
        <f t="shared" ca="1" si="52"/>
        <v>-0.20529183593365896</v>
      </c>
      <c r="K563" s="44">
        <f t="shared" ca="1" si="51"/>
        <v>-2</v>
      </c>
      <c r="L563" s="3"/>
      <c r="M563" s="45">
        <f t="shared" ca="1" si="44"/>
        <v>88556.437556909543</v>
      </c>
      <c r="N563" s="47">
        <f t="shared" ca="1" si="45"/>
        <v>106759.29165895912</v>
      </c>
      <c r="O563" s="45">
        <f t="shared" ca="1" si="46"/>
        <v>84005.724031397156</v>
      </c>
      <c r="P563" s="47">
        <f t="shared" ca="1" si="47"/>
        <v>111310.00518447151</v>
      </c>
      <c r="Q563" s="45">
        <f t="shared" ca="1" si="48"/>
        <v>79455.010505884755</v>
      </c>
      <c r="R563" s="47">
        <f t="shared" ca="1" si="49"/>
        <v>115860.71870998391</v>
      </c>
      <c r="S563" s="73">
        <f t="shared" ca="1" si="55"/>
        <v>-0.20529183593365896</v>
      </c>
      <c r="T563" s="73"/>
      <c r="U563" s="3"/>
      <c r="V563" s="3"/>
      <c r="W563" s="3"/>
      <c r="X563" s="3"/>
    </row>
    <row r="564" spans="1:24" ht="13">
      <c r="A564" s="40">
        <v>45831</v>
      </c>
      <c r="B564" s="41">
        <f t="array" aca="1" ref="B564" ca="1">IF(AND(A564 &gt; TODAY(), A564 &lt;= TODAY() + 7),
   INDEX(calculations!B:B, MATCH(143^143, calculations!B:B)),
   IF(ISNUMBER(MATCH(A564, calculations!A:A, 0)),
      INDEX(calculations!B:B, MATCH(A564, calculations!A:A, 0)),
      ""
   )
)</f>
        <v>105496.95</v>
      </c>
      <c r="C564" s="42">
        <f t="array" aca="1" ref="C564" ca="1">IF(B564&lt;&gt;"", IF(MATCH(A564, calculations!A:A, 0), INDEX(calculations!D:D, MATCH(A564, calculations!A:A, 0)), "No Match"),"")</f>
        <v>345832029969</v>
      </c>
      <c r="D564" s="43">
        <f t="shared" ca="1" si="50"/>
        <v>-1.628977975723191E-2</v>
      </c>
      <c r="E564" s="43">
        <f t="shared" ca="1" si="42"/>
        <v>8.432927411886088E-4</v>
      </c>
      <c r="F564" s="43">
        <f t="shared" ca="1" si="53"/>
        <v>4.6158114537560392E-2</v>
      </c>
      <c r="G564" s="42">
        <f t="shared" ca="1" si="43"/>
        <v>3.6484224374038096E+16</v>
      </c>
      <c r="H564" s="41">
        <f t="shared" ca="1" si="54"/>
        <v>99183.389167797795</v>
      </c>
      <c r="I564" s="3"/>
      <c r="J564" s="43">
        <f t="shared" ca="1" si="52"/>
        <v>1</v>
      </c>
      <c r="K564" s="44" t="str">
        <f t="shared" ca="1" si="51"/>
        <v/>
      </c>
      <c r="L564" s="3"/>
      <c r="M564" s="45">
        <f t="shared" ca="1" si="44"/>
        <v>90027.152692936521</v>
      </c>
      <c r="N564" s="47">
        <f t="shared" ca="1" si="45"/>
        <v>108339.62564265907</v>
      </c>
      <c r="O564" s="45">
        <f t="shared" ca="1" si="46"/>
        <v>85449.034455505884</v>
      </c>
      <c r="P564" s="47">
        <f t="shared" ca="1" si="47"/>
        <v>112917.74388008971</v>
      </c>
      <c r="Q564" s="45">
        <f t="shared" ca="1" si="48"/>
        <v>80870.916218075246</v>
      </c>
      <c r="R564" s="47">
        <f t="shared" ca="1" si="49"/>
        <v>117495.86211752036</v>
      </c>
      <c r="S564" s="73">
        <f t="shared" ca="1" si="55"/>
        <v>1</v>
      </c>
      <c r="T564" s="73"/>
      <c r="U564" s="3"/>
      <c r="V564" s="3"/>
      <c r="W564" s="3"/>
      <c r="X564" s="3"/>
    </row>
    <row r="565" spans="1:24" ht="13">
      <c r="A565" s="40">
        <v>45838</v>
      </c>
      <c r="B565" s="41">
        <f t="array" aca="1" ref="B565" ca="1">IF(AND(A565 &gt; TODAY(), A565 &lt;= TODAY() + 7),
   INDEX(calculations!B:B, MATCH(143^143, calculations!B:B)),
   IF(ISNUMBER(MATCH(A565, calculations!A:A, 0)),
      INDEX(calculations!B:B, MATCH(A565, calculations!A:A, 0)),
      ""
   )
)</f>
        <v>107153.1</v>
      </c>
      <c r="C565" s="42">
        <f t="array" aca="1" ref="C565" ca="1">IF(B565&lt;&gt;"", IF(MATCH(A565, calculations!A:A, 0), INDEX(calculations!D:D, MATCH(A565, calculations!A:A, 0)), "No Match"),"")</f>
        <v>320503132421</v>
      </c>
      <c r="D565" s="43">
        <f t="shared" ca="1" si="50"/>
        <v>1.5698558109973879E-2</v>
      </c>
      <c r="E565" s="43">
        <f t="shared" ca="1" si="42"/>
        <v>8.6956263935303601E-6</v>
      </c>
      <c r="F565" s="43">
        <f t="shared" ca="1" si="53"/>
        <v>4.5721285818396233E-2</v>
      </c>
      <c r="G565" s="42">
        <f t="shared" ca="1" si="43"/>
        <v>3.4342904198620656E+16</v>
      </c>
      <c r="H565" s="41">
        <f t="shared" ca="1" si="54"/>
        <v>100244.66448055177</v>
      </c>
      <c r="I565" s="3"/>
      <c r="J565" s="43">
        <f t="shared" ca="1" si="52"/>
        <v>1</v>
      </c>
      <c r="K565" s="44" t="str">
        <f t="shared" ca="1" si="51"/>
        <v/>
      </c>
      <c r="L565" s="3"/>
      <c r="M565" s="45">
        <f t="shared" ca="1" si="44"/>
        <v>91078.034567582683</v>
      </c>
      <c r="N565" s="47">
        <f t="shared" ca="1" si="45"/>
        <v>109411.29439352085</v>
      </c>
      <c r="O565" s="45">
        <f t="shared" ca="1" si="46"/>
        <v>86494.71961109816</v>
      </c>
      <c r="P565" s="47">
        <f t="shared" ca="1" si="47"/>
        <v>113994.6093500054</v>
      </c>
      <c r="Q565" s="45">
        <f t="shared" ca="1" si="48"/>
        <v>81911.404654613609</v>
      </c>
      <c r="R565" s="47">
        <f t="shared" ca="1" si="49"/>
        <v>118577.92430648993</v>
      </c>
      <c r="S565" s="73">
        <f t="shared" ca="1" si="55"/>
        <v>1</v>
      </c>
      <c r="T565" s="73"/>
      <c r="U565" s="3"/>
      <c r="V565" s="3"/>
      <c r="W565" s="3"/>
      <c r="X565" s="3"/>
    </row>
    <row r="566" spans="1:24" ht="13">
      <c r="A566" s="40">
        <v>45845</v>
      </c>
      <c r="B566" s="41">
        <f t="array" aca="1" ref="B566" ca="1">IF(AND(A566 &gt; TODAY(), A566 &lt;= TODAY() + 7),
   INDEX(calculations!B:B, MATCH(143^143, calculations!B:B)),
   IF(ISNUMBER(MATCH(A566, calculations!A:A, 0)),
      INDEX(calculations!B:B, MATCH(A566, calculations!A:A, 0)),
      ""
   )
)</f>
        <v>108249.4</v>
      </c>
      <c r="C566" s="42">
        <f t="array" aca="1" ref="C566" ca="1">IF(B566&lt;&gt;"", IF(MATCH(A566, calculations!A:A, 0), INDEX(calculations!D:D, MATCH(A566, calculations!A:A, 0)), "No Match"),"")</f>
        <v>302896897483</v>
      </c>
      <c r="D566" s="43">
        <f t="shared" ca="1" si="50"/>
        <v>1.0231155234892769E-2</v>
      </c>
      <c r="E566" s="43">
        <f t="shared" ca="1" si="42"/>
        <v>6.3431853915163493E-6</v>
      </c>
      <c r="F566" s="43">
        <f t="shared" ca="1" si="53"/>
        <v>4.0954655202225763E-2</v>
      </c>
      <c r="G566" s="42">
        <f t="shared" ca="1" si="43"/>
        <v>3.278840741439626E+16</v>
      </c>
      <c r="H566" s="41">
        <f t="shared" ca="1" si="54"/>
        <v>101573.2064356653</v>
      </c>
      <c r="I566" s="3"/>
      <c r="J566" s="43">
        <f t="shared" ca="1" si="52"/>
        <v>1</v>
      </c>
      <c r="K566" s="44" t="str">
        <f t="shared" ca="1" si="51"/>
        <v/>
      </c>
      <c r="L566" s="3"/>
      <c r="M566" s="45">
        <f t="shared" ca="1" si="44"/>
        <v>93253.415140950965</v>
      </c>
      <c r="N566" s="47">
        <f t="shared" ca="1" si="45"/>
        <v>109892.99773037963</v>
      </c>
      <c r="O566" s="45">
        <f t="shared" ca="1" si="46"/>
        <v>89093.519493593791</v>
      </c>
      <c r="P566" s="47">
        <f t="shared" ca="1" si="47"/>
        <v>114052.89337773681</v>
      </c>
      <c r="Q566" s="45">
        <f t="shared" ca="1" si="48"/>
        <v>84933.623846236616</v>
      </c>
      <c r="R566" s="47">
        <f t="shared" ca="1" si="49"/>
        <v>118212.78902509398</v>
      </c>
      <c r="S566" s="73">
        <f t="shared" ca="1" si="55"/>
        <v>1</v>
      </c>
      <c r="T566" s="73"/>
      <c r="U566" s="3"/>
      <c r="V566" s="3"/>
      <c r="W566" s="3"/>
      <c r="X566" s="3"/>
    </row>
    <row r="567" spans="1:24" ht="13">
      <c r="A567" s="40">
        <v>45852</v>
      </c>
      <c r="B567" s="41">
        <f t="array" aca="1" ref="B567" ca="1">IF(AND(A567 &gt; TODAY(), A567 &lt;= TODAY() + 7),
   INDEX(calculations!B:B, MATCH(143^143, calculations!B:B)),
   IF(ISNUMBER(MATCH(A567, calculations!A:A, 0)),
      INDEX(calculations!B:B, MATCH(A567, calculations!A:A, 0)),
      ""
   )
)</f>
        <v>119871.1</v>
      </c>
      <c r="C567" s="42">
        <f t="array" aca="1" ref="C567" ca="1">IF(B567&lt;&gt;"", IF(MATCH(A567, calculations!A:A, 0), INDEX(calculations!D:D, MATCH(A567, calculations!A:A, 0)), "No Match"),"")</f>
        <v>425010937713</v>
      </c>
      <c r="D567" s="43">
        <f t="shared" ca="1" si="50"/>
        <v>0.10736041031174318</v>
      </c>
      <c r="E567" s="43">
        <f t="shared" ca="1" si="42"/>
        <v>8.951182085829722E-3</v>
      </c>
      <c r="F567" s="43">
        <f t="shared" ca="1" si="53"/>
        <v>4.3506184330247027E-2</v>
      </c>
      <c r="G567" s="42">
        <f t="shared" ca="1" si="43"/>
        <v>5.09465286156888E+16</v>
      </c>
      <c r="H567" s="41">
        <f t="shared" ca="1" si="54"/>
        <v>104506.81796851197</v>
      </c>
      <c r="I567" s="3"/>
      <c r="J567" s="43">
        <f t="shared" ca="1" si="52"/>
        <v>-0.47066403043186145</v>
      </c>
      <c r="K567" s="44">
        <f t="shared" ca="1" si="51"/>
        <v>-3</v>
      </c>
      <c r="L567" s="3"/>
      <c r="M567" s="45">
        <f t="shared" ca="1" si="44"/>
        <v>95413.432195900663</v>
      </c>
      <c r="N567" s="47">
        <f t="shared" ca="1" si="45"/>
        <v>113600.20374112327</v>
      </c>
      <c r="O567" s="45">
        <f t="shared" ca="1" si="46"/>
        <v>90866.73930959501</v>
      </c>
      <c r="P567" s="47">
        <f t="shared" ca="1" si="47"/>
        <v>118146.89662742893</v>
      </c>
      <c r="Q567" s="45">
        <f t="shared" ca="1" si="48"/>
        <v>86320.046423289357</v>
      </c>
      <c r="R567" s="47">
        <f t="shared" ca="1" si="49"/>
        <v>122693.58951373458</v>
      </c>
      <c r="S567" s="73">
        <f t="shared" ca="1" si="55"/>
        <v>-0.47066403043186145</v>
      </c>
      <c r="T567" s="73"/>
      <c r="U567" s="3"/>
      <c r="V567" s="3"/>
      <c r="W567" s="3"/>
      <c r="X567" s="3"/>
    </row>
    <row r="568" spans="1:24" ht="13">
      <c r="A568" s="40">
        <v>45859</v>
      </c>
      <c r="B568" s="41">
        <f t="array" aca="1" ref="B568" ca="1">IF(AND(A568 &gt; TODAY(), A568 &lt;= TODAY() + 7),
   INDEX(calculations!B:B, MATCH(143^143, calculations!B:B)),
   IF(ISNUMBER(MATCH(A568, calculations!A:A, 0)),
      INDEX(calculations!B:B, MATCH(A568, calculations!A:A, 0)),
      ""
   )
)</f>
        <v>117432.44</v>
      </c>
      <c r="C568" s="42">
        <f t="array" aca="1" ref="C568" ca="1">IF(B568&lt;&gt;"", IF(MATCH(A568, calculations!A:A, 0), INDEX(calculations!D:D, MATCH(A568, calculations!A:A, 0)), "No Match"),"")</f>
        <v>607619761231</v>
      </c>
      <c r="D568" s="43">
        <f t="shared" ca="1" si="50"/>
        <v>-2.0344019534316474E-2</v>
      </c>
      <c r="E568" s="43">
        <f t="shared" ca="1" si="42"/>
        <v>1.095195818633055E-3</v>
      </c>
      <c r="F568" s="43">
        <f t="shared" ca="1" si="53"/>
        <v>4.4296180287034088E-2</v>
      </c>
      <c r="G568" s="42">
        <f t="shared" ca="1" si="43"/>
        <v>7.1354271153573736E+16</v>
      </c>
      <c r="H568" s="41">
        <f t="shared" ca="1" si="54"/>
        <v>107725.13662337583</v>
      </c>
      <c r="I568" s="3"/>
      <c r="J568" s="43">
        <f t="shared" ca="1" si="52"/>
        <v>-0.19006083452205191</v>
      </c>
      <c r="K568" s="44">
        <f t="shared" ca="1" si="51"/>
        <v>-2</v>
      </c>
      <c r="L568" s="3"/>
      <c r="M568" s="45">
        <f t="shared" ca="1" si="44"/>
        <v>98181.512476746968</v>
      </c>
      <c r="N568" s="47">
        <f t="shared" ca="1" si="45"/>
        <v>117268.76077000469</v>
      </c>
      <c r="O568" s="45">
        <f t="shared" ca="1" si="46"/>
        <v>93409.700403432536</v>
      </c>
      <c r="P568" s="47">
        <f t="shared" ca="1" si="47"/>
        <v>122040.57284331913</v>
      </c>
      <c r="Q568" s="45">
        <f t="shared" ca="1" si="48"/>
        <v>88637.88833011809</v>
      </c>
      <c r="R568" s="47">
        <f t="shared" ca="1" si="49"/>
        <v>126812.38491663357</v>
      </c>
      <c r="S568" s="73">
        <f t="shared" ca="1" si="55"/>
        <v>-0.19006083452205191</v>
      </c>
      <c r="T568" s="73"/>
      <c r="U568" s="3"/>
      <c r="V568" s="3"/>
      <c r="W568" s="3"/>
      <c r="X568" s="3"/>
    </row>
    <row r="569" spans="1:24" ht="13">
      <c r="A569" s="40">
        <v>45866</v>
      </c>
      <c r="B569" s="41">
        <f t="array" aca="1" ref="B569" ca="1">IF(AND(A569 &gt; TODAY(), A569 &lt;= TODAY() + 7),
   INDEX(calculations!B:B, MATCH(143^143, calculations!B:B)),
   IF(ISNUMBER(MATCH(A569, calculations!A:A, 0)),
      INDEX(calculations!B:B, MATCH(A569, calculations!A:A, 0)),
      ""
   )
)</f>
        <v>118022.64</v>
      </c>
      <c r="C569" s="42">
        <f t="array" aca="1" ref="C569" ca="1">IF(B569&lt;&gt;"", IF(MATCH(A569, calculations!A:A, 0), INDEX(calculations!D:D, MATCH(A569, calculations!A:A, 0)), "No Match"),"")</f>
        <v>496322967466</v>
      </c>
      <c r="D569" s="43">
        <f t="shared" ca="1" si="50"/>
        <v>5.0258684908530988E-3</v>
      </c>
      <c r="E569" s="43">
        <f t="shared" ca="1" si="42"/>
        <v>5.9657934011154655E-5</v>
      </c>
      <c r="F569" s="43">
        <f t="shared" ca="1" si="53"/>
        <v>4.452203496212423E-2</v>
      </c>
      <c r="G569" s="42">
        <f t="shared" ca="1" si="43"/>
        <v>5.8577346912971432E+16</v>
      </c>
      <c r="H569" s="41">
        <f t="shared" ca="1" si="54"/>
        <v>109371.84066911264</v>
      </c>
      <c r="I569" s="3"/>
      <c r="J569" s="43">
        <f t="shared" ca="1" si="52"/>
        <v>1</v>
      </c>
      <c r="K569" s="44" t="str">
        <f t="shared" ca="1" si="51"/>
        <v/>
      </c>
      <c r="L569" s="3"/>
      <c r="M569" s="45">
        <f t="shared" ca="1" si="44"/>
        <v>99632.926840828412</v>
      </c>
      <c r="N569" s="47">
        <f t="shared" ca="1" si="45"/>
        <v>119110.75449739688</v>
      </c>
      <c r="O569" s="45">
        <f t="shared" ca="1" si="46"/>
        <v>94763.469926686303</v>
      </c>
      <c r="P569" s="47">
        <f t="shared" ca="1" si="47"/>
        <v>123980.211411539</v>
      </c>
      <c r="Q569" s="45">
        <f t="shared" ca="1" si="48"/>
        <v>89894.013012544194</v>
      </c>
      <c r="R569" s="47">
        <f t="shared" ca="1" si="49"/>
        <v>128849.66832568111</v>
      </c>
      <c r="S569" s="73">
        <f t="shared" ca="1" si="55"/>
        <v>1</v>
      </c>
      <c r="T569" s="73"/>
      <c r="U569" s="3"/>
      <c r="V569" s="3"/>
      <c r="W569" s="3"/>
      <c r="X569" s="3"/>
    </row>
    <row r="570" spans="1:24" ht="13">
      <c r="A570" s="40">
        <v>45873</v>
      </c>
      <c r="B570" s="41">
        <f t="array" aca="1" ref="B570" ca="1">IF(AND(A570 &gt; TODAY(), A570 &lt;= TODAY() + 7),
   INDEX(calculations!B:B, MATCH(143^143, calculations!B:B)),
   IF(ISNUMBER(MATCH(A570, calculations!A:A, 0)),
      INDEX(calculations!B:B, MATCH(A570, calculations!A:A, 0)),
      ""
   )
)</f>
        <v>115199.93</v>
      </c>
      <c r="C570" s="42">
        <f t="array" aca="1" ref="C570" ca="1">IF(B570&lt;&gt;"", IF(MATCH(A570, calculations!A:A, 0), INDEX(calculations!D:D, MATCH(A570, calculations!A:A, 0)), "No Match"),"")</f>
        <v>462592499602</v>
      </c>
      <c r="D570" s="43">
        <f t="shared" ca="1" si="50"/>
        <v>-2.3916682426354863E-2</v>
      </c>
      <c r="E570" s="43">
        <f t="shared" ca="1" si="42"/>
        <v>1.3444253131543924E-3</v>
      </c>
      <c r="F570" s="43">
        <f t="shared" ca="1" si="53"/>
        <v>4.181689020913805E-2</v>
      </c>
      <c r="G570" s="42">
        <f t="shared" ca="1" si="43"/>
        <v>5.3290623572675424E+16</v>
      </c>
      <c r="H570" s="41">
        <f t="shared" ca="1" si="54"/>
        <v>110560.00697281367</v>
      </c>
      <c r="I570" s="3"/>
      <c r="J570" s="43">
        <f t="shared" ca="1" si="52"/>
        <v>1</v>
      </c>
      <c r="K570" s="44" t="str">
        <f t="shared" ca="1" si="51"/>
        <v/>
      </c>
      <c r="L570" s="3"/>
      <c r="M570" s="45">
        <f t="shared" ca="1" si="44"/>
        <v>101313.4556266063</v>
      </c>
      <c r="N570" s="47">
        <f t="shared" ca="1" si="45"/>
        <v>119806.55831902105</v>
      </c>
      <c r="O570" s="45">
        <f t="shared" ca="1" si="46"/>
        <v>96690.179953502622</v>
      </c>
      <c r="P570" s="47">
        <f t="shared" ca="1" si="47"/>
        <v>124429.83399212472</v>
      </c>
      <c r="Q570" s="45">
        <f t="shared" ca="1" si="48"/>
        <v>92066.904280398929</v>
      </c>
      <c r="R570" s="47">
        <f t="shared" ca="1" si="49"/>
        <v>129053.10966522842</v>
      </c>
      <c r="S570" s="73">
        <f t="shared" ca="1" si="55"/>
        <v>1</v>
      </c>
      <c r="T570" s="73"/>
      <c r="U570" s="3"/>
      <c r="V570" s="3"/>
      <c r="W570" s="3"/>
      <c r="X570" s="3"/>
    </row>
    <row r="571" spans="1:24" ht="13">
      <c r="A571" s="40">
        <v>45880</v>
      </c>
      <c r="B571" s="41">
        <f t="array" aca="1" ref="B571" ca="1">IF(AND(A571 &gt; TODAY(), A571 &lt;= TODAY() + 7),
   INDEX(calculations!B:B, MATCH(143^143, calculations!B:B)),
   IF(ISNUMBER(MATCH(A571, calculations!A:A, 0)),
      INDEX(calculations!B:B, MATCH(A571, calculations!A:A, 0)),
      ""
   )
)</f>
        <v>118742.04</v>
      </c>
      <c r="C571" s="42">
        <f t="array" aca="1" ref="C571" ca="1">IF(B571&lt;&gt;"", IF(MATCH(A571, calculations!A:A, 0), INDEX(calculations!D:D, MATCH(A571, calculations!A:A, 0)), "No Match"),"")</f>
        <v>395725770752</v>
      </c>
      <c r="D571" s="43">
        <f t="shared" ca="1" si="50"/>
        <v>3.0747501322266436E-2</v>
      </c>
      <c r="E571" s="43">
        <f t="shared" ca="1" si="42"/>
        <v>3.2392001164542871E-4</v>
      </c>
      <c r="F571" s="43">
        <f t="shared" ca="1" si="53"/>
        <v>4.1724690695353735E-2</v>
      </c>
      <c r="G571" s="42">
        <f t="shared" ca="1" si="43"/>
        <v>4.6989285299664808E+16</v>
      </c>
      <c r="H571" s="41">
        <f t="shared" ca="1" si="54"/>
        <v>111670.12024175774</v>
      </c>
      <c r="I571" s="3"/>
      <c r="J571" s="43">
        <f t="shared" ca="1" si="52"/>
        <v>1</v>
      </c>
      <c r="K571" s="44" t="str">
        <f t="shared" ca="1" si="51"/>
        <v/>
      </c>
      <c r="L571" s="3"/>
      <c r="M571" s="45">
        <f t="shared" ca="1" si="44"/>
        <v>102351.31778775714</v>
      </c>
      <c r="N571" s="47">
        <f t="shared" ca="1" si="45"/>
        <v>120988.92269575836</v>
      </c>
      <c r="O571" s="45">
        <f t="shared" ca="1" si="46"/>
        <v>97691.916560756828</v>
      </c>
      <c r="P571" s="47">
        <f t="shared" ca="1" si="47"/>
        <v>125648.32392275866</v>
      </c>
      <c r="Q571" s="45">
        <f t="shared" ca="1" si="48"/>
        <v>93032.515333756543</v>
      </c>
      <c r="R571" s="47">
        <f t="shared" ca="1" si="49"/>
        <v>130307.72514975895</v>
      </c>
      <c r="S571" s="73">
        <f t="shared" ca="1" si="55"/>
        <v>1</v>
      </c>
      <c r="T571" s="73"/>
      <c r="U571" s="3"/>
      <c r="V571" s="3"/>
      <c r="W571" s="3"/>
      <c r="X571" s="3"/>
    </row>
    <row r="572" spans="1:24" ht="13">
      <c r="A572" s="40">
        <v>45887</v>
      </c>
      <c r="B572" s="41">
        <f t="array" aca="1" ref="B572" ca="1">IF(AND(A572 &gt; TODAY(), A572 &lt;= TODAY() + 7),
   INDEX(calculations!B:B, MATCH(143^143, calculations!B:B)),
   IF(ISNUMBER(MATCH(A572, calculations!A:A, 0)),
      INDEX(calculations!B:B, MATCH(A572, calculations!A:A, 0)),
      ""
   )
)</f>
        <v>116312.91</v>
      </c>
      <c r="C572" s="42">
        <f t="array" aca="1" ref="C572" ca="1">IF(B572&lt;&gt;"", IF(MATCH(A572, calculations!A:A, 0), INDEX(calculations!D:D, MATCH(A572, calculations!A:A, 0)), "No Match"),"")</f>
        <v>520847323413</v>
      </c>
      <c r="D572" s="43">
        <f t="shared" ca="1" si="50"/>
        <v>-2.0457202857555676E-2</v>
      </c>
      <c r="E572" s="43">
        <f t="shared" ca="1" si="42"/>
        <v>1.1026999486957018E-3</v>
      </c>
      <c r="F572" s="43">
        <f t="shared" ca="1" si="53"/>
        <v>3.7826647986512217E-2</v>
      </c>
      <c r="G572" s="42">
        <f t="shared" ca="1" si="43"/>
        <v>6.058126785187716E+16</v>
      </c>
      <c r="H572" s="41">
        <f t="shared" ca="1" si="54"/>
        <v>112608.38043698815</v>
      </c>
      <c r="I572" s="3"/>
      <c r="J572" s="43">
        <f t="shared" ca="1" si="52"/>
        <v>1</v>
      </c>
      <c r="K572" s="44" t="str">
        <f t="shared" ca="1" si="51"/>
        <v/>
      </c>
      <c r="L572" s="3"/>
      <c r="M572" s="45">
        <f t="shared" ca="1" si="44"/>
        <v>104089.18530274575</v>
      </c>
      <c r="N572" s="47">
        <f t="shared" ca="1" si="45"/>
        <v>121127.57557123057</v>
      </c>
      <c r="O572" s="45">
        <f t="shared" ca="1" si="46"/>
        <v>99829.587735624562</v>
      </c>
      <c r="P572" s="47">
        <f t="shared" ca="1" si="47"/>
        <v>125387.17313835175</v>
      </c>
      <c r="Q572" s="45">
        <f t="shared" ca="1" si="48"/>
        <v>95569.990168503355</v>
      </c>
      <c r="R572" s="47">
        <f t="shared" ca="1" si="49"/>
        <v>129646.77070547294</v>
      </c>
      <c r="S572" s="73">
        <f t="shared" ca="1" si="55"/>
        <v>1</v>
      </c>
      <c r="T572" s="73"/>
      <c r="U572" s="3"/>
      <c r="V572" s="3"/>
      <c r="W572" s="3"/>
      <c r="X572" s="3"/>
    </row>
    <row r="573" spans="1:24" ht="13">
      <c r="A573" s="40">
        <v>45894</v>
      </c>
      <c r="B573" s="41">
        <f t="array" aca="1" ref="B573" ca="1">IF(AND(A573 &gt; TODAY(), A573 &lt;= TODAY() + 7),
   INDEX(calculations!B:B, MATCH(143^143, calculations!B:B)),
   IF(ISNUMBER(MATCH(A573, calculations!A:A, 0)),
      INDEX(calculations!B:B, MATCH(A573, calculations!A:A, 0)),
      ""
   )
)</f>
        <v>110089.53</v>
      </c>
      <c r="C573" s="42">
        <f t="array" aca="1" ref="C573" ca="1">IF(B573&lt;&gt;"", IF(MATCH(A573, calculations!A:A, 0), INDEX(calculations!D:D, MATCH(A573, calculations!A:A, 0)), "No Match"),"")</f>
        <v>482123824127</v>
      </c>
      <c r="D573" s="43">
        <f t="shared" ca="1" si="50"/>
        <v>-5.3505496509372905E-2</v>
      </c>
      <c r="E573" s="43">
        <f t="shared" ca="1" si="42"/>
        <v>4.3897541596945614E-3</v>
      </c>
      <c r="F573" s="43">
        <f t="shared" ca="1" si="53"/>
        <v>4.0974039588721645E-2</v>
      </c>
      <c r="G573" s="42">
        <f t="shared" ca="1" si="43"/>
        <v>5.3076785199944088E+16</v>
      </c>
      <c r="H573" s="41">
        <f t="shared" ca="1" si="54"/>
        <v>112814.59044905638</v>
      </c>
      <c r="I573" s="3"/>
      <c r="J573" s="43">
        <f t="shared" ca="1" si="52"/>
        <v>1</v>
      </c>
      <c r="K573" s="44" t="str">
        <f t="shared" ca="1" si="51"/>
        <v/>
      </c>
      <c r="L573" s="3"/>
      <c r="M573" s="45">
        <f t="shared" ca="1" si="44"/>
        <v>103569.65145856628</v>
      </c>
      <c r="N573" s="47">
        <f t="shared" ca="1" si="45"/>
        <v>122059.5294395465</v>
      </c>
      <c r="O573" s="45">
        <f t="shared" ca="1" si="46"/>
        <v>98947.181963321229</v>
      </c>
      <c r="P573" s="47">
        <f t="shared" ca="1" si="47"/>
        <v>126681.99893479154</v>
      </c>
      <c r="Q573" s="45">
        <f t="shared" ca="1" si="48"/>
        <v>94324.712468076163</v>
      </c>
      <c r="R573" s="47">
        <f t="shared" ca="1" si="49"/>
        <v>131304.46843003659</v>
      </c>
      <c r="S573" s="73">
        <f t="shared" ca="1" si="55"/>
        <v>1</v>
      </c>
      <c r="T573" s="73"/>
      <c r="U573" s="3"/>
      <c r="V573" s="3"/>
      <c r="W573" s="3"/>
      <c r="X573" s="3"/>
    </row>
    <row r="574" spans="1:24" ht="13">
      <c r="A574" s="40">
        <v>45901</v>
      </c>
      <c r="B574" s="41">
        <f t="array" aca="1" ref="B574" ca="1">IF(AND(A574 &gt; TODAY(), A574 &lt;= TODAY() + 7),
   INDEX(calculations!B:B, MATCH(143^143, calculations!B:B)),
   IF(ISNUMBER(MATCH(A574, calculations!A:A, 0)),
      INDEX(calculations!B:B, MATCH(A574, calculations!A:A, 0)),
      ""
   )
)</f>
        <v>108992.32000000001</v>
      </c>
      <c r="C574" s="42">
        <f t="array" aca="1" ref="C574" ca="1">IF(B574&lt;&gt;"", IF(MATCH(A574, calculations!A:A, 0), INDEX(calculations!D:D, MATCH(A574, calculations!A:A, 0)), "No Match"),"")</f>
        <v>453416228500</v>
      </c>
      <c r="D574" s="43">
        <f t="shared" ca="1" si="50"/>
        <v>-9.9665245187257299E-3</v>
      </c>
      <c r="E574" s="43">
        <f t="shared" ca="1" si="42"/>
        <v>5.1602791760392162E-4</v>
      </c>
      <c r="F574" s="43">
        <f t="shared" ca="1" si="53"/>
        <v>4.004897335343835E-2</v>
      </c>
      <c r="G574" s="42">
        <f t="shared" ca="1" si="43"/>
        <v>4.941888666986512E+16</v>
      </c>
      <c r="H574" s="41">
        <f t="shared" ca="1" si="54"/>
        <v>112757.99394637372</v>
      </c>
      <c r="I574" s="3"/>
      <c r="J574" s="43">
        <f t="shared" ca="1" si="52"/>
        <v>1</v>
      </c>
      <c r="K574" s="44" t="str">
        <f t="shared" ca="1" si="51"/>
        <v/>
      </c>
      <c r="L574" s="3"/>
      <c r="M574" s="45">
        <f t="shared" ca="1" si="44"/>
        <v>103726.31015648275</v>
      </c>
      <c r="N574" s="47">
        <f t="shared" ca="1" si="45"/>
        <v>121789.6777362647</v>
      </c>
      <c r="O574" s="45">
        <f t="shared" ca="1" si="46"/>
        <v>99210.468261537273</v>
      </c>
      <c r="P574" s="47">
        <f t="shared" ca="1" si="47"/>
        <v>126305.51963121019</v>
      </c>
      <c r="Q574" s="45">
        <f t="shared" ca="1" si="48"/>
        <v>94694.626366591794</v>
      </c>
      <c r="R574" s="47">
        <f t="shared" ca="1" si="49"/>
        <v>130821.36152615567</v>
      </c>
      <c r="S574" s="73">
        <f t="shared" ca="1" si="55"/>
        <v>1</v>
      </c>
      <c r="T574" s="73"/>
      <c r="U574" s="3"/>
      <c r="V574" s="3"/>
      <c r="W574" s="3"/>
      <c r="X574" s="3"/>
    </row>
    <row r="575" spans="1:24" ht="13">
      <c r="A575" s="40">
        <v>45908</v>
      </c>
      <c r="B575" s="41">
        <f t="array" aca="1" ref="B575" ca="1">IF(AND(A575 &gt; TODAY(), A575 &lt;= TODAY() + 7),
   INDEX(calculations!B:B, MATCH(143^143, calculations!B:B)),
   IF(ISNUMBER(MATCH(A575, calculations!A:A, 0)),
      INDEX(calculations!B:B, MATCH(A575, calculations!A:A, 0)),
      ""
   )
)</f>
        <v>112112.31</v>
      </c>
      <c r="C575" s="42">
        <f t="array" aca="1" ref="C575" ca="1">IF(B575&lt;&gt;"", IF(MATCH(A575, calculations!A:A, 0), INDEX(calculations!D:D, MATCH(A575, calculations!A:A, 0)), "No Match"),"")</f>
        <v>369258523185</v>
      </c>
      <c r="D575" s="43">
        <f t="shared" ca="1" si="50"/>
        <v>2.8625778403469075E-2</v>
      </c>
      <c r="E575" s="43">
        <f t="shared" ca="1" si="42"/>
        <v>2.5204912380181907E-4</v>
      </c>
      <c r="F575" s="43">
        <f t="shared" ca="1" si="53"/>
        <v>3.9560142634135959E-2</v>
      </c>
      <c r="G575" s="42">
        <f t="shared" ca="1" si="43"/>
        <v>4.1398426021458904E+16</v>
      </c>
      <c r="H575" s="41">
        <f t="shared" ca="1" si="54"/>
        <v>113118.19280165731</v>
      </c>
      <c r="I575" s="3"/>
      <c r="J575" s="43">
        <f t="shared" ca="1" si="52"/>
        <v>1</v>
      </c>
      <c r="K575" s="44" t="str">
        <f t="shared" ca="1" si="51"/>
        <v/>
      </c>
      <c r="L575" s="3"/>
      <c r="M575" s="45">
        <f t="shared" ca="1" si="44"/>
        <v>104168.2491181588</v>
      </c>
      <c r="N575" s="47">
        <f t="shared" ca="1" si="45"/>
        <v>122068.13648515582</v>
      </c>
      <c r="O575" s="45">
        <f t="shared" ca="1" si="46"/>
        <v>99693.277276409543</v>
      </c>
      <c r="P575" s="47">
        <f t="shared" ca="1" si="47"/>
        <v>126543.10832690507</v>
      </c>
      <c r="Q575" s="45">
        <f t="shared" ca="1" si="48"/>
        <v>95218.305434660288</v>
      </c>
      <c r="R575" s="47">
        <f t="shared" ca="1" si="49"/>
        <v>131018.08016865434</v>
      </c>
      <c r="S575" s="73">
        <f t="shared" ca="1" si="55"/>
        <v>1</v>
      </c>
      <c r="T575" s="73"/>
      <c r="U575" s="3"/>
      <c r="V575" s="3"/>
      <c r="W575" s="3"/>
      <c r="X575" s="3"/>
    </row>
    <row r="576" spans="1:24" ht="13">
      <c r="A576" s="40">
        <v>45915</v>
      </c>
      <c r="B576" s="41">
        <f t="array" aca="1" ref="B576" ca="1">IF(AND(A576 &gt; TODAY(), A576 &lt;= TODAY() + 7),
   INDEX(calculations!B:B, MATCH(143^143, calculations!B:B)),
   IF(ISNUMBER(MATCH(A576, calculations!A:A, 0)),
      INDEX(calculations!B:B, MATCH(A576, calculations!A:A, 0)),
      ""
   )
)</f>
        <v>115420.93</v>
      </c>
      <c r="C576" s="42">
        <f t="array" aca="1" ref="C576" ca="1">IF(B576&lt;&gt;"", IF(MATCH(A576, calculations!A:A, 0), INDEX(calculations!D:D, MATCH(A576, calculations!A:A, 0)), "No Match"),"")</f>
        <v>310393050143</v>
      </c>
      <c r="D576" s="43">
        <f t="shared" ca="1" si="50"/>
        <v>2.9511656659290987E-2</v>
      </c>
      <c r="E576" s="43">
        <f t="shared" ca="1" si="42"/>
        <v>2.8096240799170682E-4</v>
      </c>
      <c r="F576" s="43">
        <f t="shared" ca="1" si="53"/>
        <v>3.8894051877854066E-2</v>
      </c>
      <c r="G576" s="42">
        <f t="shared" ca="1" si="43"/>
        <v>3.5825854513041692E+16</v>
      </c>
      <c r="H576" s="41">
        <f t="shared" ca="1" si="54"/>
        <v>113398.83899304652</v>
      </c>
      <c r="I576" s="3"/>
      <c r="J576" s="43">
        <f t="shared" ca="1" si="52"/>
        <v>1</v>
      </c>
      <c r="K576" s="44" t="str">
        <f t="shared" ca="1" si="51"/>
        <v/>
      </c>
      <c r="L576" s="3"/>
      <c r="M576" s="45">
        <f t="shared" ca="1" si="44"/>
        <v>104577.75833967858</v>
      </c>
      <c r="N576" s="47">
        <f t="shared" ca="1" si="45"/>
        <v>122219.91964641448</v>
      </c>
      <c r="O576" s="45">
        <f t="shared" ca="1" si="46"/>
        <v>100167.21801299461</v>
      </c>
      <c r="P576" s="47">
        <f t="shared" ca="1" si="47"/>
        <v>126630.45997309843</v>
      </c>
      <c r="Q576" s="45">
        <f t="shared" ca="1" si="48"/>
        <v>95756.677686310635</v>
      </c>
      <c r="R576" s="47">
        <f t="shared" ca="1" si="49"/>
        <v>131041.0002997824</v>
      </c>
      <c r="S576" s="73">
        <f t="shared" ca="1" si="55"/>
        <v>1</v>
      </c>
      <c r="T576" s="73"/>
      <c r="U576" s="3"/>
      <c r="V576" s="3"/>
      <c r="W576" s="3"/>
      <c r="X576" s="3"/>
    </row>
    <row r="577" spans="1:24" ht="13">
      <c r="A577" s="40">
        <v>45922</v>
      </c>
      <c r="B577" s="41">
        <f t="array" aca="1" ref="B577" ca="1">IF(AND(A577 &gt; TODAY(), A577 &lt;= TODAY() + 7),
   INDEX(calculations!B:B, MATCH(143^143, calculations!B:B)),
   IF(ISNUMBER(MATCH(A577, calculations!A:A, 0)),
      INDEX(calculations!B:B, MATCH(A577, calculations!A:A, 0)),
      ""
   )
)</f>
        <v>117014.43</v>
      </c>
      <c r="C577" s="42">
        <f t="array" aca="1" ref="C577" ca="1">IF(B577&lt;&gt;"", IF(MATCH(A577, calculations!A:A, 0), INDEX(calculations!D:D, MATCH(A577, calculations!A:A, 0)), "No Match"),"")</f>
        <v>208704902037</v>
      </c>
      <c r="D577" s="43">
        <f t="shared" ca="1" si="50"/>
        <v>1.38059882206806E-2</v>
      </c>
      <c r="E577" s="43">
        <f t="shared" ca="1" si="42"/>
        <v>1.1156954598046687E-6</v>
      </c>
      <c r="F577" s="43">
        <f t="shared" ca="1" si="53"/>
        <v>3.7922390701411866E-2</v>
      </c>
      <c r="G577" s="42">
        <f t="shared" ca="1" si="43"/>
        <v>2.4421485150065392E+16</v>
      </c>
      <c r="H577" s="41">
        <f t="shared" ca="1" si="54"/>
        <v>113921.7789261592</v>
      </c>
      <c r="I577" s="3"/>
      <c r="J577" s="43">
        <f t="shared" ca="1" si="52"/>
        <v>1</v>
      </c>
      <c r="K577" s="44" t="str">
        <f t="shared" ca="1" si="51"/>
        <v/>
      </c>
      <c r="L577" s="3"/>
      <c r="M577" s="45">
        <f t="shared" ca="1" si="44"/>
        <v>105281.40650648385</v>
      </c>
      <c r="N577" s="47">
        <f t="shared" ca="1" si="45"/>
        <v>122562.15134583456</v>
      </c>
      <c r="O577" s="45">
        <f t="shared" ca="1" si="46"/>
        <v>100961.22029664616</v>
      </c>
      <c r="P577" s="47">
        <f t="shared" ca="1" si="47"/>
        <v>126882.33755567222</v>
      </c>
      <c r="Q577" s="45">
        <f t="shared" ca="1" si="48"/>
        <v>96641.03408680849</v>
      </c>
      <c r="R577" s="47">
        <f t="shared" ca="1" si="49"/>
        <v>131202.52376550989</v>
      </c>
      <c r="S577" s="73">
        <f t="shared" ca="1" si="55"/>
        <v>1</v>
      </c>
      <c r="T577" s="73"/>
      <c r="U577" s="3"/>
      <c r="V577" s="3"/>
      <c r="W577" s="3"/>
      <c r="X577" s="3"/>
    </row>
    <row r="578" spans="1:24" ht="13">
      <c r="A578" s="40">
        <v>45929</v>
      </c>
      <c r="B578" s="41">
        <f t="array" aca="1" ref="B578" ca="1">IF(AND(A578 &gt; TODAY(), A578 &lt;= TODAY() + 7),
   INDEX(calculations!B:B, MATCH(143^143, calculations!B:B)),
   IF(ISNUMBER(MATCH(A578, calculations!A:A, 0)),
      INDEX(calculations!B:B, MATCH(A578, calculations!A:A, 0)),
      ""
   )
)</f>
        <v>0</v>
      </c>
      <c r="C578" s="44">
        <f t="array" aca="1" ref="C578" ca="1">IF(B578&lt;&gt;"", IF(MATCH(A578, calculations!A:A, 0), INDEX(calculations!D:D, MATCH(A578, calculations!A:A, 0)), "No Match"),"")</f>
        <v>0</v>
      </c>
      <c r="D578" s="43">
        <f ca="1">IF(B578&lt;&gt;"",(B578-B577)/B577,"")</f>
        <v>-1</v>
      </c>
      <c r="E578" s="43">
        <f t="shared" ca="1" si="42"/>
        <v>1.0256620021620209</v>
      </c>
      <c r="F578" s="43">
        <f t="shared" ca="1" si="53"/>
        <v>0.27215303971073296</v>
      </c>
      <c r="G578" s="42">
        <f t="shared" ca="1" si="43"/>
        <v>0</v>
      </c>
      <c r="H578" s="41">
        <f t="shared" ca="1" si="54"/>
        <v>114465.82177710695</v>
      </c>
      <c r="I578" s="3"/>
      <c r="J578" s="43">
        <f t="shared" ca="1" si="52"/>
        <v>5.3772296548771177</v>
      </c>
      <c r="K578" s="44">
        <f t="shared" ca="1" si="51"/>
        <v>3</v>
      </c>
      <c r="L578" s="3"/>
      <c r="M578" s="45">
        <f t="shared" ca="1" si="44"/>
        <v>52161.379097853613</v>
      </c>
      <c r="N578" s="46">
        <f t="shared" ca="1" si="45"/>
        <v>176770.26445636031</v>
      </c>
      <c r="O578" s="45">
        <f t="shared" ca="1" si="46"/>
        <v>21009.157758226949</v>
      </c>
      <c r="P578" s="47">
        <f t="shared" ca="1" si="47"/>
        <v>207922.48579598696</v>
      </c>
      <c r="Q578" s="45">
        <f t="shared" ca="1" si="48"/>
        <v>-10143.063581399727</v>
      </c>
      <c r="R578" s="47">
        <f t="shared" ca="1" si="49"/>
        <v>239074.70713561366</v>
      </c>
      <c r="S578" s="73">
        <f t="shared" ca="1" si="55"/>
        <v>5.3772296548771177</v>
      </c>
      <c r="T578" s="73"/>
      <c r="U578" s="3"/>
      <c r="V578" s="3"/>
      <c r="W578" s="3"/>
      <c r="X578" s="3"/>
    </row>
    <row r="579" spans="1:24" ht="13">
      <c r="A579" s="48"/>
      <c r="B579" s="3"/>
      <c r="C579" s="3"/>
      <c r="D579" s="9"/>
      <c r="E579" s="9"/>
      <c r="F579" s="9"/>
      <c r="G579" s="38"/>
      <c r="H579" s="11"/>
      <c r="I579" s="3"/>
      <c r="J579" s="9"/>
      <c r="K579" s="3"/>
      <c r="L579" s="3"/>
      <c r="M579" s="49"/>
      <c r="N579" s="30"/>
      <c r="O579" s="49"/>
      <c r="P579" s="50"/>
      <c r="Q579" s="49"/>
      <c r="R579" s="50"/>
      <c r="S579" s="3"/>
      <c r="T579" s="73"/>
      <c r="U579" s="3"/>
      <c r="V579" s="3"/>
      <c r="W579" s="3"/>
      <c r="X579" s="3"/>
    </row>
    <row r="580" spans="1:24" ht="13">
      <c r="A580" s="48"/>
      <c r="B580" s="3"/>
      <c r="C580" s="3"/>
      <c r="D580" s="9"/>
      <c r="E580" s="9"/>
      <c r="F580" s="9"/>
      <c r="G580" s="38"/>
      <c r="H580" s="11"/>
      <c r="I580" s="3"/>
      <c r="J580" s="9"/>
      <c r="K580" s="3"/>
      <c r="L580" s="3"/>
      <c r="M580" s="49"/>
      <c r="N580" s="30"/>
      <c r="O580" s="49"/>
      <c r="P580" s="50"/>
      <c r="Q580" s="49"/>
      <c r="R580" s="50"/>
      <c r="S580" s="3"/>
      <c r="T580" s="73"/>
      <c r="U580" s="3"/>
      <c r="V580" s="3"/>
      <c r="W580" s="3"/>
      <c r="X580" s="3"/>
    </row>
    <row r="581" spans="1:24" ht="13">
      <c r="A581" s="48"/>
      <c r="B581" s="3"/>
      <c r="C581" s="3"/>
      <c r="D581" s="9"/>
      <c r="E581" s="9"/>
      <c r="F581" s="9"/>
      <c r="G581" s="38"/>
      <c r="H581" s="11"/>
      <c r="I581" s="3"/>
      <c r="J581" s="9"/>
      <c r="K581" s="3"/>
      <c r="L581" s="3"/>
      <c r="M581" s="49"/>
      <c r="N581" s="30"/>
      <c r="O581" s="49"/>
      <c r="P581" s="50"/>
      <c r="Q581" s="49"/>
      <c r="R581" s="50"/>
      <c r="S581" s="3"/>
      <c r="T581" s="73"/>
      <c r="U581" s="3"/>
      <c r="V581" s="3"/>
      <c r="W581" s="3"/>
      <c r="X581" s="3"/>
    </row>
    <row r="582" spans="1:24" ht="13">
      <c r="A582" s="48"/>
      <c r="B582" s="3"/>
      <c r="C582" s="3"/>
      <c r="D582" s="9"/>
      <c r="E582" s="9"/>
      <c r="F582" s="9"/>
      <c r="G582" s="38"/>
      <c r="H582" s="11"/>
      <c r="I582" s="3"/>
      <c r="J582" s="9"/>
      <c r="K582" s="3"/>
      <c r="L582" s="3"/>
      <c r="M582" s="49"/>
      <c r="N582" s="30"/>
      <c r="O582" s="49"/>
      <c r="P582" s="50"/>
      <c r="Q582" s="49"/>
      <c r="R582" s="50"/>
      <c r="S582" s="3"/>
      <c r="T582" s="73"/>
      <c r="U582" s="3"/>
      <c r="V582" s="3"/>
      <c r="W582" s="3"/>
      <c r="X582" s="3"/>
    </row>
    <row r="583" spans="1:24" ht="13">
      <c r="A583" s="48"/>
      <c r="B583" s="3"/>
      <c r="C583" s="3"/>
      <c r="D583" s="9"/>
      <c r="E583" s="9"/>
      <c r="F583" s="9"/>
      <c r="G583" s="38"/>
      <c r="H583" s="11"/>
      <c r="I583" s="3"/>
      <c r="J583" s="9"/>
      <c r="K583" s="3"/>
      <c r="L583" s="3"/>
      <c r="M583" s="49"/>
      <c r="N583" s="30"/>
      <c r="O583" s="49"/>
      <c r="P583" s="50"/>
      <c r="Q583" s="49"/>
      <c r="R583" s="50"/>
      <c r="S583" s="3"/>
      <c r="T583" s="73"/>
      <c r="U583" s="3"/>
      <c r="V583" s="3"/>
      <c r="W583" s="3"/>
      <c r="X583" s="3"/>
    </row>
    <row r="584" spans="1:24" ht="13">
      <c r="A584" s="48"/>
      <c r="B584" s="3"/>
      <c r="C584" s="3"/>
      <c r="D584" s="9"/>
      <c r="E584" s="9"/>
      <c r="F584" s="9"/>
      <c r="G584" s="38"/>
      <c r="H584" s="11"/>
      <c r="I584" s="3"/>
      <c r="J584" s="9"/>
      <c r="K584" s="3"/>
      <c r="L584" s="3"/>
      <c r="M584" s="49"/>
      <c r="N584" s="30"/>
      <c r="O584" s="49"/>
      <c r="P584" s="50"/>
      <c r="Q584" s="49"/>
      <c r="R584" s="50"/>
      <c r="S584" s="3"/>
      <c r="T584" s="73"/>
      <c r="U584" s="3"/>
      <c r="V584" s="3"/>
      <c r="W584" s="3"/>
      <c r="X584" s="3"/>
    </row>
    <row r="585" spans="1:24" ht="13">
      <c r="A585" s="48"/>
      <c r="B585" s="3"/>
      <c r="C585" s="3"/>
      <c r="D585" s="9"/>
      <c r="E585" s="9"/>
      <c r="F585" s="9"/>
      <c r="G585" s="38"/>
      <c r="H585" s="11"/>
      <c r="I585" s="3"/>
      <c r="J585" s="9"/>
      <c r="K585" s="3"/>
      <c r="L585" s="3"/>
      <c r="M585" s="49"/>
      <c r="N585" s="30"/>
      <c r="O585" s="49"/>
      <c r="P585" s="50"/>
      <c r="Q585" s="49"/>
      <c r="R585" s="50"/>
      <c r="S585" s="3"/>
      <c r="T585" s="73"/>
      <c r="U585" s="3"/>
      <c r="V585" s="3"/>
      <c r="W585" s="3"/>
      <c r="X585" s="3"/>
    </row>
    <row r="586" spans="1:24" ht="13">
      <c r="A586" s="48"/>
      <c r="B586" s="3"/>
      <c r="C586" s="3"/>
      <c r="D586" s="9"/>
      <c r="E586" s="9"/>
      <c r="F586" s="9"/>
      <c r="G586" s="38"/>
      <c r="H586" s="11"/>
      <c r="I586" s="3"/>
      <c r="J586" s="9"/>
      <c r="K586" s="3"/>
      <c r="L586" s="3"/>
      <c r="M586" s="49"/>
      <c r="N586" s="30"/>
      <c r="O586" s="49"/>
      <c r="P586" s="50"/>
      <c r="Q586" s="49"/>
      <c r="R586" s="50"/>
      <c r="S586" s="3"/>
      <c r="T586" s="73"/>
      <c r="U586" s="3"/>
      <c r="V586" s="3"/>
      <c r="W586" s="3"/>
      <c r="X586" s="3"/>
    </row>
    <row r="587" spans="1:24" ht="13">
      <c r="A587" s="48"/>
      <c r="B587" s="3"/>
      <c r="C587" s="3"/>
      <c r="D587" s="9"/>
      <c r="E587" s="9"/>
      <c r="F587" s="9"/>
      <c r="G587" s="38"/>
      <c r="H587" s="11"/>
      <c r="I587" s="3"/>
      <c r="J587" s="9"/>
      <c r="K587" s="3"/>
      <c r="L587" s="3"/>
      <c r="M587" s="49"/>
      <c r="N587" s="30"/>
      <c r="O587" s="49"/>
      <c r="P587" s="50"/>
      <c r="Q587" s="49"/>
      <c r="R587" s="50"/>
      <c r="S587" s="3"/>
      <c r="T587" s="73"/>
      <c r="U587" s="3"/>
      <c r="V587" s="3"/>
      <c r="W587" s="3"/>
      <c r="X587" s="3"/>
    </row>
    <row r="588" spans="1:24" ht="13">
      <c r="A588" s="48"/>
      <c r="B588" s="3"/>
      <c r="C588" s="3"/>
      <c r="D588" s="9"/>
      <c r="E588" s="9"/>
      <c r="F588" s="9"/>
      <c r="G588" s="38"/>
      <c r="H588" s="11"/>
      <c r="I588" s="3"/>
      <c r="J588" s="9"/>
      <c r="K588" s="3"/>
      <c r="L588" s="3"/>
      <c r="M588" s="49"/>
      <c r="N588" s="30"/>
      <c r="O588" s="49"/>
      <c r="P588" s="50"/>
      <c r="Q588" s="49"/>
      <c r="R588" s="50"/>
      <c r="S588" s="3"/>
      <c r="T588" s="73"/>
      <c r="U588" s="3"/>
      <c r="V588" s="3"/>
      <c r="W588" s="3"/>
      <c r="X588" s="3"/>
    </row>
    <row r="589" spans="1:24" ht="13">
      <c r="A589" s="48"/>
      <c r="B589" s="3"/>
      <c r="C589" s="3"/>
      <c r="D589" s="9"/>
      <c r="E589" s="9"/>
      <c r="F589" s="9"/>
      <c r="G589" s="38"/>
      <c r="H589" s="11"/>
      <c r="I589" s="3"/>
      <c r="J589" s="9"/>
      <c r="K589" s="3"/>
      <c r="L589" s="3"/>
      <c r="M589" s="49"/>
      <c r="N589" s="30"/>
      <c r="O589" s="49"/>
      <c r="P589" s="50"/>
      <c r="Q589" s="49"/>
      <c r="R589" s="50"/>
      <c r="S589" s="3"/>
      <c r="T589" s="73"/>
      <c r="U589" s="3"/>
      <c r="V589" s="3"/>
      <c r="W589" s="3"/>
      <c r="X589" s="3"/>
    </row>
    <row r="590" spans="1:24" ht="13">
      <c r="A590" s="48"/>
      <c r="B590" s="3"/>
      <c r="C590" s="3"/>
      <c r="D590" s="9"/>
      <c r="E590" s="9"/>
      <c r="F590" s="9"/>
      <c r="G590" s="38"/>
      <c r="H590" s="11"/>
      <c r="I590" s="3"/>
      <c r="J590" s="9"/>
      <c r="K590" s="3"/>
      <c r="L590" s="3"/>
      <c r="M590" s="49"/>
      <c r="N590" s="30"/>
      <c r="O590" s="49"/>
      <c r="P590" s="50"/>
      <c r="Q590" s="49"/>
      <c r="R590" s="50"/>
      <c r="S590" s="3"/>
      <c r="T590" s="73"/>
      <c r="U590" s="3"/>
      <c r="V590" s="3"/>
      <c r="W590" s="3"/>
      <c r="X590" s="3"/>
    </row>
    <row r="591" spans="1:24" ht="13">
      <c r="A591" s="48"/>
      <c r="B591" s="3"/>
      <c r="C591" s="3"/>
      <c r="D591" s="9"/>
      <c r="E591" s="9"/>
      <c r="F591" s="9"/>
      <c r="G591" s="38"/>
      <c r="H591" s="11"/>
      <c r="I591" s="3"/>
      <c r="J591" s="9"/>
      <c r="K591" s="3"/>
      <c r="L591" s="3"/>
      <c r="M591" s="49"/>
      <c r="N591" s="30"/>
      <c r="O591" s="49"/>
      <c r="P591" s="50"/>
      <c r="Q591" s="49"/>
      <c r="R591" s="50"/>
      <c r="S591" s="3"/>
      <c r="T591" s="73"/>
      <c r="U591" s="3"/>
      <c r="V591" s="3"/>
      <c r="W591" s="3"/>
      <c r="X591" s="3"/>
    </row>
    <row r="592" spans="1:24" ht="13">
      <c r="A592" s="48"/>
      <c r="B592" s="3"/>
      <c r="C592" s="3"/>
      <c r="D592" s="9"/>
      <c r="E592" s="9"/>
      <c r="F592" s="9"/>
      <c r="G592" s="38"/>
      <c r="H592" s="11"/>
      <c r="I592" s="3"/>
      <c r="J592" s="9"/>
      <c r="K592" s="3"/>
      <c r="L592" s="3"/>
      <c r="M592" s="49"/>
      <c r="N592" s="30"/>
      <c r="O592" s="49"/>
      <c r="P592" s="50"/>
      <c r="Q592" s="49"/>
      <c r="R592" s="50"/>
      <c r="S592" s="3"/>
      <c r="T592" s="73"/>
      <c r="U592" s="3"/>
      <c r="V592" s="3"/>
      <c r="W592" s="3"/>
      <c r="X592" s="3"/>
    </row>
    <row r="593" spans="1:24" ht="13">
      <c r="A593" s="48"/>
      <c r="B593" s="3"/>
      <c r="C593" s="3"/>
      <c r="D593" s="9"/>
      <c r="E593" s="9"/>
      <c r="F593" s="9"/>
      <c r="G593" s="38"/>
      <c r="H593" s="11"/>
      <c r="I593" s="3"/>
      <c r="J593" s="9"/>
      <c r="K593" s="3"/>
      <c r="L593" s="3"/>
      <c r="M593" s="49"/>
      <c r="N593" s="30"/>
      <c r="O593" s="49"/>
      <c r="P593" s="50"/>
      <c r="Q593" s="49"/>
      <c r="R593" s="50"/>
      <c r="S593" s="3"/>
      <c r="T593" s="73"/>
      <c r="U593" s="3"/>
      <c r="V593" s="3"/>
      <c r="W593" s="3"/>
      <c r="X593" s="3"/>
    </row>
    <row r="594" spans="1:24" ht="13">
      <c r="A594" s="48"/>
      <c r="B594" s="3"/>
      <c r="C594" s="3"/>
      <c r="D594" s="9"/>
      <c r="E594" s="9"/>
      <c r="F594" s="9"/>
      <c r="G594" s="38"/>
      <c r="H594" s="11"/>
      <c r="I594" s="3"/>
      <c r="J594" s="9"/>
      <c r="K594" s="3"/>
      <c r="L594" s="3"/>
      <c r="M594" s="49"/>
      <c r="N594" s="30"/>
      <c r="O594" s="49"/>
      <c r="P594" s="50"/>
      <c r="Q594" s="49"/>
      <c r="R594" s="50"/>
      <c r="S594" s="3"/>
      <c r="T594" s="73"/>
      <c r="U594" s="3"/>
      <c r="V594" s="3"/>
      <c r="W594" s="3"/>
      <c r="X594" s="3"/>
    </row>
    <row r="595" spans="1:24" ht="13">
      <c r="A595" s="48"/>
      <c r="B595" s="3"/>
      <c r="C595" s="3"/>
      <c r="D595" s="9"/>
      <c r="E595" s="9"/>
      <c r="F595" s="9"/>
      <c r="G595" s="38"/>
      <c r="H595" s="11"/>
      <c r="I595" s="3"/>
      <c r="J595" s="9"/>
      <c r="K595" s="3"/>
      <c r="L595" s="3"/>
      <c r="M595" s="49"/>
      <c r="N595" s="30"/>
      <c r="O595" s="49"/>
      <c r="P595" s="50"/>
      <c r="Q595" s="49"/>
      <c r="R595" s="50"/>
      <c r="S595" s="3"/>
      <c r="T595" s="73"/>
      <c r="U595" s="3"/>
      <c r="V595" s="3"/>
      <c r="W595" s="3"/>
      <c r="X595" s="3"/>
    </row>
    <row r="596" spans="1:24" ht="13">
      <c r="A596" s="48"/>
      <c r="B596" s="3"/>
      <c r="C596" s="3"/>
      <c r="D596" s="9"/>
      <c r="E596" s="9"/>
      <c r="F596" s="9"/>
      <c r="G596" s="38"/>
      <c r="H596" s="11"/>
      <c r="I596" s="3"/>
      <c r="J596" s="9"/>
      <c r="K596" s="3"/>
      <c r="L596" s="3"/>
      <c r="M596" s="49"/>
      <c r="N596" s="30"/>
      <c r="O596" s="49"/>
      <c r="P596" s="50"/>
      <c r="Q596" s="49"/>
      <c r="R596" s="50"/>
      <c r="S596" s="3"/>
      <c r="T596" s="73"/>
      <c r="U596" s="3"/>
      <c r="V596" s="3"/>
      <c r="W596" s="3"/>
      <c r="X596" s="3"/>
    </row>
    <row r="597" spans="1:24" ht="13">
      <c r="A597" s="48"/>
      <c r="B597" s="3"/>
      <c r="C597" s="3"/>
      <c r="D597" s="9"/>
      <c r="E597" s="9"/>
      <c r="F597" s="9"/>
      <c r="G597" s="38"/>
      <c r="H597" s="11"/>
      <c r="I597" s="3"/>
      <c r="J597" s="9"/>
      <c r="K597" s="3"/>
      <c r="L597" s="3"/>
      <c r="M597" s="49"/>
      <c r="N597" s="30"/>
      <c r="O597" s="49"/>
      <c r="P597" s="50"/>
      <c r="Q597" s="49"/>
      <c r="R597" s="50"/>
      <c r="S597" s="3"/>
      <c r="T597" s="73"/>
      <c r="U597" s="3"/>
      <c r="V597" s="3"/>
      <c r="W597" s="3"/>
      <c r="X597" s="3"/>
    </row>
    <row r="598" spans="1:24" ht="13">
      <c r="A598" s="48"/>
      <c r="B598" s="3"/>
      <c r="C598" s="3"/>
      <c r="D598" s="9"/>
      <c r="E598" s="9"/>
      <c r="F598" s="9"/>
      <c r="G598" s="38"/>
      <c r="H598" s="11"/>
      <c r="I598" s="3"/>
      <c r="J598" s="9"/>
      <c r="K598" s="3"/>
      <c r="L598" s="3"/>
      <c r="M598" s="49"/>
      <c r="N598" s="30"/>
      <c r="O598" s="49"/>
      <c r="P598" s="50"/>
      <c r="Q598" s="49"/>
      <c r="R598" s="50"/>
      <c r="S598" s="3"/>
      <c r="T598" s="73"/>
      <c r="U598" s="3"/>
      <c r="V598" s="3"/>
      <c r="W598" s="3"/>
      <c r="X598" s="3"/>
    </row>
    <row r="599" spans="1:24" ht="13">
      <c r="A599" s="48"/>
      <c r="B599" s="3"/>
      <c r="C599" s="3"/>
      <c r="D599" s="9"/>
      <c r="E599" s="9"/>
      <c r="F599" s="9"/>
      <c r="G599" s="38"/>
      <c r="H599" s="11"/>
      <c r="I599" s="3"/>
      <c r="J599" s="9"/>
      <c r="K599" s="3"/>
      <c r="L599" s="3"/>
      <c r="M599" s="49"/>
      <c r="N599" s="30"/>
      <c r="O599" s="49"/>
      <c r="P599" s="50"/>
      <c r="Q599" s="49"/>
      <c r="R599" s="50"/>
      <c r="S599" s="3"/>
      <c r="T599" s="73"/>
      <c r="U599" s="3"/>
      <c r="V599" s="3"/>
      <c r="W599" s="3"/>
      <c r="X599" s="3"/>
    </row>
    <row r="600" spans="1:24" ht="13">
      <c r="A600" s="48"/>
      <c r="B600" s="3"/>
      <c r="C600" s="3"/>
      <c r="D600" s="9"/>
      <c r="E600" s="9"/>
      <c r="F600" s="9"/>
      <c r="G600" s="38"/>
      <c r="H600" s="11"/>
      <c r="I600" s="3"/>
      <c r="J600" s="9"/>
      <c r="K600" s="3"/>
      <c r="L600" s="3"/>
      <c r="M600" s="49"/>
      <c r="N600" s="30"/>
      <c r="O600" s="49"/>
      <c r="P600" s="50"/>
      <c r="Q600" s="49"/>
      <c r="R600" s="50"/>
      <c r="S600" s="3"/>
      <c r="T600" s="73"/>
      <c r="U600" s="3"/>
      <c r="V600" s="3"/>
      <c r="W600" s="3"/>
      <c r="X600" s="3"/>
    </row>
    <row r="601" spans="1:24" ht="13">
      <c r="A601" s="48"/>
      <c r="B601" s="3"/>
      <c r="C601" s="3"/>
      <c r="D601" s="9"/>
      <c r="E601" s="9"/>
      <c r="F601" s="9"/>
      <c r="G601" s="38"/>
      <c r="H601" s="11"/>
      <c r="I601" s="3"/>
      <c r="J601" s="9"/>
      <c r="K601" s="3"/>
      <c r="L601" s="3"/>
      <c r="M601" s="49"/>
      <c r="N601" s="30"/>
      <c r="O601" s="49"/>
      <c r="P601" s="50"/>
      <c r="Q601" s="49"/>
      <c r="R601" s="50"/>
      <c r="S601" s="3"/>
      <c r="T601" s="73"/>
      <c r="U601" s="3"/>
      <c r="V601" s="3"/>
      <c r="W601" s="3"/>
      <c r="X601" s="3"/>
    </row>
    <row r="602" spans="1:24" ht="13">
      <c r="A602" s="48"/>
      <c r="B602" s="3"/>
      <c r="C602" s="3"/>
      <c r="D602" s="9"/>
      <c r="E602" s="9"/>
      <c r="F602" s="9"/>
      <c r="G602" s="38"/>
      <c r="H602" s="11"/>
      <c r="I602" s="3"/>
      <c r="J602" s="9"/>
      <c r="K602" s="3"/>
      <c r="L602" s="3"/>
      <c r="M602" s="49"/>
      <c r="N602" s="30"/>
      <c r="O602" s="49"/>
      <c r="P602" s="50"/>
      <c r="Q602" s="49"/>
      <c r="R602" s="50"/>
      <c r="S602" s="3"/>
      <c r="T602" s="73"/>
      <c r="U602" s="3"/>
      <c r="V602" s="3"/>
      <c r="W602" s="3"/>
      <c r="X602" s="3"/>
    </row>
    <row r="603" spans="1:24" ht="13">
      <c r="A603" s="48"/>
      <c r="B603" s="3"/>
      <c r="C603" s="3"/>
      <c r="D603" s="9"/>
      <c r="E603" s="9"/>
      <c r="F603" s="9"/>
      <c r="G603" s="38"/>
      <c r="H603" s="11"/>
      <c r="I603" s="3"/>
      <c r="J603" s="9"/>
      <c r="K603" s="3"/>
      <c r="L603" s="3"/>
      <c r="M603" s="49"/>
      <c r="N603" s="30"/>
      <c r="O603" s="49"/>
      <c r="P603" s="50"/>
      <c r="Q603" s="49"/>
      <c r="R603" s="50"/>
      <c r="S603" s="3"/>
      <c r="T603" s="73"/>
      <c r="U603" s="3"/>
      <c r="V603" s="3"/>
      <c r="W603" s="3"/>
      <c r="X603" s="3"/>
    </row>
    <row r="604" spans="1:24" ht="13">
      <c r="A604" s="48"/>
      <c r="B604" s="3"/>
      <c r="C604" s="3"/>
      <c r="D604" s="9"/>
      <c r="E604" s="9"/>
      <c r="F604" s="9"/>
      <c r="G604" s="38"/>
      <c r="H604" s="11"/>
      <c r="I604" s="3"/>
      <c r="J604" s="9"/>
      <c r="K604" s="3"/>
      <c r="L604" s="3"/>
      <c r="M604" s="49"/>
      <c r="N604" s="30"/>
      <c r="O604" s="49"/>
      <c r="P604" s="50"/>
      <c r="Q604" s="49"/>
      <c r="R604" s="50"/>
      <c r="S604" s="3"/>
      <c r="T604" s="73"/>
      <c r="U604" s="3"/>
      <c r="V604" s="3"/>
      <c r="W604" s="3"/>
      <c r="X604" s="3"/>
    </row>
    <row r="605" spans="1:24" ht="13">
      <c r="A605" s="48"/>
      <c r="B605" s="3"/>
      <c r="C605" s="3"/>
      <c r="D605" s="9"/>
      <c r="E605" s="9"/>
      <c r="F605" s="9"/>
      <c r="G605" s="38"/>
      <c r="H605" s="11"/>
      <c r="I605" s="3"/>
      <c r="J605" s="9"/>
      <c r="K605" s="3"/>
      <c r="L605" s="3"/>
      <c r="M605" s="49"/>
      <c r="N605" s="30"/>
      <c r="O605" s="49"/>
      <c r="P605" s="50"/>
      <c r="Q605" s="49"/>
      <c r="R605" s="50"/>
      <c r="S605" s="3"/>
      <c r="T605" s="73"/>
      <c r="U605" s="3"/>
      <c r="V605" s="3"/>
      <c r="W605" s="3"/>
      <c r="X605" s="3"/>
    </row>
    <row r="606" spans="1:24" ht="13">
      <c r="A606" s="48"/>
      <c r="B606" s="3"/>
      <c r="C606" s="3"/>
      <c r="D606" s="9"/>
      <c r="E606" s="9"/>
      <c r="F606" s="9"/>
      <c r="G606" s="38"/>
      <c r="H606" s="11"/>
      <c r="I606" s="3"/>
      <c r="J606" s="9"/>
      <c r="K606" s="3"/>
      <c r="L606" s="3"/>
      <c r="M606" s="49"/>
      <c r="N606" s="30"/>
      <c r="O606" s="49"/>
      <c r="P606" s="50"/>
      <c r="Q606" s="49"/>
      <c r="R606" s="50"/>
      <c r="S606" s="3"/>
      <c r="T606" s="73"/>
      <c r="U606" s="3"/>
      <c r="V606" s="3"/>
      <c r="W606" s="3"/>
      <c r="X606" s="3"/>
    </row>
    <row r="607" spans="1:24" ht="13">
      <c r="A607" s="48"/>
      <c r="B607" s="3"/>
      <c r="C607" s="3"/>
      <c r="D607" s="9"/>
      <c r="E607" s="9"/>
      <c r="F607" s="9"/>
      <c r="G607" s="38"/>
      <c r="H607" s="11"/>
      <c r="I607" s="3"/>
      <c r="J607" s="9"/>
      <c r="K607" s="3"/>
      <c r="L607" s="3"/>
      <c r="M607" s="49"/>
      <c r="N607" s="30"/>
      <c r="O607" s="49"/>
      <c r="P607" s="50"/>
      <c r="Q607" s="49"/>
      <c r="R607" s="50"/>
      <c r="S607" s="3"/>
      <c r="T607" s="73"/>
      <c r="U607" s="3"/>
      <c r="V607" s="3"/>
      <c r="W607" s="3"/>
      <c r="X607" s="3"/>
    </row>
    <row r="608" spans="1:24" ht="13">
      <c r="A608" s="48"/>
      <c r="B608" s="3"/>
      <c r="C608" s="3"/>
      <c r="D608" s="9"/>
      <c r="E608" s="9"/>
      <c r="F608" s="9"/>
      <c r="G608" s="38"/>
      <c r="H608" s="11"/>
      <c r="I608" s="3"/>
      <c r="J608" s="9"/>
      <c r="K608" s="3"/>
      <c r="L608" s="3"/>
      <c r="M608" s="49"/>
      <c r="N608" s="30"/>
      <c r="O608" s="49"/>
      <c r="P608" s="50"/>
      <c r="Q608" s="49"/>
      <c r="R608" s="50"/>
      <c r="S608" s="3"/>
      <c r="T608" s="73"/>
      <c r="U608" s="3"/>
      <c r="V608" s="3"/>
      <c r="W608" s="3"/>
      <c r="X608" s="3"/>
    </row>
    <row r="609" spans="1:24" ht="13">
      <c r="A609" s="48"/>
      <c r="B609" s="3"/>
      <c r="C609" s="3"/>
      <c r="D609" s="9"/>
      <c r="E609" s="9"/>
      <c r="F609" s="9"/>
      <c r="G609" s="38"/>
      <c r="H609" s="11"/>
      <c r="I609" s="3"/>
      <c r="J609" s="9"/>
      <c r="K609" s="3"/>
      <c r="L609" s="3"/>
      <c r="M609" s="49"/>
      <c r="N609" s="30"/>
      <c r="O609" s="49"/>
      <c r="P609" s="50"/>
      <c r="Q609" s="49"/>
      <c r="R609" s="50"/>
      <c r="S609" s="3"/>
      <c r="T609" s="73"/>
      <c r="U609" s="3"/>
      <c r="V609" s="3"/>
      <c r="W609" s="3"/>
      <c r="X609" s="3"/>
    </row>
    <row r="610" spans="1:24" ht="13">
      <c r="A610" s="48"/>
      <c r="B610" s="3"/>
      <c r="C610" s="3"/>
      <c r="D610" s="9"/>
      <c r="E610" s="9"/>
      <c r="F610" s="9"/>
      <c r="G610" s="38"/>
      <c r="H610" s="11"/>
      <c r="I610" s="3"/>
      <c r="J610" s="9"/>
      <c r="K610" s="3"/>
      <c r="L610" s="3"/>
      <c r="M610" s="49"/>
      <c r="N610" s="30"/>
      <c r="O610" s="49"/>
      <c r="P610" s="50"/>
      <c r="Q610" s="49"/>
      <c r="R610" s="50"/>
      <c r="S610" s="3"/>
      <c r="T610" s="73"/>
      <c r="U610" s="3"/>
      <c r="V610" s="3"/>
      <c r="W610" s="3"/>
      <c r="X610" s="3"/>
    </row>
    <row r="611" spans="1:24" ht="13">
      <c r="A611" s="48"/>
      <c r="B611" s="3"/>
      <c r="C611" s="3"/>
      <c r="D611" s="9"/>
      <c r="E611" s="9"/>
      <c r="F611" s="9"/>
      <c r="G611" s="38"/>
      <c r="H611" s="11"/>
      <c r="I611" s="3"/>
      <c r="J611" s="9"/>
      <c r="K611" s="3"/>
      <c r="L611" s="3"/>
      <c r="M611" s="49"/>
      <c r="N611" s="30"/>
      <c r="O611" s="49"/>
      <c r="P611" s="50"/>
      <c r="Q611" s="49"/>
      <c r="R611" s="50"/>
      <c r="S611" s="3"/>
      <c r="T611" s="73"/>
      <c r="U611" s="3"/>
      <c r="V611" s="3"/>
      <c r="W611" s="3"/>
      <c r="X611" s="3"/>
    </row>
    <row r="612" spans="1:24" ht="13">
      <c r="A612" s="48"/>
      <c r="B612" s="3"/>
      <c r="C612" s="3"/>
      <c r="D612" s="9"/>
      <c r="E612" s="9"/>
      <c r="F612" s="9"/>
      <c r="G612" s="38"/>
      <c r="H612" s="11"/>
      <c r="I612" s="3"/>
      <c r="J612" s="9"/>
      <c r="K612" s="3"/>
      <c r="L612" s="3"/>
      <c r="M612" s="49"/>
      <c r="N612" s="30"/>
      <c r="O612" s="49"/>
      <c r="P612" s="50"/>
      <c r="Q612" s="49"/>
      <c r="R612" s="50"/>
      <c r="S612" s="3"/>
      <c r="T612" s="73"/>
      <c r="U612" s="3"/>
      <c r="V612" s="3"/>
      <c r="W612" s="3"/>
      <c r="X612" s="3"/>
    </row>
    <row r="613" spans="1:24" ht="13">
      <c r="A613" s="48"/>
      <c r="B613" s="3"/>
      <c r="C613" s="3"/>
      <c r="D613" s="9"/>
      <c r="E613" s="9"/>
      <c r="F613" s="9"/>
      <c r="G613" s="38"/>
      <c r="H613" s="11"/>
      <c r="I613" s="3"/>
      <c r="J613" s="9"/>
      <c r="K613" s="3"/>
      <c r="L613" s="3"/>
      <c r="M613" s="49"/>
      <c r="N613" s="30"/>
      <c r="O613" s="49"/>
      <c r="P613" s="50"/>
      <c r="Q613" s="49"/>
      <c r="R613" s="50"/>
      <c r="S613" s="3"/>
      <c r="T613" s="73"/>
      <c r="U613" s="3"/>
      <c r="V613" s="3"/>
      <c r="W613" s="3"/>
      <c r="X613" s="3"/>
    </row>
    <row r="614" spans="1:24" ht="13">
      <c r="A614" s="48"/>
      <c r="B614" s="3"/>
      <c r="C614" s="3"/>
      <c r="D614" s="9"/>
      <c r="E614" s="9"/>
      <c r="F614" s="9"/>
      <c r="G614" s="38"/>
      <c r="H614" s="11"/>
      <c r="I614" s="3"/>
      <c r="J614" s="9"/>
      <c r="K614" s="3"/>
      <c r="L614" s="3"/>
      <c r="M614" s="49"/>
      <c r="N614" s="30"/>
      <c r="O614" s="49"/>
      <c r="P614" s="50"/>
      <c r="Q614" s="49"/>
      <c r="R614" s="50"/>
      <c r="S614" s="3"/>
      <c r="T614" s="73"/>
      <c r="U614" s="3"/>
      <c r="V614" s="3"/>
      <c r="W614" s="3"/>
      <c r="X614" s="3"/>
    </row>
    <row r="615" spans="1:24" ht="13">
      <c r="A615" s="48"/>
      <c r="B615" s="3"/>
      <c r="C615" s="3"/>
      <c r="D615" s="9"/>
      <c r="E615" s="9"/>
      <c r="F615" s="9"/>
      <c r="G615" s="38"/>
      <c r="H615" s="11"/>
      <c r="I615" s="3"/>
      <c r="J615" s="9"/>
      <c r="K615" s="3"/>
      <c r="L615" s="3"/>
      <c r="M615" s="49"/>
      <c r="N615" s="30"/>
      <c r="O615" s="49"/>
      <c r="P615" s="50"/>
      <c r="Q615" s="49"/>
      <c r="R615" s="50"/>
      <c r="S615" s="3"/>
      <c r="T615" s="73"/>
      <c r="U615" s="3"/>
      <c r="V615" s="3"/>
      <c r="W615" s="3"/>
      <c r="X615" s="3"/>
    </row>
    <row r="616" spans="1:24" ht="13">
      <c r="A616" s="48"/>
      <c r="B616" s="3"/>
      <c r="C616" s="3"/>
      <c r="D616" s="9"/>
      <c r="E616" s="9"/>
      <c r="F616" s="9"/>
      <c r="G616" s="38"/>
      <c r="H616" s="11"/>
      <c r="I616" s="3"/>
      <c r="J616" s="9"/>
      <c r="K616" s="3"/>
      <c r="L616" s="3"/>
      <c r="M616" s="49"/>
      <c r="N616" s="30"/>
      <c r="O616" s="49"/>
      <c r="P616" s="50"/>
      <c r="Q616" s="49"/>
      <c r="R616" s="50"/>
      <c r="S616" s="3"/>
      <c r="T616" s="73"/>
      <c r="U616" s="3"/>
      <c r="V616" s="3"/>
      <c r="W616" s="3"/>
      <c r="X616" s="3"/>
    </row>
    <row r="617" spans="1:24" ht="13">
      <c r="A617" s="48"/>
      <c r="B617" s="3"/>
      <c r="C617" s="3"/>
      <c r="D617" s="9"/>
      <c r="E617" s="9"/>
      <c r="F617" s="9"/>
      <c r="G617" s="38"/>
      <c r="H617" s="11"/>
      <c r="I617" s="3"/>
      <c r="J617" s="9"/>
      <c r="K617" s="3"/>
      <c r="L617" s="3"/>
      <c r="M617" s="49"/>
      <c r="N617" s="30"/>
      <c r="O617" s="49"/>
      <c r="P617" s="50"/>
      <c r="Q617" s="49"/>
      <c r="R617" s="50"/>
      <c r="S617" s="3"/>
      <c r="T617" s="73"/>
      <c r="U617" s="3"/>
      <c r="V617" s="3"/>
      <c r="W617" s="3"/>
      <c r="X617" s="3"/>
    </row>
    <row r="618" spans="1:24" ht="13">
      <c r="A618" s="48"/>
      <c r="B618" s="3"/>
      <c r="C618" s="3"/>
      <c r="D618" s="9"/>
      <c r="E618" s="9"/>
      <c r="F618" s="9"/>
      <c r="G618" s="38"/>
      <c r="H618" s="11"/>
      <c r="I618" s="3"/>
      <c r="J618" s="9"/>
      <c r="K618" s="3"/>
      <c r="L618" s="3"/>
      <c r="M618" s="49"/>
      <c r="N618" s="30"/>
      <c r="O618" s="49"/>
      <c r="P618" s="50"/>
      <c r="Q618" s="49"/>
      <c r="R618" s="50"/>
      <c r="S618" s="3"/>
      <c r="T618" s="73"/>
      <c r="U618" s="3"/>
      <c r="V618" s="3"/>
      <c r="W618" s="3"/>
      <c r="X618" s="3"/>
    </row>
    <row r="619" spans="1:24" ht="13">
      <c r="A619" s="48"/>
      <c r="B619" s="3"/>
      <c r="C619" s="3"/>
      <c r="D619" s="9"/>
      <c r="E619" s="9"/>
      <c r="F619" s="9"/>
      <c r="G619" s="38"/>
      <c r="H619" s="11"/>
      <c r="I619" s="3"/>
      <c r="J619" s="9"/>
      <c r="K619" s="3"/>
      <c r="L619" s="3"/>
      <c r="M619" s="49"/>
      <c r="N619" s="30"/>
      <c r="O619" s="49"/>
      <c r="P619" s="50"/>
      <c r="Q619" s="49"/>
      <c r="R619" s="50"/>
      <c r="S619" s="3"/>
      <c r="T619" s="73"/>
      <c r="U619" s="3"/>
      <c r="V619" s="3"/>
      <c r="W619" s="3"/>
      <c r="X619" s="3"/>
    </row>
    <row r="620" spans="1:24" ht="13">
      <c r="A620" s="48"/>
      <c r="B620" s="3"/>
      <c r="C620" s="3"/>
      <c r="D620" s="9"/>
      <c r="E620" s="9"/>
      <c r="F620" s="9"/>
      <c r="G620" s="38"/>
      <c r="H620" s="11"/>
      <c r="I620" s="3"/>
      <c r="J620" s="9"/>
      <c r="K620" s="3"/>
      <c r="L620" s="3"/>
      <c r="M620" s="49"/>
      <c r="N620" s="30"/>
      <c r="O620" s="49"/>
      <c r="P620" s="50"/>
      <c r="Q620" s="49"/>
      <c r="R620" s="50"/>
      <c r="S620" s="3"/>
      <c r="T620" s="73"/>
      <c r="U620" s="3"/>
      <c r="V620" s="3"/>
      <c r="W620" s="3"/>
      <c r="X620" s="3"/>
    </row>
    <row r="621" spans="1:24" ht="13">
      <c r="A621" s="48"/>
      <c r="B621" s="3"/>
      <c r="C621" s="3"/>
      <c r="D621" s="9"/>
      <c r="E621" s="9"/>
      <c r="F621" s="9"/>
      <c r="G621" s="38"/>
      <c r="H621" s="11"/>
      <c r="I621" s="3"/>
      <c r="J621" s="9"/>
      <c r="K621" s="3"/>
      <c r="L621" s="3"/>
      <c r="M621" s="49"/>
      <c r="N621" s="30"/>
      <c r="O621" s="49"/>
      <c r="P621" s="50"/>
      <c r="Q621" s="49"/>
      <c r="R621" s="50"/>
      <c r="S621" s="3"/>
      <c r="T621" s="73"/>
      <c r="U621" s="3"/>
      <c r="V621" s="3"/>
      <c r="W621" s="3"/>
      <c r="X621" s="3"/>
    </row>
    <row r="622" spans="1:24" ht="13">
      <c r="A622" s="48"/>
      <c r="B622" s="3"/>
      <c r="C622" s="3"/>
      <c r="D622" s="9"/>
      <c r="E622" s="9"/>
      <c r="F622" s="9"/>
      <c r="G622" s="38"/>
      <c r="H622" s="11"/>
      <c r="I622" s="3"/>
      <c r="J622" s="9"/>
      <c r="K622" s="3"/>
      <c r="L622" s="3"/>
      <c r="M622" s="49"/>
      <c r="N622" s="30"/>
      <c r="O622" s="49"/>
      <c r="P622" s="50"/>
      <c r="Q622" s="49"/>
      <c r="R622" s="50"/>
      <c r="S622" s="3"/>
      <c r="T622" s="73"/>
      <c r="U622" s="3"/>
      <c r="V622" s="3"/>
      <c r="W622" s="3"/>
      <c r="X622" s="3"/>
    </row>
    <row r="623" spans="1:24" ht="13">
      <c r="A623" s="48"/>
      <c r="B623" s="3"/>
      <c r="C623" s="3"/>
      <c r="D623" s="9"/>
      <c r="E623" s="9"/>
      <c r="F623" s="9"/>
      <c r="G623" s="38"/>
      <c r="H623" s="11"/>
      <c r="I623" s="3"/>
      <c r="J623" s="9"/>
      <c r="K623" s="3"/>
      <c r="L623" s="3"/>
      <c r="M623" s="49"/>
      <c r="N623" s="30"/>
      <c r="O623" s="49"/>
      <c r="P623" s="50"/>
      <c r="Q623" s="49"/>
      <c r="R623" s="50"/>
      <c r="S623" s="3"/>
      <c r="T623" s="73"/>
      <c r="U623" s="3"/>
      <c r="V623" s="3"/>
      <c r="W623" s="3"/>
      <c r="X623" s="3"/>
    </row>
    <row r="624" spans="1:24" ht="13">
      <c r="A624" s="48"/>
      <c r="B624" s="3"/>
      <c r="C624" s="3"/>
      <c r="D624" s="9"/>
      <c r="E624" s="9"/>
      <c r="F624" s="9"/>
      <c r="G624" s="38"/>
      <c r="H624" s="11"/>
      <c r="I624" s="3"/>
      <c r="J624" s="9"/>
      <c r="K624" s="3"/>
      <c r="L624" s="3"/>
      <c r="M624" s="49"/>
      <c r="N624" s="30"/>
      <c r="O624" s="49"/>
      <c r="P624" s="50"/>
      <c r="Q624" s="49"/>
      <c r="R624" s="50"/>
      <c r="S624" s="3"/>
      <c r="T624" s="73"/>
      <c r="U624" s="3"/>
      <c r="V624" s="3"/>
      <c r="W624" s="3"/>
      <c r="X624" s="3"/>
    </row>
    <row r="625" spans="1:24" ht="13">
      <c r="A625" s="48"/>
      <c r="B625" s="3"/>
      <c r="C625" s="3"/>
      <c r="D625" s="9"/>
      <c r="E625" s="9"/>
      <c r="F625" s="9"/>
      <c r="G625" s="38"/>
      <c r="H625" s="11"/>
      <c r="I625" s="3"/>
      <c r="J625" s="9"/>
      <c r="K625" s="3"/>
      <c r="L625" s="3"/>
      <c r="M625" s="49"/>
      <c r="N625" s="30"/>
      <c r="O625" s="49"/>
      <c r="P625" s="50"/>
      <c r="Q625" s="49"/>
      <c r="R625" s="50"/>
      <c r="S625" s="3"/>
      <c r="T625" s="73"/>
      <c r="U625" s="3"/>
      <c r="V625" s="3"/>
      <c r="W625" s="3"/>
      <c r="X625" s="3"/>
    </row>
    <row r="626" spans="1:24" ht="13">
      <c r="A626" s="48"/>
      <c r="B626" s="3"/>
      <c r="C626" s="3"/>
      <c r="D626" s="9"/>
      <c r="E626" s="9"/>
      <c r="F626" s="9"/>
      <c r="G626" s="38"/>
      <c r="H626" s="11"/>
      <c r="I626" s="3"/>
      <c r="J626" s="9"/>
      <c r="K626" s="3"/>
      <c r="L626" s="3"/>
      <c r="M626" s="49"/>
      <c r="N626" s="30"/>
      <c r="O626" s="49"/>
      <c r="P626" s="50"/>
      <c r="Q626" s="49"/>
      <c r="R626" s="50"/>
      <c r="S626" s="3"/>
      <c r="T626" s="73"/>
      <c r="U626" s="3"/>
      <c r="V626" s="3"/>
      <c r="W626" s="3"/>
      <c r="X626" s="3"/>
    </row>
    <row r="627" spans="1:24" ht="13">
      <c r="A627" s="48"/>
      <c r="B627" s="3"/>
      <c r="C627" s="3"/>
      <c r="D627" s="9"/>
      <c r="E627" s="9"/>
      <c r="F627" s="9"/>
      <c r="G627" s="38"/>
      <c r="H627" s="11"/>
      <c r="I627" s="3"/>
      <c r="J627" s="9"/>
      <c r="K627" s="3"/>
      <c r="L627" s="3"/>
      <c r="M627" s="49"/>
      <c r="N627" s="30"/>
      <c r="O627" s="49"/>
      <c r="P627" s="50"/>
      <c r="Q627" s="49"/>
      <c r="R627" s="50"/>
      <c r="S627" s="3"/>
      <c r="T627" s="73"/>
      <c r="U627" s="3"/>
      <c r="V627" s="3"/>
      <c r="W627" s="3"/>
      <c r="X627" s="3"/>
    </row>
    <row r="628" spans="1:24" ht="13">
      <c r="A628" s="48"/>
      <c r="B628" s="3"/>
      <c r="C628" s="3"/>
      <c r="D628" s="9"/>
      <c r="E628" s="9"/>
      <c r="F628" s="9"/>
      <c r="G628" s="38"/>
      <c r="H628" s="11"/>
      <c r="I628" s="3"/>
      <c r="J628" s="9"/>
      <c r="K628" s="3"/>
      <c r="L628" s="3"/>
      <c r="M628" s="49"/>
      <c r="N628" s="30"/>
      <c r="O628" s="49"/>
      <c r="P628" s="50"/>
      <c r="Q628" s="49"/>
      <c r="R628" s="50"/>
      <c r="S628" s="3"/>
      <c r="T628" s="73"/>
      <c r="U628" s="3"/>
      <c r="V628" s="3"/>
      <c r="W628" s="3"/>
      <c r="X628" s="3"/>
    </row>
    <row r="629" spans="1:24" ht="13">
      <c r="A629" s="48"/>
      <c r="B629" s="3"/>
      <c r="C629" s="3"/>
      <c r="D629" s="9"/>
      <c r="E629" s="9"/>
      <c r="F629" s="9"/>
      <c r="G629" s="38"/>
      <c r="H629" s="11"/>
      <c r="I629" s="3"/>
      <c r="J629" s="9"/>
      <c r="K629" s="3"/>
      <c r="L629" s="3"/>
      <c r="M629" s="49"/>
      <c r="N629" s="30"/>
      <c r="O629" s="49"/>
      <c r="P629" s="50"/>
      <c r="Q629" s="49"/>
      <c r="R629" s="50"/>
      <c r="S629" s="3"/>
      <c r="T629" s="73"/>
      <c r="U629" s="3"/>
      <c r="V629" s="3"/>
      <c r="W629" s="3"/>
      <c r="X629" s="3"/>
    </row>
    <row r="630" spans="1:24" ht="13">
      <c r="A630" s="48"/>
      <c r="B630" s="3"/>
      <c r="C630" s="3"/>
      <c r="D630" s="9"/>
      <c r="E630" s="9"/>
      <c r="F630" s="9"/>
      <c r="G630" s="38"/>
      <c r="H630" s="11"/>
      <c r="I630" s="3"/>
      <c r="J630" s="9"/>
      <c r="K630" s="3"/>
      <c r="L630" s="3"/>
      <c r="M630" s="49"/>
      <c r="N630" s="30"/>
      <c r="O630" s="49"/>
      <c r="P630" s="50"/>
      <c r="Q630" s="49"/>
      <c r="R630" s="50"/>
      <c r="S630" s="3"/>
      <c r="T630" s="73"/>
      <c r="U630" s="3"/>
      <c r="V630" s="3"/>
      <c r="W630" s="3"/>
      <c r="X630" s="3"/>
    </row>
  </sheetData>
  <conditionalFormatting sqref="J1:J630">
    <cfRule type="colorScale" priority="14">
      <colorScale>
        <cfvo type="min"/>
        <cfvo type="max"/>
        <color rgb="FFFFFFFF"/>
        <color rgb="FF57BB8A"/>
      </colorScale>
    </cfRule>
  </conditionalFormatting>
  <conditionalFormatting sqref="K1:K630">
    <cfRule type="cellIs" dxfId="7" priority="1" operator="greaterThan">
      <formula>0</formula>
    </cfRule>
    <cfRule type="cellIs" dxfId="6" priority="2" operator="lessThan">
      <formula>0</formula>
    </cfRule>
  </conditionalFormatting>
  <conditionalFormatting sqref="M1:M578">
    <cfRule type="cellIs" dxfId="5" priority="20" operator="greaterThan">
      <formula>IF(B3:B848&lt;&gt;"",B3:B848,"")</formula>
    </cfRule>
  </conditionalFormatting>
  <conditionalFormatting sqref="M579:M630">
    <cfRule type="cellIs" dxfId="4" priority="4" operator="greaterThan">
      <formula>IF(B581:B1439&lt;&gt;"",B581:B1439,"")</formula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220"/>
  <sheetViews>
    <sheetView tabSelected="1" zoomScale="150" zoomScaleNormal="150" workbookViewId="0">
      <pane ySplit="2" topLeftCell="A192" activePane="bottomLeft" state="frozen"/>
      <selection pane="bottomLeft" activeCell="G199" sqref="G199"/>
    </sheetView>
  </sheetViews>
  <sheetFormatPr baseColWidth="10" defaultColWidth="12.6640625" defaultRowHeight="15.75" customHeight="1"/>
  <cols>
    <col min="1" max="1" width="9.83203125" customWidth="1"/>
    <col min="2" max="2" width="5.83203125" customWidth="1"/>
    <col min="3" max="3" width="10.33203125" customWidth="1"/>
    <col min="4" max="4" width="12.33203125" customWidth="1"/>
    <col min="5" max="5" width="10.6640625" customWidth="1"/>
    <col min="6" max="6" width="9.83203125" customWidth="1"/>
    <col min="7" max="9" width="10.6640625" customWidth="1"/>
    <col min="10" max="10" width="32.33203125" bestFit="1" customWidth="1"/>
    <col min="11" max="11" width="10.6640625" customWidth="1"/>
    <col min="12" max="12" width="11.5" customWidth="1"/>
    <col min="13" max="13" width="11.6640625" customWidth="1"/>
    <col min="14" max="14" width="12.5" customWidth="1"/>
    <col min="15" max="15" width="12" customWidth="1"/>
    <col min="16" max="16" width="17" customWidth="1"/>
    <col min="17" max="17" width="11.1640625" bestFit="1" customWidth="1"/>
  </cols>
  <sheetData>
    <row r="1" spans="1:26" ht="15.75" customHeight="1">
      <c r="A1" s="75"/>
      <c r="B1" s="76"/>
      <c r="C1" s="76"/>
      <c r="D1" s="76"/>
      <c r="E1" s="76"/>
      <c r="F1" s="76"/>
      <c r="G1" s="76"/>
      <c r="H1" s="76"/>
      <c r="I1" s="76"/>
      <c r="J1" s="76"/>
      <c r="K1" s="76"/>
      <c r="L1" s="76"/>
      <c r="M1" s="76"/>
      <c r="N1" s="76"/>
      <c r="O1" s="76"/>
      <c r="P1" s="77"/>
      <c r="Q1" s="51" t="s">
        <v>30</v>
      </c>
      <c r="R1" s="3"/>
      <c r="S1" s="3"/>
      <c r="T1" s="3"/>
      <c r="U1" s="3"/>
      <c r="V1" s="3"/>
      <c r="W1" s="3"/>
      <c r="X1" s="3"/>
      <c r="Y1" s="3"/>
      <c r="Z1" s="3"/>
    </row>
    <row r="2" spans="1:26" ht="89" customHeight="1" thickBot="1">
      <c r="A2" s="52" t="s">
        <v>31</v>
      </c>
      <c r="B2" s="52" t="s">
        <v>32</v>
      </c>
      <c r="C2" s="52" t="s">
        <v>33</v>
      </c>
      <c r="D2" s="52" t="s">
        <v>34</v>
      </c>
      <c r="E2" s="52" t="s">
        <v>35</v>
      </c>
      <c r="F2" s="52" t="s">
        <v>18</v>
      </c>
      <c r="G2" s="52" t="s">
        <v>36</v>
      </c>
      <c r="H2" s="53" t="s">
        <v>37</v>
      </c>
      <c r="I2" s="54" t="s">
        <v>38</v>
      </c>
      <c r="J2" s="54" t="s">
        <v>39</v>
      </c>
      <c r="K2" s="55" t="s">
        <v>40</v>
      </c>
      <c r="L2" s="54" t="s">
        <v>41</v>
      </c>
      <c r="M2" s="53" t="s">
        <v>42</v>
      </c>
      <c r="N2" s="52" t="s">
        <v>43</v>
      </c>
      <c r="O2" s="54" t="s">
        <v>44</v>
      </c>
      <c r="P2" s="52" t="s">
        <v>45</v>
      </c>
      <c r="Q2" s="56">
        <f ca="1">VLOOKUP(Q1&amp;"*",'Crypto Prices'!D:E,2,FALSE)</f>
        <v>116157.11</v>
      </c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thickBot="1">
      <c r="A3" s="57">
        <v>44571</v>
      </c>
      <c r="B3" s="58">
        <v>1</v>
      </c>
      <c r="C3" s="41">
        <f t="array" aca="1" ref="C3" ca="1">IF(MATCH(A3, 'weekly price'!A:A, 0), INDEX('weekly price'!B:B, MATCH(A3, 'weekly price'!A:A, 0)), "No Match")</f>
        <v>41817</v>
      </c>
      <c r="D3" s="43">
        <v>0</v>
      </c>
      <c r="E3" s="43">
        <f t="array" aca="1" ref="E3" ca="1">IF(C3&lt;&gt;"",IF(AND(D3&lt;-0.4,C3&lt;&gt;""),IF(MATCH(A3, 'weekly price'!A:A, 0), INDEX('weekly price'!J:J, MATCH(A3, 'weekly price'!A:A, 0)), "No Match")-(2*D3),IF(MATCH(A3, 'weekly price'!A:A, 0), INDEX('weekly price'!J:J, MATCH(A3, 'weekly price'!A:A, 0)), "No Match")-D3),"")</f>
        <v>2.3955900162917372</v>
      </c>
      <c r="F3" s="44">
        <f t="array" aca="1" ref="F3" ca="1">IF(MATCH(A3, 'weekly price'!A:A, 0), INDEX('weekly price'!K:K, MATCH(A3, 'weekly price'!A:A, 0)), "No Match")</f>
        <v>2</v>
      </c>
      <c r="G3" s="41">
        <f t="shared" ref="G3:G6" ca="1" si="0">IF(C3&lt;&gt;"",((E3+F3)*$P$11),"")</f>
        <v>1098.8975040729342</v>
      </c>
      <c r="H3" s="59">
        <f t="shared" ref="H3:H196" ca="1" si="1">IF(C3&lt;&gt;"",G3/C3,"")</f>
        <v>2.6278726452709046E-2</v>
      </c>
      <c r="I3" s="41">
        <f t="shared" ref="I3:I17" ca="1" si="2">IF(C3&lt;&gt;"",SUM($G$3:G3),"")</f>
        <v>1098.8975040729342</v>
      </c>
      <c r="J3" s="41">
        <f ca="1">$P$6-G3</f>
        <v>50901.102495927065</v>
      </c>
      <c r="K3" s="43">
        <f t="shared" ref="K3:K196" ca="1" si="3">IF(L3&lt;&gt;"",-1*((L3-C3)/L3),"")</f>
        <v>0</v>
      </c>
      <c r="L3" s="41">
        <f t="shared" ref="L3:L17" ca="1" si="4">IF(C3&lt;&gt;"",I3 / SUM($H$3:H3),"")</f>
        <v>41817</v>
      </c>
      <c r="M3" s="59">
        <f t="shared" ref="M3:M196" ca="1" si="5">IF(C3&lt;&gt;"",$P$11/C3,"")</f>
        <v>5.9784298251907122E-3</v>
      </c>
      <c r="N3" s="41">
        <v>250</v>
      </c>
      <c r="O3" s="41">
        <f t="shared" ref="O3:O17" ca="1" si="6">IF(C3&lt;&gt;"",SUM($N$3:N3) / SUM($M$3:M3),"")</f>
        <v>41817</v>
      </c>
      <c r="P3" s="60" t="s">
        <v>46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thickBot="1">
      <c r="A4" s="57">
        <v>44578</v>
      </c>
      <c r="B4" s="58">
        <v>2</v>
      </c>
      <c r="C4" s="41">
        <f t="array" aca="1" ref="C4" ca="1">IF(MATCH(A4, 'weekly price'!A:A, 0), INDEX('weekly price'!B:B, MATCH(A4, 'weekly price'!A:A, 0)), "No Match")</f>
        <v>42211.27</v>
      </c>
      <c r="D4" s="43">
        <f t="shared" ref="D4:D17" ca="1" si="7">IF(C4&lt;&gt;"",(C4-$C$3)/$C$3,"")</f>
        <v>9.428462108711691E-3</v>
      </c>
      <c r="E4" s="43">
        <f t="array" aca="1" ref="E4" ca="1">IF(C4&lt;&gt;"",IF(AND(D4&lt;-0.4,C4&lt;&gt;""),IF(MATCH(A4, 'weekly price'!A:A, 0), INDEX('weekly price'!J:J, MATCH(A4, 'weekly price'!A:A, 0)), "No Match")-(2*D4),IF(MATCH(A4, 'weekly price'!A:A, 0), INDEX('weekly price'!J:J, MATCH(A4, 'weekly price'!A:A, 0)), "No Match")-D4),"")</f>
        <v>2.1915039846451818</v>
      </c>
      <c r="F4" s="44">
        <f t="array" aca="1" ref="F4" ca="1">IF(MATCH(A4, 'weekly price'!A:A, 0), INDEX('weekly price'!K:K, MATCH(A4, 'weekly price'!A:A, 0)), "No Match")</f>
        <v>2</v>
      </c>
      <c r="G4" s="41">
        <f t="shared" ca="1" si="0"/>
        <v>1047.8759961612955</v>
      </c>
      <c r="H4" s="59">
        <f t="shared" ca="1" si="1"/>
        <v>2.4824555057483357E-2</v>
      </c>
      <c r="I4" s="41">
        <f t="shared" ca="1" si="2"/>
        <v>2146.7735002342297</v>
      </c>
      <c r="J4" s="41">
        <f t="shared" ref="J4:J196" ca="1" si="8">IF(C4&lt;&gt;"",J3-G3,"")</f>
        <v>49802.204991854131</v>
      </c>
      <c r="K4" s="43">
        <f t="shared" ca="1" si="3"/>
        <v>4.8262722999789145E-3</v>
      </c>
      <c r="L4" s="41">
        <f t="shared" ca="1" si="4"/>
        <v>42008.525417414967</v>
      </c>
      <c r="M4" s="59">
        <f t="shared" ca="1" si="5"/>
        <v>5.922588919973268E-3</v>
      </c>
      <c r="N4" s="41">
        <v>250</v>
      </c>
      <c r="O4" s="41">
        <f t="shared" ca="1" si="6"/>
        <v>42013.210020627579</v>
      </c>
      <c r="P4" s="61">
        <f ca="1">P6*P16</f>
        <v>10927.967977304022</v>
      </c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thickBot="1">
      <c r="A5" s="57">
        <v>44585</v>
      </c>
      <c r="B5" s="58">
        <v>3</v>
      </c>
      <c r="C5" s="41">
        <f t="array" aca="1" ref="C5" ca="1">IF(MATCH(A5, 'weekly price'!A:A, 0), INDEX('weekly price'!B:B, MATCH(A5, 'weekly price'!A:A, 0)), "No Match")</f>
        <v>36660</v>
      </c>
      <c r="D5" s="43">
        <f t="shared" ca="1" si="7"/>
        <v>-0.12332305043403401</v>
      </c>
      <c r="E5" s="43">
        <f t="array" aca="1" ref="E5" ca="1">IF(C5&lt;&gt;"",IF(AND(D5&lt;-0.4,C5&lt;&gt;""),IF(MATCH(A5, 'weekly price'!A:A, 0), INDEX('weekly price'!J:J, MATCH(A5, 'weekly price'!A:A, 0)), "No Match")-(2*D5),IF(MATCH(A5, 'weekly price'!A:A, 0), INDEX('weekly price'!J:J, MATCH(A5, 'weekly price'!A:A, 0)), "No Match")-D5),"")</f>
        <v>2.6995992250294938</v>
      </c>
      <c r="F5" s="44">
        <f t="array" aca="1" ref="F5" ca="1">IF(MATCH(A5, 'weekly price'!A:A, 0), INDEX('weekly price'!K:K, MATCH(A5, 'weekly price'!A:A, 0)), "No Match")</f>
        <v>3</v>
      </c>
      <c r="G5" s="41">
        <f t="shared" ca="1" si="0"/>
        <v>1424.8998062573735</v>
      </c>
      <c r="H5" s="59">
        <f t="shared" ca="1" si="1"/>
        <v>3.8867970710784877E-2</v>
      </c>
      <c r="I5" s="41">
        <f t="shared" ca="1" si="2"/>
        <v>3571.6733064916034</v>
      </c>
      <c r="J5" s="41">
        <f t="shared" ca="1" si="8"/>
        <v>48754.328995692835</v>
      </c>
      <c r="K5" s="43">
        <f t="shared" ca="1" si="3"/>
        <v>-7.6526371987549274E-2</v>
      </c>
      <c r="L5" s="41">
        <f t="shared" ca="1" si="4"/>
        <v>39697.93926752582</v>
      </c>
      <c r="M5" s="59">
        <f t="shared" ca="1" si="5"/>
        <v>6.8194217130387339E-3</v>
      </c>
      <c r="N5" s="41">
        <v>250</v>
      </c>
      <c r="O5" s="41">
        <f t="shared" ca="1" si="6"/>
        <v>40063.1599280226</v>
      </c>
      <c r="P5" s="60" t="s">
        <v>47</v>
      </c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thickBot="1">
      <c r="A6" s="57">
        <v>44592</v>
      </c>
      <c r="B6" s="58">
        <v>4</v>
      </c>
      <c r="C6" s="41">
        <f t="array" aca="1" ref="C6" ca="1">IF(MATCH(A6, 'weekly price'!A:A, 0), INDEX('weekly price'!B:B, MATCH(A6, 'weekly price'!A:A, 0)), "No Match")</f>
        <v>38463</v>
      </c>
      <c r="D6" s="43">
        <f t="shared" ca="1" si="7"/>
        <v>-8.0206614534758594E-2</v>
      </c>
      <c r="E6" s="43">
        <f t="array" aca="1" ref="E6" ca="1">IF(C6&lt;&gt;"",IF(AND(D6&lt;-0.4,C6&lt;&gt;""),IF(MATCH(A6, 'weekly price'!A:A, 0), INDEX('weekly price'!J:J, MATCH(A6, 'weekly price'!A:A, 0)), "No Match")-(2*D6),IF(MATCH(A6, 'weekly price'!A:A, 0), INDEX('weekly price'!J:J, MATCH(A6, 'weekly price'!A:A, 0)), "No Match")-D6),"")</f>
        <v>2.4115936070821489</v>
      </c>
      <c r="F6" s="44">
        <f t="array" aca="1" ref="F6" ca="1">IF(MATCH(A6, 'weekly price'!A:A, 0), INDEX('weekly price'!K:K, MATCH(A6, 'weekly price'!A:A, 0)), "No Match")</f>
        <v>3</v>
      </c>
      <c r="G6" s="41">
        <f t="shared" ca="1" si="0"/>
        <v>1352.8984017705372</v>
      </c>
      <c r="H6" s="59">
        <f t="shared" ca="1" si="1"/>
        <v>3.5174021833204304E-2</v>
      </c>
      <c r="I6" s="41">
        <f t="shared" ca="1" si="2"/>
        <v>4924.5717082621404</v>
      </c>
      <c r="J6" s="41">
        <f t="shared" ca="1" si="8"/>
        <v>47329.429189435461</v>
      </c>
      <c r="K6" s="43">
        <f t="shared" ca="1" si="3"/>
        <v>-2.2562171676725144E-2</v>
      </c>
      <c r="L6" s="41">
        <f t="shared" ca="1" si="4"/>
        <v>39350.840417114348</v>
      </c>
      <c r="M6" s="59">
        <f t="shared" ca="1" si="5"/>
        <v>6.4997530093856438E-3</v>
      </c>
      <c r="N6" s="41">
        <v>250</v>
      </c>
      <c r="O6" s="41">
        <f t="shared" ca="1" si="6"/>
        <v>39650.766410065269</v>
      </c>
      <c r="P6" s="61">
        <f>P14*P11</f>
        <v>52000</v>
      </c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thickBot="1">
      <c r="A7" s="57">
        <v>44599</v>
      </c>
      <c r="B7" s="58">
        <v>5</v>
      </c>
      <c r="C7" s="41">
        <f t="array" aca="1" ref="C7" ca="1">IF(MATCH(A7, 'weekly price'!A:A, 0), INDEX('weekly price'!B:B, MATCH(A7, 'weekly price'!A:A, 0)), "No Match")</f>
        <v>43869.04</v>
      </c>
      <c r="D7" s="43">
        <f t="shared" ca="1" si="7"/>
        <v>4.9071908553937414E-2</v>
      </c>
      <c r="E7" s="43">
        <f t="array" aca="1" ref="E7" ca="1">IF(C7&lt;&gt;"",IF(AND(D7&lt;-0.4,C7&lt;&gt;""),IF(MATCH(A7, 'weekly price'!A:A, 0), INDEX('weekly price'!J:J, MATCH(A7, 'weekly price'!A:A, 0)), "No Match")-(2*D7),IF(MATCH(A7, 'weekly price'!A:A, 0), INDEX('weekly price'!J:J, MATCH(A7, 'weekly price'!A:A, 0)), "No Match")-D7),"")</f>
        <v>0.95092809144606261</v>
      </c>
      <c r="F7" s="44" t="str">
        <f t="array" aca="1" ref="F7" ca="1">IF(MATCH(A7, 'weekly price'!A:A, 0), INDEX('weekly price'!K:K, MATCH(A7, 'weekly price'!A:A, 0)), "No Match")</f>
        <v/>
      </c>
      <c r="G7" s="41">
        <f ca="1">IF(C7&lt;&gt;"",(E7 + IF(LEN(TRIM(F7))=0,1,F7)) * $P$11,"")</f>
        <v>487.73202286151565</v>
      </c>
      <c r="H7" s="59">
        <f t="shared" ca="1" si="1"/>
        <v>1.1117909643372994E-2</v>
      </c>
      <c r="I7" s="41">
        <f t="shared" ca="1" si="2"/>
        <v>5412.3037311236558</v>
      </c>
      <c r="J7" s="41">
        <f t="shared" ca="1" si="8"/>
        <v>45976.530787664924</v>
      </c>
      <c r="K7" s="43">
        <f t="shared" ca="1" si="3"/>
        <v>0.10447146965906212</v>
      </c>
      <c r="L7" s="41">
        <f t="shared" ca="1" si="4"/>
        <v>39719.486836126132</v>
      </c>
      <c r="M7" s="59">
        <f t="shared" ca="1" si="5"/>
        <v>5.6987798228545685E-3</v>
      </c>
      <c r="N7" s="41">
        <v>250</v>
      </c>
      <c r="O7" s="41">
        <f t="shared" ca="1" si="6"/>
        <v>40428.250584451831</v>
      </c>
      <c r="P7" s="78" t="s">
        <v>48</v>
      </c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thickBot="1">
      <c r="A8" s="57">
        <v>44606</v>
      </c>
      <c r="B8" s="58">
        <v>6</v>
      </c>
      <c r="C8" s="41">
        <f t="array" aca="1" ref="C8" ca="1">IF(MATCH(A8, 'weekly price'!A:A, 0), INDEX('weekly price'!B:B, MATCH(A8, 'weekly price'!A:A, 0)), "No Match")</f>
        <v>42540.3</v>
      </c>
      <c r="D8" s="43">
        <f t="shared" ca="1" si="7"/>
        <v>1.7296793170241836E-2</v>
      </c>
      <c r="E8" s="43">
        <f t="array" aca="1" ref="E8" ca="1">IF(C8&lt;&gt;"",IF(AND(D8&lt;-0.4,C8&lt;&gt;""),IF(MATCH(A8, 'weekly price'!A:A, 0), INDEX('weekly price'!J:J, MATCH(A8, 'weekly price'!A:A, 0)), "No Match")-(2*D8),IF(MATCH(A8, 'weekly price'!A:A, 0), INDEX('weekly price'!J:J, MATCH(A8, 'weekly price'!A:A, 0)), "No Match")-D8),"")</f>
        <v>0.9827032068297582</v>
      </c>
      <c r="F8" s="44" t="str">
        <f t="array" aca="1" ref="F8" ca="1">IF(MATCH(A8, 'weekly price'!A:A, 0), INDEX('weekly price'!K:K, MATCH(A8, 'weekly price'!A:A, 0)), "No Match")</f>
        <v/>
      </c>
      <c r="G8" s="41">
        <f t="shared" ref="G8:G71" ca="1" si="9">IF(C8&lt;&gt;"",(E8 + IF(LEN(TRIM(F8))=0,1,F8)) * $P$11,"")</f>
        <v>495.67580170743952</v>
      </c>
      <c r="H8" s="59">
        <f t="shared" ca="1" si="1"/>
        <v>1.1651911286649119E-2</v>
      </c>
      <c r="I8" s="41">
        <f t="shared" ca="1" si="2"/>
        <v>5907.9795328310956</v>
      </c>
      <c r="J8" s="41">
        <f t="shared" ca="1" si="8"/>
        <v>45488.79876480341</v>
      </c>
      <c r="K8" s="43">
        <f t="shared" ca="1" si="3"/>
        <v>6.5059971888770871E-2</v>
      </c>
      <c r="L8" s="41">
        <f t="shared" ca="1" si="4"/>
        <v>39941.694479944912</v>
      </c>
      <c r="M8" s="59">
        <f t="shared" ca="1" si="5"/>
        <v>5.8767803706132769E-3</v>
      </c>
      <c r="N8" s="41">
        <v>250</v>
      </c>
      <c r="O8" s="41">
        <f t="shared" ca="1" si="6"/>
        <v>40765.57349027929</v>
      </c>
      <c r="P8" s="79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thickBot="1">
      <c r="A9" s="57">
        <v>44613</v>
      </c>
      <c r="B9" s="58">
        <v>7</v>
      </c>
      <c r="C9" s="41">
        <f t="array" aca="1" ref="C9" ca="1">IF(MATCH(A9, 'weekly price'!A:A, 0), INDEX('weekly price'!B:B, MATCH(A9, 'weekly price'!A:A, 0)), "No Match")</f>
        <v>37076.6</v>
      </c>
      <c r="D9" s="43">
        <f t="shared" ca="1" si="7"/>
        <v>-0.11336059497333624</v>
      </c>
      <c r="E9" s="43">
        <f t="array" aca="1" ref="E9" ca="1">IF(C9&lt;&gt;"",IF(AND(D9&lt;-0.4,C9&lt;&gt;""),IF(MATCH(A9, 'weekly price'!A:A, 0), INDEX('weekly price'!J:J, MATCH(A9, 'weekly price'!A:A, 0)), "No Match")-(2*D9),IF(MATCH(A9, 'weekly price'!A:A, 0), INDEX('weekly price'!J:J, MATCH(A9, 'weekly price'!A:A, 0)), "No Match")-D9),"")</f>
        <v>2.5630776922952161</v>
      </c>
      <c r="F9" s="44">
        <f t="array" aca="1" ref="F9" ca="1">IF(MATCH(A9, 'weekly price'!A:A, 0), INDEX('weekly price'!K:K, MATCH(A9, 'weekly price'!A:A, 0)), "No Match")</f>
        <v>2</v>
      </c>
      <c r="G9" s="41">
        <f t="shared" ca="1" si="9"/>
        <v>1140.7694230738041</v>
      </c>
      <c r="H9" s="59">
        <f t="shared" ca="1" si="1"/>
        <v>3.0767908143513809E-2</v>
      </c>
      <c r="I9" s="41">
        <f t="shared" ca="1" si="2"/>
        <v>7048.7489559049</v>
      </c>
      <c r="J9" s="41">
        <f t="shared" ca="1" si="8"/>
        <v>44993.122963095971</v>
      </c>
      <c r="K9" s="43">
        <f t="shared" ca="1" si="3"/>
        <v>-6.0122828148780859E-2</v>
      </c>
      <c r="L9" s="41">
        <f t="shared" ca="1" si="4"/>
        <v>39448.34613545562</v>
      </c>
      <c r="M9" s="59">
        <f t="shared" ca="1" si="5"/>
        <v>6.7427973438772704E-3</v>
      </c>
      <c r="N9" s="41">
        <v>250</v>
      </c>
      <c r="O9" s="41">
        <f t="shared" ca="1" si="6"/>
        <v>40194.26369521812</v>
      </c>
      <c r="P9" s="62">
        <f>(P14*7)/(365/12)</f>
        <v>47.868493150684927</v>
      </c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thickBot="1">
      <c r="A10" s="57">
        <v>44620</v>
      </c>
      <c r="B10" s="58">
        <v>8</v>
      </c>
      <c r="C10" s="41">
        <f t="array" aca="1" ref="C10" ca="1">IF(MATCH(A10, 'weekly price'!A:A, 0), INDEX('weekly price'!B:B, MATCH(A10, 'weekly price'!A:A, 0)), "No Match")</f>
        <v>43179.25</v>
      </c>
      <c r="D10" s="43">
        <f t="shared" ca="1" si="7"/>
        <v>3.2576464117464191E-2</v>
      </c>
      <c r="E10" s="43">
        <f t="array" aca="1" ref="E10" ca="1">IF(C10&lt;&gt;"",IF(AND(D10&lt;-0.4,C10&lt;&gt;""),IF(MATCH(A10, 'weekly price'!A:A, 0), INDEX('weekly price'!J:J, MATCH(A10, 'weekly price'!A:A, 0)), "No Match")-(2*D10),IF(MATCH(A10, 'weekly price'!A:A, 0), INDEX('weekly price'!J:J, MATCH(A10, 'weekly price'!A:A, 0)), "No Match")-D10),"")</f>
        <v>0.96742353588253582</v>
      </c>
      <c r="F10" s="44" t="str">
        <f t="array" aca="1" ref="F10" ca="1">IF(MATCH(A10, 'weekly price'!A:A, 0), INDEX('weekly price'!K:K, MATCH(A10, 'weekly price'!A:A, 0)), "No Match")</f>
        <v/>
      </c>
      <c r="G10" s="41">
        <f t="shared" ca="1" si="9"/>
        <v>491.85588397063395</v>
      </c>
      <c r="H10" s="59">
        <f t="shared" ca="1" si="1"/>
        <v>1.1391024252867615E-2</v>
      </c>
      <c r="I10" s="41">
        <f t="shared" ca="1" si="2"/>
        <v>7540.6048398755338</v>
      </c>
      <c r="J10" s="41">
        <f t="shared" ca="1" si="8"/>
        <v>43852.353540022166</v>
      </c>
      <c r="K10" s="43">
        <f t="shared" ca="1" si="3"/>
        <v>8.8407909054229183E-2</v>
      </c>
      <c r="L10" s="41">
        <f t="shared" ca="1" si="4"/>
        <v>39671.937001560895</v>
      </c>
      <c r="M10" s="59">
        <f t="shared" ca="1" si="5"/>
        <v>5.7898180260194422E-3</v>
      </c>
      <c r="N10" s="41">
        <v>250</v>
      </c>
      <c r="O10" s="41">
        <f t="shared" ca="1" si="6"/>
        <v>40544.620454510179</v>
      </c>
      <c r="P10" s="60" t="s">
        <v>49</v>
      </c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thickBot="1">
      <c r="A11" s="57">
        <v>44627</v>
      </c>
      <c r="B11" s="58">
        <v>9</v>
      </c>
      <c r="C11" s="41">
        <f t="array" aca="1" ref="C11" ca="1">IF(MATCH(A11, 'weekly price'!A:A, 0), INDEX('weekly price'!B:B, MATCH(A11, 'weekly price'!A:A, 0)), "No Match")</f>
        <v>38001.050000000003</v>
      </c>
      <c r="D11" s="43">
        <f t="shared" ca="1" si="7"/>
        <v>-9.1253557165745916E-2</v>
      </c>
      <c r="E11" s="43">
        <f t="array" aca="1" ref="E11" ca="1">IF(C11&lt;&gt;"",IF(AND(D11&lt;-0.4,C11&lt;&gt;""),IF(MATCH(A11, 'weekly price'!A:A, 0), INDEX('weekly price'!J:J, MATCH(A11, 'weekly price'!A:A, 0)), "No Match")-(2*D11),IF(MATCH(A11, 'weekly price'!A:A, 0), INDEX('weekly price'!J:J, MATCH(A11, 'weekly price'!A:A, 0)), "No Match")-D11),"")</f>
        <v>1.091253557165746</v>
      </c>
      <c r="F11" s="44" t="str">
        <f t="array" aca="1" ref="F11" ca="1">IF(MATCH(A11, 'weekly price'!A:A, 0), INDEX('weekly price'!K:K, MATCH(A11, 'weekly price'!A:A, 0)), "No Match")</f>
        <v/>
      </c>
      <c r="G11" s="41">
        <f t="shared" ca="1" si="9"/>
        <v>522.81338929143647</v>
      </c>
      <c r="H11" s="59">
        <f t="shared" ca="1" si="1"/>
        <v>1.3757866935030385E-2</v>
      </c>
      <c r="I11" s="41">
        <f t="shared" ca="1" si="2"/>
        <v>8063.4182291669704</v>
      </c>
      <c r="J11" s="41">
        <f t="shared" ca="1" si="8"/>
        <v>43360.497656051535</v>
      </c>
      <c r="K11" s="43">
        <f t="shared" ca="1" si="3"/>
        <v>-3.9386797591095458E-2</v>
      </c>
      <c r="L11" s="41">
        <f t="shared" ca="1" si="4"/>
        <v>39559.158571530941</v>
      </c>
      <c r="M11" s="59">
        <f t="shared" ca="1" si="5"/>
        <v>6.5787655867403658E-3</v>
      </c>
      <c r="N11" s="41">
        <v>250</v>
      </c>
      <c r="O11" s="41">
        <f t="shared" ca="1" si="6"/>
        <v>40245.310645699385</v>
      </c>
      <c r="P11" s="63">
        <v>250</v>
      </c>
      <c r="Q11" s="3"/>
      <c r="R11" s="3"/>
      <c r="S11" s="9"/>
      <c r="T11" s="3"/>
      <c r="U11" s="3"/>
      <c r="V11" s="3"/>
      <c r="W11" s="3"/>
      <c r="X11" s="3"/>
      <c r="Y11" s="3"/>
      <c r="Z11" s="3"/>
    </row>
    <row r="12" spans="1:26" ht="15.75" customHeight="1" thickBot="1">
      <c r="A12" s="57">
        <v>44634</v>
      </c>
      <c r="B12" s="58">
        <v>10</v>
      </c>
      <c r="C12" s="41">
        <f t="array" aca="1" ref="C12" ca="1">IF(MATCH(A12, 'weekly price'!A:A, 0), INDEX('weekly price'!B:B, MATCH(A12, 'weekly price'!A:A, 0)), "No Match")</f>
        <v>39649.050000000003</v>
      </c>
      <c r="D12" s="43">
        <f t="shared" ca="1" si="7"/>
        <v>-5.1843747758088747E-2</v>
      </c>
      <c r="E12" s="43">
        <f t="array" aca="1" ref="E12" ca="1">IF(C12&lt;&gt;"",IF(AND(D12&lt;-0.4,C12&lt;&gt;""),IF(MATCH(A12, 'weekly price'!A:A, 0), INDEX('weekly price'!J:J, MATCH(A12, 'weekly price'!A:A, 0)), "No Match")-(2*D12),IF(MATCH(A12, 'weekly price'!A:A, 0), INDEX('weekly price'!J:J, MATCH(A12, 'weekly price'!A:A, 0)), "No Match")-D12),"")</f>
        <v>1.0518437477580886</v>
      </c>
      <c r="F12" s="44" t="str">
        <f t="array" aca="1" ref="F12" ca="1">IF(MATCH(A12, 'weekly price'!A:A, 0), INDEX('weekly price'!K:K, MATCH(A12, 'weekly price'!A:A, 0)), "No Match")</f>
        <v/>
      </c>
      <c r="G12" s="41">
        <f t="shared" ca="1" si="9"/>
        <v>512.96093693952218</v>
      </c>
      <c r="H12" s="59">
        <f t="shared" ca="1" si="1"/>
        <v>1.2937534113415633E-2</v>
      </c>
      <c r="I12" s="41">
        <f t="shared" ca="1" si="2"/>
        <v>8576.3791661064934</v>
      </c>
      <c r="J12" s="41">
        <f t="shared" ca="1" si="8"/>
        <v>42837.684266760101</v>
      </c>
      <c r="K12" s="43">
        <f t="shared" ca="1" si="3"/>
        <v>2.1364190869727273E-3</v>
      </c>
      <c r="L12" s="41">
        <f t="shared" ca="1" si="4"/>
        <v>39564.523596621199</v>
      </c>
      <c r="M12" s="59">
        <f t="shared" ca="1" si="5"/>
        <v>6.3053213128687821E-3</v>
      </c>
      <c r="N12" s="41">
        <v>250</v>
      </c>
      <c r="O12" s="41">
        <f t="shared" ca="1" si="6"/>
        <v>40184.878777175349</v>
      </c>
      <c r="P12" s="78" t="s">
        <v>50</v>
      </c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>
      <c r="A13" s="57">
        <v>44641</v>
      </c>
      <c r="B13" s="58">
        <v>11</v>
      </c>
      <c r="C13" s="41">
        <f t="array" aca="1" ref="C13" ca="1">IF(MATCH(A13, 'weekly price'!A:A, 0), INDEX('weekly price'!B:B, MATCH(A13, 'weekly price'!A:A, 0)), "No Match")</f>
        <v>41078</v>
      </c>
      <c r="D13" s="43">
        <f t="shared" ca="1" si="7"/>
        <v>-1.7672238563263745E-2</v>
      </c>
      <c r="E13" s="43">
        <f t="array" aca="1" ref="E13" ca="1">IF(C13&lt;&gt;"",IF(AND(D13&lt;-0.4,C13&lt;&gt;""),IF(MATCH(A13, 'weekly price'!A:A, 0), INDEX('weekly price'!J:J, MATCH(A13, 'weekly price'!A:A, 0)), "No Match")-(2*D13),IF(MATCH(A13, 'weekly price'!A:A, 0), INDEX('weekly price'!J:J, MATCH(A13, 'weekly price'!A:A, 0)), "No Match")-D13),"")</f>
        <v>1.0176722385632637</v>
      </c>
      <c r="F13" s="44" t="str">
        <f t="array" aca="1" ref="F13" ca="1">IF(MATCH(A13, 'weekly price'!A:A, 0), INDEX('weekly price'!K:K, MATCH(A13, 'weekly price'!A:A, 0)), "No Match")</f>
        <v/>
      </c>
      <c r="G13" s="41">
        <f t="shared" ca="1" si="9"/>
        <v>504.4180596408159</v>
      </c>
      <c r="H13" s="59">
        <f t="shared" ca="1" si="1"/>
        <v>1.227951846829972E-2</v>
      </c>
      <c r="I13" s="41">
        <f t="shared" ca="1" si="2"/>
        <v>9080.7972257473084</v>
      </c>
      <c r="J13" s="41">
        <f t="shared" ca="1" si="8"/>
        <v>42324.723329820576</v>
      </c>
      <c r="K13" s="43">
        <f t="shared" ca="1" si="3"/>
        <v>3.6128481535854386E-2</v>
      </c>
      <c r="L13" s="41">
        <f t="shared" ca="1" si="4"/>
        <v>39645.662417377076</v>
      </c>
      <c r="M13" s="59">
        <f t="shared" ca="1" si="5"/>
        <v>6.0859827644968107E-3</v>
      </c>
      <c r="N13" s="41">
        <v>250</v>
      </c>
      <c r="O13" s="41">
        <f t="shared" ca="1" si="6"/>
        <v>40264.463617950198</v>
      </c>
      <c r="P13" s="79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>
      <c r="A14" s="57">
        <v>44648</v>
      </c>
      <c r="B14" s="58">
        <v>12</v>
      </c>
      <c r="C14" s="41">
        <f t="array" aca="1" ref="C14" ca="1">IF(MATCH(A14, 'weekly price'!A:A, 0), INDEX('weekly price'!B:B, MATCH(A14, 'weekly price'!A:A, 0)), "No Match")</f>
        <v>47223.65</v>
      </c>
      <c r="D14" s="43">
        <f t="shared" ca="1" si="7"/>
        <v>0.1292931104574695</v>
      </c>
      <c r="E14" s="43">
        <f t="array" aca="1" ref="E14" ca="1">IF(C14&lt;&gt;"",IF(AND(D14&lt;-0.4,C14&lt;&gt;""),IF(MATCH(A14, 'weekly price'!A:A, 0), INDEX('weekly price'!J:J, MATCH(A14, 'weekly price'!A:A, 0)), "No Match")-(2*D14),IF(MATCH(A14, 'weekly price'!A:A, 0), INDEX('weekly price'!J:J, MATCH(A14, 'weekly price'!A:A, 0)), "No Match")-D14),"")</f>
        <v>0.8707068895425305</v>
      </c>
      <c r="F14" s="44" t="str">
        <f t="array" aca="1" ref="F14" ca="1">IF(MATCH(A14, 'weekly price'!A:A, 0), INDEX('weekly price'!K:K, MATCH(A14, 'weekly price'!A:A, 0)), "No Match")</f>
        <v/>
      </c>
      <c r="G14" s="41">
        <f t="shared" ca="1" si="9"/>
        <v>467.67672238563262</v>
      </c>
      <c r="H14" s="59">
        <f t="shared" ca="1" si="1"/>
        <v>9.9034429228920806E-3</v>
      </c>
      <c r="I14" s="41">
        <f t="shared" ca="1" si="2"/>
        <v>9548.4739481329416</v>
      </c>
      <c r="J14" s="41">
        <f t="shared" ca="1" si="8"/>
        <v>41820.305270179757</v>
      </c>
      <c r="K14" s="43">
        <f t="shared" ca="1" si="3"/>
        <v>0.18178088821619778</v>
      </c>
      <c r="L14" s="41">
        <f t="shared" ca="1" si="4"/>
        <v>39959.734051276006</v>
      </c>
      <c r="M14" s="59">
        <f t="shared" ca="1" si="5"/>
        <v>5.2939575826942645E-3</v>
      </c>
      <c r="N14" s="41">
        <v>250</v>
      </c>
      <c r="O14" s="41">
        <f t="shared" ca="1" si="6"/>
        <v>40765.081064589482</v>
      </c>
      <c r="P14" s="64">
        <v>208</v>
      </c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>
      <c r="A15" s="57">
        <v>44655</v>
      </c>
      <c r="B15" s="58">
        <v>13</v>
      </c>
      <c r="C15" s="41">
        <f t="array" aca="1" ref="C15" ca="1">IF(MATCH(A15, 'weekly price'!A:A, 0), INDEX('weekly price'!B:B, MATCH(A15, 'weekly price'!A:A, 0)), "No Match")</f>
        <v>46663</v>
      </c>
      <c r="D15" s="43">
        <f t="shared" ca="1" si="7"/>
        <v>0.11588588373149676</v>
      </c>
      <c r="E15" s="43">
        <f t="array" aca="1" ref="E15" ca="1">IF(C15&lt;&gt;"",IF(AND(D15&lt;-0.4,C15&lt;&gt;""),IF(MATCH(A15, 'weekly price'!A:A, 0), INDEX('weekly price'!J:J, MATCH(A15, 'weekly price'!A:A, 0)), "No Match")-(2*D15),IF(MATCH(A15, 'weekly price'!A:A, 0), INDEX('weekly price'!J:J, MATCH(A15, 'weekly price'!A:A, 0)), "No Match")-D15),"")</f>
        <v>0.88411411626850323</v>
      </c>
      <c r="F15" s="44" t="str">
        <f t="array" aca="1" ref="F15" ca="1">IF(MATCH(A15, 'weekly price'!A:A, 0), INDEX('weekly price'!K:K, MATCH(A15, 'weekly price'!A:A, 0)), "No Match")</f>
        <v/>
      </c>
      <c r="G15" s="41">
        <f t="shared" ca="1" si="9"/>
        <v>471.02852906712576</v>
      </c>
      <c r="H15" s="59">
        <f t="shared" ca="1" si="1"/>
        <v>1.0094261600564168E-2</v>
      </c>
      <c r="I15" s="41">
        <f t="shared" ca="1" si="2"/>
        <v>10019.502477200067</v>
      </c>
      <c r="J15" s="41">
        <f t="shared" ca="1" si="8"/>
        <v>41352.628547794127</v>
      </c>
      <c r="K15" s="43">
        <f t="shared" ca="1" si="3"/>
        <v>0.15986436668816831</v>
      </c>
      <c r="L15" s="41">
        <f t="shared" ca="1" si="4"/>
        <v>40231.428208489342</v>
      </c>
      <c r="M15" s="59">
        <f t="shared" ca="1" si="5"/>
        <v>5.3575638085849604E-3</v>
      </c>
      <c r="N15" s="41">
        <v>250</v>
      </c>
      <c r="O15" s="41">
        <f t="shared" ca="1" si="6"/>
        <v>41165.315301563991</v>
      </c>
      <c r="P15" s="60" t="s">
        <v>51</v>
      </c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>
      <c r="A16" s="57">
        <v>44662</v>
      </c>
      <c r="B16" s="58">
        <v>14</v>
      </c>
      <c r="C16" s="41">
        <f t="array" aca="1" ref="C16" ca="1">IF(MATCH(A16, 'weekly price'!A:A, 0), INDEX('weekly price'!B:B, MATCH(A16, 'weekly price'!A:A, 0)), "No Match")</f>
        <v>39544.03</v>
      </c>
      <c r="D16" s="43">
        <f t="shared" ca="1" si="7"/>
        <v>-5.4355166559054958E-2</v>
      </c>
      <c r="E16" s="43">
        <f t="array" aca="1" ref="E16" ca="1">IF(C16&lt;&gt;"",IF(AND(D16&lt;-0.4,C16&lt;&gt;""),IF(MATCH(A16, 'weekly price'!A:A, 0), INDEX('weekly price'!J:J, MATCH(A16, 'weekly price'!A:A, 0)), "No Match")-(2*D16),IF(MATCH(A16, 'weekly price'!A:A, 0), INDEX('weekly price'!J:J, MATCH(A16, 'weekly price'!A:A, 0)), "No Match")-D16),"")</f>
        <v>1.0543551665590549</v>
      </c>
      <c r="F16" s="44" t="str">
        <f t="array" aca="1" ref="F16" ca="1">IF(MATCH(A16, 'weekly price'!A:A, 0), INDEX('weekly price'!K:K, MATCH(A16, 'weekly price'!A:A, 0)), "No Match")</f>
        <v/>
      </c>
      <c r="G16" s="41">
        <f t="shared" ca="1" si="9"/>
        <v>513.58879163976371</v>
      </c>
      <c r="H16" s="59">
        <f t="shared" ca="1" si="1"/>
        <v>1.2987770635409788E-2</v>
      </c>
      <c r="I16" s="41">
        <f t="shared" ca="1" si="2"/>
        <v>10533.091268839831</v>
      </c>
      <c r="J16" s="41">
        <f t="shared" ca="1" si="8"/>
        <v>40881.600018727004</v>
      </c>
      <c r="K16" s="43">
        <f t="shared" ca="1" si="3"/>
        <v>-1.6252989521069128E-2</v>
      </c>
      <c r="L16" s="41">
        <f t="shared" ca="1" si="4"/>
        <v>40197.35722576503</v>
      </c>
      <c r="M16" s="59">
        <f t="shared" ca="1" si="5"/>
        <v>6.3220668202001668E-3</v>
      </c>
      <c r="N16" s="41">
        <v>250</v>
      </c>
      <c r="O16" s="41">
        <f t="shared" ca="1" si="6"/>
        <v>41045.113233160824</v>
      </c>
      <c r="P16" s="65">
        <f ca="1">ABS('weekly price'!X2)*2</f>
        <v>0.21015323033276967</v>
      </c>
      <c r="Q16" s="3"/>
      <c r="R16" s="3"/>
      <c r="S16" s="3">
        <v>0.9827032068297582</v>
      </c>
      <c r="T16" s="3"/>
      <c r="U16" s="3"/>
      <c r="V16" s="3"/>
      <c r="W16" s="3"/>
      <c r="X16" s="3"/>
      <c r="Y16" s="3"/>
      <c r="Z16" s="3"/>
    </row>
    <row r="17" spans="1:26" ht="15.75" customHeight="1" thickBot="1">
      <c r="A17" s="57">
        <v>44669</v>
      </c>
      <c r="B17" s="58">
        <v>15</v>
      </c>
      <c r="C17" s="41">
        <f t="array" aca="1" ref="C17" ca="1">IF(MATCH(A17, 'weekly price'!A:A, 0), INDEX('weekly price'!B:B, MATCH(A17, 'weekly price'!A:A, 0)), "No Match")</f>
        <v>40818.879999999997</v>
      </c>
      <c r="D17" s="43">
        <f t="shared" ca="1" si="7"/>
        <v>-2.3868761508477478E-2</v>
      </c>
      <c r="E17" s="43">
        <f t="array" aca="1" ref="E17" ca="1">IF(C17&lt;&gt;"",IF(AND(D17&lt;-0.4,C17&lt;&gt;""),IF(MATCH(A17, 'weekly price'!A:A, 0), INDEX('weekly price'!J:J, MATCH(A17, 'weekly price'!A:A, 0)), "No Match")-(2*D17),IF(MATCH(A17, 'weekly price'!A:A, 0), INDEX('weekly price'!J:J, MATCH(A17, 'weekly price'!A:A, 0)), "No Match")-D17),"")</f>
        <v>1.0238687615084774</v>
      </c>
      <c r="F17" s="44" t="str">
        <f t="array" aca="1" ref="F17" ca="1">IF(MATCH(A17, 'weekly price'!A:A, 0), INDEX('weekly price'!K:K, MATCH(A17, 'weekly price'!A:A, 0)), "No Match")</f>
        <v/>
      </c>
      <c r="G17" s="41">
        <f t="shared" ca="1" si="9"/>
        <v>505.96719037711932</v>
      </c>
      <c r="H17" s="59">
        <f t="shared" ca="1" si="1"/>
        <v>1.2395420706720011E-2</v>
      </c>
      <c r="I17" s="41">
        <f t="shared" ca="1" si="2"/>
        <v>11039.058459216951</v>
      </c>
      <c r="J17" s="41">
        <f t="shared" ca="1" si="8"/>
        <v>40368.011227087241</v>
      </c>
      <c r="K17" s="43">
        <f t="shared" ca="1" si="3"/>
        <v>1.4753102499012878E-2</v>
      </c>
      <c r="L17" s="41">
        <f t="shared" ca="1" si="4"/>
        <v>40225.430106570879</v>
      </c>
      <c r="M17" s="59">
        <f t="shared" ca="1" si="5"/>
        <v>6.124616843970242E-3</v>
      </c>
      <c r="N17" s="41">
        <v>250</v>
      </c>
      <c r="O17" s="41">
        <f t="shared" ca="1" si="6"/>
        <v>41029.953027997653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>
      <c r="A18" s="57">
        <v>44676</v>
      </c>
      <c r="B18" s="58">
        <v>16</v>
      </c>
      <c r="C18" s="41">
        <f t="array" aca="1" ref="C18" ca="1">IF(MATCH(A18, 'weekly price'!A:A, 0), INDEX('weekly price'!B:B, MATCH(A18, 'weekly price'!A:A, 0)), "No Match")</f>
        <v>40473.75</v>
      </c>
      <c r="D18" s="43">
        <f ca="1">IF(C18&lt;&gt;"",(C18-$C$3)/$C$3,"")</f>
        <v>-3.2122103450749694E-2</v>
      </c>
      <c r="E18" s="43">
        <f t="array" aca="1" ref="E18" ca="1">IF(C18&lt;&gt;"",IF(AND(D18&lt;-0.4,C18&lt;&gt;""),IF(MATCH(A18, 'weekly price'!A:A, 0), INDEX('weekly price'!J:J, MATCH(A18, 'weekly price'!A:A, 0)), "No Match")-(2*D18),IF(MATCH(A18, 'weekly price'!A:A, 0), INDEX('weekly price'!J:J, MATCH(A18, 'weekly price'!A:A, 0)), "No Match")-D18),"")</f>
        <v>1.0321221034507497</v>
      </c>
      <c r="F18" s="44" t="str">
        <f t="array" aca="1" ref="F18" ca="1">IF(MATCH(A18, 'weekly price'!A:A, 0), INDEX('weekly price'!K:K, MATCH(A18, 'weekly price'!A:A, 0)), "No Match")</f>
        <v/>
      </c>
      <c r="G18" s="41">
        <f t="shared" ca="1" si="9"/>
        <v>508.0305258626874</v>
      </c>
      <c r="H18" s="59">
        <f t="shared" ca="1" si="1"/>
        <v>1.2552099221413569E-2</v>
      </c>
      <c r="I18" s="41">
        <f ca="1">IF(C18&lt;&gt;"",SUM($G$3:G18),"")</f>
        <v>11547.088985079637</v>
      </c>
      <c r="J18" s="41">
        <f ca="1">IF(C18&lt;&gt;"",J17-G17,"")</f>
        <v>39862.044036710126</v>
      </c>
      <c r="K18" s="43">
        <f t="shared" ca="1" si="3"/>
        <v>5.9016077036137815E-3</v>
      </c>
      <c r="L18" s="41">
        <f ca="1">IF(C18&lt;&gt;"",I18 / SUM($H$3:H18),"")</f>
        <v>40236.291193925084</v>
      </c>
      <c r="M18" s="59">
        <f t="shared" ca="1" si="5"/>
        <v>6.1768430155347605E-3</v>
      </c>
      <c r="N18" s="41">
        <v>250</v>
      </c>
      <c r="O18" s="41">
        <f ca="1">IF(C18&lt;&gt;"",SUM($N$3:N18) / SUM($M$3:M18),"")</f>
        <v>40994.742860742444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>
      <c r="A19" s="57">
        <v>44683</v>
      </c>
      <c r="B19" s="58">
        <v>17</v>
      </c>
      <c r="C19" s="41">
        <f t="array" aca="1" ref="C19" ca="1">IF(MATCH(A19, 'weekly price'!A:A, 0), INDEX('weekly price'!B:B, MATCH(A19, 'weekly price'!A:A, 0)), "No Match")</f>
        <v>38566.06</v>
      </c>
      <c r="D19" s="43">
        <f ca="1">IF(C19&lt;&gt;"",(C19-$C$3)/$C$3,"")</f>
        <v>-7.7742066623622028E-2</v>
      </c>
      <c r="E19" s="43">
        <f t="array" aca="1" ref="E19" ca="1">IF(C19&lt;&gt;"",IF(AND(D19&lt;-0.4,C19&lt;&gt;""),IF(MATCH(A19, 'weekly price'!A:A, 0), INDEX('weekly price'!J:J, MATCH(A19, 'weekly price'!A:A, 0)), "No Match")-(2*D19),IF(MATCH(A19, 'weekly price'!A:A, 0), INDEX('weekly price'!J:J, MATCH(A19, 'weekly price'!A:A, 0)), "No Match")-D19),"")</f>
        <v>1.0777420666236219</v>
      </c>
      <c r="F19" s="44" t="str">
        <f t="array" aca="1" ref="F19" ca="1">IF(MATCH(A19, 'weekly price'!A:A, 0), INDEX('weekly price'!K:K, MATCH(A19, 'weekly price'!A:A, 0)), "No Match")</f>
        <v/>
      </c>
      <c r="G19" s="41">
        <f t="shared" ca="1" si="9"/>
        <v>519.43551665590553</v>
      </c>
      <c r="H19" s="59">
        <f t="shared" ca="1" si="1"/>
        <v>1.3468721374594801E-2</v>
      </c>
      <c r="I19" s="41">
        <f ca="1">IF(C19&lt;&gt;"",SUM($G$3:G19),"")</f>
        <v>12066.524501735543</v>
      </c>
      <c r="J19" s="41">
        <f t="shared" ca="1" si="8"/>
        <v>39354.013510847435</v>
      </c>
      <c r="K19" s="43">
        <f t="shared" ca="1" si="3"/>
        <v>-3.9723633058258379E-2</v>
      </c>
      <c r="L19" s="41">
        <f ca="1">IF(C19&lt;&gt;"",I19 / SUM($H$3:H19),"")</f>
        <v>40161.417408223831</v>
      </c>
      <c r="M19" s="59">
        <f t="shared" ca="1" si="5"/>
        <v>6.4823837332618371E-3</v>
      </c>
      <c r="N19" s="41">
        <v>250</v>
      </c>
      <c r="O19" s="41">
        <f ca="1">IF(C19&lt;&gt;"",SUM($N$3:N19) / SUM($M$3:M19),"")</f>
        <v>40843.442850525018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>
      <c r="A20" s="57">
        <v>44690</v>
      </c>
      <c r="B20" s="58">
        <v>18</v>
      </c>
      <c r="C20" s="41">
        <f t="array" aca="1" ref="C20" ca="1">IF(MATCH(A20, 'weekly price'!A:A, 0), INDEX('weekly price'!B:B, MATCH(A20, 'weekly price'!A:A, 0)), "No Match")</f>
        <v>30076.31</v>
      </c>
      <c r="D20" s="43">
        <f ca="1">IF(C20&lt;&gt;"",(C20-$C$3)/$C$3,"")</f>
        <v>-0.28076356505727335</v>
      </c>
      <c r="E20" s="43">
        <f t="array" aca="1" ref="E20" ca="1">IF(C20&lt;&gt;"",IF(AND(D20&lt;-0.4,C20&lt;&gt;""),IF(MATCH(A20, 'weekly price'!A:A, 0), INDEX('weekly price'!J:J, MATCH(A20, 'weekly price'!A:A, 0)), "No Match")-(2*D20),IF(MATCH(A20, 'weekly price'!A:A, 0), INDEX('weekly price'!J:J, MATCH(A20, 'weekly price'!A:A, 0)), "No Match")-D20),"")</f>
        <v>2.9430435360301832</v>
      </c>
      <c r="F20" s="44">
        <f t="array" aca="1" ref="F20" ca="1">IF(MATCH(A20, 'weekly price'!A:A, 0), INDEX('weekly price'!K:K, MATCH(A20, 'weekly price'!A:A, 0)), "No Match")</f>
        <v>2</v>
      </c>
      <c r="G20" s="41">
        <f t="shared" ca="1" si="9"/>
        <v>1235.7608840075459</v>
      </c>
      <c r="H20" s="59">
        <f t="shared" ca="1" si="1"/>
        <v>4.1087516520728298E-2</v>
      </c>
      <c r="I20" s="41">
        <f ca="1">IF(C20&lt;&gt;"",SUM($G$3:G20),"")</f>
        <v>13302.285385743089</v>
      </c>
      <c r="J20" s="41">
        <f t="shared" ca="1" si="8"/>
        <v>38834.577994191532</v>
      </c>
      <c r="K20" s="43">
        <f t="shared" ca="1" si="3"/>
        <v>-0.22778621289349213</v>
      </c>
      <c r="L20" s="41">
        <f ca="1">IF(C20&lt;&gt;"",I20 / SUM($H$3:H20),"")</f>
        <v>38948.165005828516</v>
      </c>
      <c r="M20" s="59">
        <f t="shared" ca="1" si="5"/>
        <v>8.3121898929755678E-3</v>
      </c>
      <c r="N20" s="41">
        <v>250</v>
      </c>
      <c r="O20" s="41">
        <f ca="1">IF(C20&lt;&gt;"",SUM($N$3:N20) / SUM($M$3:M20),"")</f>
        <v>40046.966943189633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>
      <c r="A21" s="57">
        <v>44697</v>
      </c>
      <c r="B21" s="58">
        <v>19</v>
      </c>
      <c r="C21" s="41">
        <f t="array" aca="1" ref="C21" ca="1">IF(MATCH(A21, 'weekly price'!A:A, 0), INDEX('weekly price'!B:B, MATCH(A21, 'weekly price'!A:A, 0)), "No Match")</f>
        <v>29889.61</v>
      </c>
      <c r="D21" s="43">
        <f ca="1">IF(C21&lt;&gt;"",(C21-$C$3)/$C$3,"")</f>
        <v>-0.28522825645072575</v>
      </c>
      <c r="E21" s="43">
        <f t="array" aca="1" ref="E21" ca="1">IF(C21&lt;&gt;"",IF(AND(D21&lt;-0.4,C21&lt;&gt;""),IF(MATCH(A21, 'weekly price'!A:A, 0), INDEX('weekly price'!J:J, MATCH(A21, 'weekly price'!A:A, 0)), "No Match")-(2*D21),IF(MATCH(A21, 'weekly price'!A:A, 0), INDEX('weekly price'!J:J, MATCH(A21, 'weekly price'!A:A, 0)), "No Match")-D21),"")</f>
        <v>2.511313330414414</v>
      </c>
      <c r="F21" s="44">
        <f t="array" aca="1" ref="F21" ca="1">IF(MATCH(A21, 'weekly price'!A:A, 0), INDEX('weekly price'!K:K, MATCH(A21, 'weekly price'!A:A, 0)), "No Match")</f>
        <v>2</v>
      </c>
      <c r="G21" s="41">
        <f t="shared" ca="1" si="9"/>
        <v>1127.8283326036035</v>
      </c>
      <c r="H21" s="59">
        <f t="shared" ca="1" si="1"/>
        <v>3.7733123068638345E-2</v>
      </c>
      <c r="I21" s="41">
        <f ca="1">IF(C21&lt;&gt;"",SUM($G$3:G21),"")</f>
        <v>14430.113718346693</v>
      </c>
      <c r="J21" s="41">
        <f t="shared" ca="1" si="8"/>
        <v>37598.817110183983</v>
      </c>
      <c r="K21" s="43">
        <f t="shared" ca="1" si="3"/>
        <v>-0.2144018023293075</v>
      </c>
      <c r="L21" s="41">
        <f ca="1">IF(C21&lt;&gt;"",I21 / SUM($H$3:H21),"")</f>
        <v>38046.943193891013</v>
      </c>
      <c r="M21" s="59">
        <f t="shared" ca="1" si="5"/>
        <v>8.3641104718328533E-3</v>
      </c>
      <c r="N21" s="41">
        <v>250</v>
      </c>
      <c r="O21" s="41">
        <f ca="1">IF(C21&lt;&gt;"",SUM($N$3:N21) / SUM($M$3:M21),"")</f>
        <v>39343.283285663936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57">
        <v>44704</v>
      </c>
      <c r="B22" s="58">
        <v>20</v>
      </c>
      <c r="C22" s="41">
        <f t="array" aca="1" ref="C22" ca="1">IF(MATCH(A22, 'weekly price'!A:A, 0), INDEX('weekly price'!B:B, MATCH(A22, 'weekly price'!A:A, 0)), "No Match")</f>
        <v>29088.25</v>
      </c>
      <c r="D22" s="43">
        <f ca="1">IF(C22&lt;&gt;"",(C22-$C$3)/$C$3,"")</f>
        <v>-0.30439175454958511</v>
      </c>
      <c r="E22" s="43">
        <f t="array" aca="1" ref="E22" ca="1">IF(C22&lt;&gt;"",IF(AND(D22&lt;-0.4,C22&lt;&gt;""),IF(MATCH(A22, 'weekly price'!A:A, 0), INDEX('weekly price'!J:J, MATCH(A22, 'weekly price'!A:A, 0)), "No Match")-(2*D22),IF(MATCH(A22, 'weekly price'!A:A, 0), INDEX('weekly price'!J:J, MATCH(A22, 'weekly price'!A:A, 0)), "No Match")-D22),"")</f>
        <v>2.571665050479619</v>
      </c>
      <c r="F22" s="44">
        <f t="array" aca="1" ref="F22" ca="1">IF(MATCH(A22, 'weekly price'!A:A, 0), INDEX('weekly price'!K:K, MATCH(A22, 'weekly price'!A:A, 0)), "No Match")</f>
        <v>2</v>
      </c>
      <c r="G22" s="41">
        <f t="shared" ca="1" si="9"/>
        <v>1142.9162626199047</v>
      </c>
      <c r="H22" s="59">
        <f t="shared" ca="1" si="1"/>
        <v>3.9291338001423419E-2</v>
      </c>
      <c r="I22" s="41">
        <f ca="1">IF(C22&lt;&gt;"",SUM($G$3:G22),"")</f>
        <v>15573.029980966598</v>
      </c>
      <c r="J22" s="41">
        <f t="shared" ca="1" si="8"/>
        <v>36470.98877758038</v>
      </c>
      <c r="K22" s="43">
        <f t="shared" ca="1" si="3"/>
        <v>-0.2181833107952536</v>
      </c>
      <c r="L22" s="41">
        <f ca="1">IF(C22&lt;&gt;"",I22 / SUM($H$3:H22),"")</f>
        <v>37205.972194822527</v>
      </c>
      <c r="M22" s="59">
        <f t="shared" ca="1" si="5"/>
        <v>8.5945355942691638E-3</v>
      </c>
      <c r="N22" s="41">
        <v>250</v>
      </c>
      <c r="O22" s="41">
        <f ca="1">IF(C22&lt;&gt;"",SUM($N$3:N22) / SUM($M$3:M22),"")</f>
        <v>38661.774794435041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>
      <c r="A23" s="57">
        <v>44711</v>
      </c>
      <c r="B23" s="58">
        <v>21</v>
      </c>
      <c r="C23" s="41">
        <f t="array" aca="1" ref="C23" ca="1">IF(MATCH(A23, 'weekly price'!A:A, 0), INDEX('weekly price'!B:B, MATCH(A23, 'weekly price'!A:A, 0)), "No Match")</f>
        <v>31735.95</v>
      </c>
      <c r="D23" s="43">
        <f ca="1">IF(C23&lt;&gt;"",(C23-$C$3)/$C$3,"")</f>
        <v>-0.24107539995695529</v>
      </c>
      <c r="E23" s="43">
        <f t="array" aca="1" ref="E23" ca="1">IF(C23&lt;&gt;"",IF(AND(D23&lt;-0.4,C23&lt;&gt;""),IF(MATCH(A23, 'weekly price'!A:A, 0), INDEX('weekly price'!J:J, MATCH(A23, 'weekly price'!A:A, 0)), "No Match")-(2*D23),IF(MATCH(A23, 'weekly price'!A:A, 0), INDEX('weekly price'!J:J, MATCH(A23, 'weekly price'!A:A, 0)), "No Match")-D23),"")</f>
        <v>1.2410753999569553</v>
      </c>
      <c r="F23" s="44" t="str">
        <f t="array" aca="1" ref="F23" ca="1">IF(MATCH(A23, 'weekly price'!A:A, 0), INDEX('weekly price'!K:K, MATCH(A23, 'weekly price'!A:A, 0)), "No Match")</f>
        <v/>
      </c>
      <c r="G23" s="41">
        <f t="shared" ca="1" si="9"/>
        <v>560.26884998923879</v>
      </c>
      <c r="H23" s="59">
        <f t="shared" ca="1" si="1"/>
        <v>1.7654075267614134E-2</v>
      </c>
      <c r="I23" s="41">
        <f ca="1">IF(C23&lt;&gt;"",SUM($G$3:G23),"")</f>
        <v>16133.298830955837</v>
      </c>
      <c r="J23" s="41">
        <f t="shared" ca="1" si="8"/>
        <v>35328.072514960477</v>
      </c>
      <c r="K23" s="43">
        <f t="shared" ca="1" si="3"/>
        <v>-0.14191436977076247</v>
      </c>
      <c r="L23" s="41">
        <f ca="1">IF(C23&lt;&gt;"",I23 / SUM($H$3:H23),"")</f>
        <v>36984.595571798287</v>
      </c>
      <c r="M23" s="59">
        <f t="shared" ca="1" si="5"/>
        <v>7.8775016976016157E-3</v>
      </c>
      <c r="N23" s="41">
        <v>250</v>
      </c>
      <c r="O23" s="41">
        <f ca="1">IF(C23&lt;&gt;"",SUM($N$3:N23) / SUM($M$3:M23),"")</f>
        <v>38264.132496806473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>
      <c r="A24" s="57">
        <v>44718</v>
      </c>
      <c r="B24" s="58">
        <v>22</v>
      </c>
      <c r="C24" s="41">
        <f t="array" aca="1" ref="C24" ca="1">IF(MATCH(A24, 'weekly price'!A:A, 0), INDEX('weekly price'!B:B, MATCH(A24, 'weekly price'!A:A, 0)), "No Match")</f>
        <v>31333.68</v>
      </c>
      <c r="D24" s="43">
        <f ca="1">IF(C24&lt;&gt;"",(C24-$C$3)/$C$3,"")</f>
        <v>-0.25069517182007317</v>
      </c>
      <c r="E24" s="43">
        <f t="array" aca="1" ref="E24" ca="1">IF(C24&lt;&gt;"",IF(AND(D24&lt;-0.4,C24&lt;&gt;""),IF(MATCH(A24, 'weekly price'!A:A, 0), INDEX('weekly price'!J:J, MATCH(A24, 'weekly price'!A:A, 0)), "No Match")-(2*D24),IF(MATCH(A24, 'weekly price'!A:A, 0), INDEX('weekly price'!J:J, MATCH(A24, 'weekly price'!A:A, 0)), "No Match")-D24),"")</f>
        <v>1.2506951718200732</v>
      </c>
      <c r="F24" s="44" t="str">
        <f t="array" aca="1" ref="F24" ca="1">IF(MATCH(A24, 'weekly price'!A:A, 0), INDEX('weekly price'!K:K, MATCH(A24, 'weekly price'!A:A, 0)), "No Match")</f>
        <v/>
      </c>
      <c r="G24" s="41">
        <f t="shared" ca="1" si="9"/>
        <v>562.67379295501826</v>
      </c>
      <c r="H24" s="59">
        <f t="shared" ca="1" si="1"/>
        <v>1.7957475564792207E-2</v>
      </c>
      <c r="I24" s="41">
        <f ca="1">IF(C24&lt;&gt;"",SUM($G$3:G24),"")</f>
        <v>16695.972623910857</v>
      </c>
      <c r="J24" s="41">
        <f t="shared" ca="1" si="8"/>
        <v>34767.803664971238</v>
      </c>
      <c r="K24" s="43">
        <f t="shared" ca="1" si="3"/>
        <v>-0.14764182296399925</v>
      </c>
      <c r="L24" s="41">
        <f ca="1">IF(C24&lt;&gt;"",I24 / SUM($H$3:H24),"")</f>
        <v>36761.165486744161</v>
      </c>
      <c r="M24" s="59">
        <f t="shared" ca="1" si="5"/>
        <v>7.9786351299943065E-3</v>
      </c>
      <c r="N24" s="41">
        <v>250</v>
      </c>
      <c r="O24" s="41">
        <f ca="1">IF(C24&lt;&gt;"",SUM($N$3:N24) / SUM($M$3:M24),"")</f>
        <v>37883.264134496909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>
      <c r="A25" s="57">
        <v>44725</v>
      </c>
      <c r="B25" s="58">
        <v>23</v>
      </c>
      <c r="C25" s="41">
        <f t="array" aca="1" ref="C25" ca="1">IF(MATCH(A25, 'weekly price'!A:A, 0), INDEX('weekly price'!B:B, MATCH(A25, 'weekly price'!A:A, 0)), "No Match")</f>
        <v>22316.26</v>
      </c>
      <c r="D25" s="43">
        <f ca="1">IF(C25&lt;&gt;"",(C25-$C$3)/$C$3,"")</f>
        <v>-0.46633522251715814</v>
      </c>
      <c r="E25" s="43">
        <f t="array" aca="1" ref="E25" ca="1">IF(C25&lt;&gt;"",IF(AND(D25&lt;-0.4,C25&lt;&gt;""),IF(MATCH(A25, 'weekly price'!A:A, 0), INDEX('weekly price'!J:J, MATCH(A25, 'weekly price'!A:A, 0)), "No Match")-(2*D25),IF(MATCH(A25, 'weekly price'!A:A, 0), INDEX('weekly price'!J:J, MATCH(A25, 'weekly price'!A:A, 0)), "No Match")-D25),"")</f>
        <v>4.0188141589039876</v>
      </c>
      <c r="F25" s="44">
        <f t="array" aca="1" ref="F25" ca="1">IF(MATCH(A25, 'weekly price'!A:A, 0), INDEX('weekly price'!K:K, MATCH(A25, 'weekly price'!A:A, 0)), "No Match")</f>
        <v>3</v>
      </c>
      <c r="G25" s="41">
        <f t="shared" ca="1" si="9"/>
        <v>1754.703539725997</v>
      </c>
      <c r="H25" s="59">
        <f t="shared" ca="1" si="1"/>
        <v>7.8628925264627544E-2</v>
      </c>
      <c r="I25" s="41">
        <f ca="1">IF(C25&lt;&gt;"",SUM($G$3:G25),"")</f>
        <v>18450.676163636854</v>
      </c>
      <c r="J25" s="41">
        <f t="shared" ca="1" si="8"/>
        <v>34205.129872016216</v>
      </c>
      <c r="K25" s="43">
        <f t="shared" ca="1" si="3"/>
        <v>-0.3555698022460988</v>
      </c>
      <c r="L25" s="41">
        <f ca="1">IF(C25&lt;&gt;"",I25 / SUM($H$3:H25),"")</f>
        <v>34629.44486118303</v>
      </c>
      <c r="M25" s="59">
        <f t="shared" ca="1" si="5"/>
        <v>1.1202593983041962E-2</v>
      </c>
      <c r="N25" s="41">
        <v>250</v>
      </c>
      <c r="O25" s="41">
        <f ca="1">IF(C25&lt;&gt;"",SUM($N$3:N25) / SUM($M$3:M25),"")</f>
        <v>36768.129439754775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>
      <c r="A26" s="57">
        <v>44732</v>
      </c>
      <c r="B26" s="58">
        <v>24</v>
      </c>
      <c r="C26" s="41">
        <f t="array" aca="1" ref="C26" ca="1">IF(MATCH(A26, 'weekly price'!A:A, 0), INDEX('weekly price'!B:B, MATCH(A26, 'weekly price'!A:A, 0)), "No Match")</f>
        <v>20571.63</v>
      </c>
      <c r="D26" s="43">
        <f ca="1">IF(C26&lt;&gt;"",(C26-$C$3)/$C$3,"")</f>
        <v>-0.50805581462084792</v>
      </c>
      <c r="E26" s="43">
        <f t="array" aca="1" ref="E26" ca="1">IF(C26&lt;&gt;"",IF(AND(D26&lt;-0.4,C26&lt;&gt;""),IF(MATCH(A26, 'weekly price'!A:A, 0), INDEX('weekly price'!J:J, MATCH(A26, 'weekly price'!A:A, 0)), "No Match")-(2*D26),IF(MATCH(A26, 'weekly price'!A:A, 0), INDEX('weekly price'!J:J, MATCH(A26, 'weekly price'!A:A, 0)), "No Match")-D26),"")</f>
        <v>3.4720666616057567</v>
      </c>
      <c r="F26" s="44">
        <f t="array" aca="1" ref="F26" ca="1">IF(MATCH(A26, 'weekly price'!A:A, 0), INDEX('weekly price'!K:K, MATCH(A26, 'weekly price'!A:A, 0)), "No Match")</f>
        <v>3</v>
      </c>
      <c r="G26" s="41">
        <f t="shared" ca="1" si="9"/>
        <v>1618.0166654014392</v>
      </c>
      <c r="H26" s="59">
        <f t="shared" ca="1" si="1"/>
        <v>7.8652817759284954E-2</v>
      </c>
      <c r="I26" s="41">
        <f ca="1">IF(C26&lt;&gt;"",SUM($G$3:G26),"")</f>
        <v>20068.692829038293</v>
      </c>
      <c r="J26" s="41">
        <f t="shared" ca="1" si="8"/>
        <v>32450.426332290219</v>
      </c>
      <c r="K26" s="43">
        <f t="shared" ca="1" si="3"/>
        <v>-0.37322050024437808</v>
      </c>
      <c r="L26" s="41">
        <f ca="1">IF(C26&lt;&gt;"",I26 / SUM($H$3:H26),"")</f>
        <v>32821.159607199617</v>
      </c>
      <c r="M26" s="59">
        <f t="shared" ca="1" si="5"/>
        <v>1.2152658782993861E-2</v>
      </c>
      <c r="N26" s="41">
        <v>250</v>
      </c>
      <c r="O26" s="41">
        <f ca="1">IF(C26&lt;&gt;"",SUM($N$3:N26) / SUM($M$3:M26),"")</f>
        <v>35600.25976648194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>
      <c r="A27" s="57">
        <v>44739</v>
      </c>
      <c r="B27" s="58">
        <v>25</v>
      </c>
      <c r="C27" s="41">
        <f t="array" aca="1" ref="C27" ca="1">IF(MATCH(A27, 'weekly price'!A:A, 0), INDEX('weekly price'!B:B, MATCH(A27, 'weekly price'!A:A, 0)), "No Match")</f>
        <v>20751.05</v>
      </c>
      <c r="D27" s="43">
        <f ca="1">IF(C27&lt;&gt;"",(C27-$C$3)/$C$3,"")</f>
        <v>-0.50376521510390515</v>
      </c>
      <c r="E27" s="43">
        <f t="array" aca="1" ref="E27" ca="1">IF(C27&lt;&gt;"",IF(AND(D27&lt;-0.4,C27&lt;&gt;""),IF(MATCH(A27, 'weekly price'!A:A, 0), INDEX('weekly price'!J:J, MATCH(A27, 'weekly price'!A:A, 0)), "No Match")-(2*D27),IF(MATCH(A27, 'weekly price'!A:A, 0), INDEX('weekly price'!J:J, MATCH(A27, 'weekly price'!A:A, 0)), "No Match")-D27),"")</f>
        <v>3.2539903080974542</v>
      </c>
      <c r="F27" s="44">
        <f t="array" aca="1" ref="F27" ca="1">IF(MATCH(A27, 'weekly price'!A:A, 0), INDEX('weekly price'!K:K, MATCH(A27, 'weekly price'!A:A, 0)), "No Match")</f>
        <v>3</v>
      </c>
      <c r="G27" s="41">
        <f t="shared" ca="1" si="9"/>
        <v>1563.4975770243636</v>
      </c>
      <c r="H27" s="59">
        <f t="shared" ca="1" si="1"/>
        <v>7.5345468158207113E-2</v>
      </c>
      <c r="I27" s="41">
        <f ca="1">IF(C27&lt;&gt;"",SUM($G$3:G27),"")</f>
        <v>21632.190406062655</v>
      </c>
      <c r="J27" s="41">
        <f t="shared" ca="1" si="8"/>
        <v>30832.40966688878</v>
      </c>
      <c r="K27" s="43">
        <f t="shared" ca="1" si="3"/>
        <v>-0.34117396410365897</v>
      </c>
      <c r="L27" s="41">
        <f ca="1">IF(C27&lt;&gt;"",I27 / SUM($H$3:H27),"")</f>
        <v>31497.009634368711</v>
      </c>
      <c r="M27" s="59">
        <f t="shared" ca="1" si="5"/>
        <v>1.2047583134347419E-2</v>
      </c>
      <c r="N27" s="41">
        <v>250</v>
      </c>
      <c r="O27" s="41">
        <f ca="1">IF(C27&lt;&gt;"",SUM($N$3:N27) / SUM($M$3:M27),"")</f>
        <v>34609.610397456199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>
      <c r="A28" s="57">
        <v>44746</v>
      </c>
      <c r="B28" s="58">
        <v>26</v>
      </c>
      <c r="C28" s="41">
        <f t="array" aca="1" ref="C28" ca="1">IF(MATCH(A28, 'weekly price'!A:A, 0), INDEX('weekly price'!B:B, MATCH(A28, 'weekly price'!A:A, 0)), "No Match")</f>
        <v>20226.3</v>
      </c>
      <c r="D28" s="43">
        <f ca="1">IF(C28&lt;&gt;"",(C28-$C$3)/$C$3,"")</f>
        <v>-0.51631393930698044</v>
      </c>
      <c r="E28" s="43">
        <f t="array" aca="1" ref="E28" ca="1">IF(C28&lt;&gt;"",IF(AND(D28&lt;-0.4,C28&lt;&gt;""),IF(MATCH(A28, 'weekly price'!A:A, 0), INDEX('weekly price'!J:J, MATCH(A28, 'weekly price'!A:A, 0)), "No Match")-(2*D28),IF(MATCH(A28, 'weekly price'!A:A, 0), INDEX('weekly price'!J:J, MATCH(A28, 'weekly price'!A:A, 0)), "No Match")-D28),"")</f>
        <v>3.3152471632308838</v>
      </c>
      <c r="F28" s="44">
        <f t="array" aca="1" ref="F28" ca="1">IF(MATCH(A28, 'weekly price'!A:A, 0), INDEX('weekly price'!K:K, MATCH(A28, 'weekly price'!A:A, 0)), "No Match")</f>
        <v>3</v>
      </c>
      <c r="G28" s="41">
        <f t="shared" ca="1" si="9"/>
        <v>1578.8117908077211</v>
      </c>
      <c r="H28" s="59">
        <f t="shared" ca="1" si="1"/>
        <v>7.8057370394373715E-2</v>
      </c>
      <c r="I28" s="41">
        <f ca="1">IF(C28&lt;&gt;"",SUM($G$3:G28),"")</f>
        <v>23211.002196870377</v>
      </c>
      <c r="J28" s="41">
        <f t="shared" ca="1" si="8"/>
        <v>29268.912089864418</v>
      </c>
      <c r="K28" s="43">
        <f t="shared" ca="1" si="3"/>
        <v>-0.33349439733932451</v>
      </c>
      <c r="L28" s="41">
        <f ca="1">IF(C28&lt;&gt;"",I28 / SUM($H$3:H28),"")</f>
        <v>30346.781661334971</v>
      </c>
      <c r="M28" s="59">
        <f t="shared" ca="1" si="5"/>
        <v>1.2360144959780089E-2</v>
      </c>
      <c r="N28" s="41">
        <v>250</v>
      </c>
      <c r="O28" s="41">
        <f ca="1">IF(C28&lt;&gt;"",SUM($N$3:N28) / SUM($M$3:M28),"")</f>
        <v>33688.212889628223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>
      <c r="A29" s="57">
        <v>44753</v>
      </c>
      <c r="B29" s="58">
        <v>27</v>
      </c>
      <c r="C29" s="41">
        <f t="array" aca="1" ref="C29" ca="1">IF(MATCH(A29, 'weekly price'!A:A, 0), INDEX('weekly price'!B:B, MATCH(A29, 'weekly price'!A:A, 0)), "No Match")</f>
        <v>19971.330000000002</v>
      </c>
      <c r="D29" s="43">
        <f ca="1">IF(C29&lt;&gt;"",(C29-$C$3)/$C$3,"")</f>
        <v>-0.52241122031709586</v>
      </c>
      <c r="E29" s="43">
        <f t="array" aca="1" ref="E29" ca="1">IF(C29&lt;&gt;"",IF(AND(D29&lt;-0.4,C29&lt;&gt;""),IF(MATCH(A29, 'weekly price'!A:A, 0), INDEX('weekly price'!J:J, MATCH(A29, 'weekly price'!A:A, 0)), "No Match")-(2*D29),IF(MATCH(A29, 'weekly price'!A:A, 0), INDEX('weekly price'!J:J, MATCH(A29, 'weekly price'!A:A, 0)), "No Match")-D29),"")</f>
        <v>3.2893729244006717</v>
      </c>
      <c r="F29" s="44">
        <f t="array" aca="1" ref="F29" ca="1">IF(MATCH(A29, 'weekly price'!A:A, 0), INDEX('weekly price'!K:K, MATCH(A29, 'weekly price'!A:A, 0)), "No Match")</f>
        <v>3</v>
      </c>
      <c r="G29" s="41">
        <f t="shared" ca="1" si="9"/>
        <v>1572.3432311001679</v>
      </c>
      <c r="H29" s="59">
        <f t="shared" ca="1" si="1"/>
        <v>7.8730021040169476E-2</v>
      </c>
      <c r="I29" s="41">
        <f ca="1">IF(C29&lt;&gt;"",SUM($G$3:G29),"")</f>
        <v>24783.345427970544</v>
      </c>
      <c r="J29" s="41">
        <f t="shared" ca="1" si="8"/>
        <v>27690.100299056696</v>
      </c>
      <c r="K29" s="43">
        <f t="shared" ca="1" si="3"/>
        <v>-0.32020516575514274</v>
      </c>
      <c r="L29" s="41">
        <f ca="1">IF(C29&lt;&gt;"",I29 / SUM($H$3:H29),"")</f>
        <v>29378.46684608149</v>
      </c>
      <c r="M29" s="59">
        <f t="shared" ca="1" si="5"/>
        <v>1.2517944473402622E-2</v>
      </c>
      <c r="N29" s="41">
        <v>250</v>
      </c>
      <c r="O29" s="41">
        <f ca="1">IF(C29&lt;&gt;"",SUM($N$3:N29) / SUM($M$3:M29),"")</f>
        <v>32852.507502181143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>
      <c r="A30" s="57">
        <v>44760</v>
      </c>
      <c r="B30" s="58">
        <v>28</v>
      </c>
      <c r="C30" s="41">
        <f t="array" aca="1" ref="C30" ca="1">IF(MATCH(A30, 'weekly price'!A:A, 0), INDEX('weekly price'!B:B, MATCH(A30, 'weekly price'!A:A, 0)), "No Match")</f>
        <v>22305.71</v>
      </c>
      <c r="D30" s="43">
        <f ca="1">IF(C30&lt;&gt;"",(C30-$C$3)/$C$3,"")</f>
        <v>-0.46658751225578116</v>
      </c>
      <c r="E30" s="43">
        <f t="array" aca="1" ref="E30" ca="1">IF(C30&lt;&gt;"",IF(AND(D30&lt;-0.4,C30&lt;&gt;""),IF(MATCH(A30, 'weekly price'!A:A, 0), INDEX('weekly price'!J:J, MATCH(A30, 'weekly price'!A:A, 0)), "No Match")-(2*D30),IF(MATCH(A30, 'weekly price'!A:A, 0), INDEX('weekly price'!J:J, MATCH(A30, 'weekly price'!A:A, 0)), "No Match")-D30),"")</f>
        <v>1.9331750245115624</v>
      </c>
      <c r="F30" s="44" t="str">
        <f t="array" aca="1" ref="F30" ca="1">IF(MATCH(A30, 'weekly price'!A:A, 0), INDEX('weekly price'!K:K, MATCH(A30, 'weekly price'!A:A, 0)), "No Match")</f>
        <v/>
      </c>
      <c r="G30" s="41">
        <f t="shared" ca="1" si="9"/>
        <v>733.29375612789056</v>
      </c>
      <c r="H30" s="59">
        <f t="shared" ca="1" si="1"/>
        <v>3.287471038258323E-2</v>
      </c>
      <c r="I30" s="41">
        <f ca="1">IF(C30&lt;&gt;"",SUM($G$3:G30),"")</f>
        <v>25516.639184098436</v>
      </c>
      <c r="J30" s="41">
        <f t="shared" ca="1" si="8"/>
        <v>26117.757067956529</v>
      </c>
      <c r="K30" s="43">
        <f t="shared" ca="1" si="3"/>
        <v>-0.23382775364005862</v>
      </c>
      <c r="L30" s="41">
        <f ca="1">IF(C30&lt;&gt;"",I30 / SUM($H$3:H30),"")</f>
        <v>29113.179322239455</v>
      </c>
      <c r="M30" s="59">
        <f t="shared" ca="1" si="5"/>
        <v>1.1207892508241163E-2</v>
      </c>
      <c r="N30" s="41">
        <v>250</v>
      </c>
      <c r="O30" s="41">
        <f ca="1">IF(C30&lt;&gt;"",SUM($N$3:N30) / SUM($M$3:M30),"")</f>
        <v>32306.947588644885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>
      <c r="A31" s="57">
        <v>44767</v>
      </c>
      <c r="B31" s="58">
        <v>29</v>
      </c>
      <c r="C31" s="41">
        <f t="array" aca="1" ref="C31" ca="1">IF(MATCH(A31, 'weekly price'!A:A, 0), INDEX('weekly price'!B:B, MATCH(A31, 'weekly price'!A:A, 0)), "No Match")</f>
        <v>21510.13</v>
      </c>
      <c r="D31" s="43">
        <f ca="1">IF(C31&lt;&gt;"",(C31-$C$3)/$C$3,"")</f>
        <v>-0.48561278905708205</v>
      </c>
      <c r="E31" s="43">
        <f t="array" aca="1" ref="E31" ca="1">IF(C31&lt;&gt;"",IF(AND(D31&lt;-0.4,C31&lt;&gt;""),IF(MATCH(A31, 'weekly price'!A:A, 0), INDEX('weekly price'!J:J, MATCH(A31, 'weekly price'!A:A, 0)), "No Match")-(2*D31),IF(MATCH(A31, 'weekly price'!A:A, 0), INDEX('weekly price'!J:J, MATCH(A31, 'weekly price'!A:A, 0)), "No Match")-D31),"")</f>
        <v>1.9712255781141641</v>
      </c>
      <c r="F31" s="44" t="str">
        <f t="array" aca="1" ref="F31" ca="1">IF(MATCH(A31, 'weekly price'!A:A, 0), INDEX('weekly price'!K:K, MATCH(A31, 'weekly price'!A:A, 0)), "No Match")</f>
        <v/>
      </c>
      <c r="G31" s="41">
        <f t="shared" ca="1" si="9"/>
        <v>742.80639452854098</v>
      </c>
      <c r="H31" s="59">
        <f t="shared" ca="1" si="1"/>
        <v>3.4532864028647942E-2</v>
      </c>
      <c r="I31" s="41">
        <f ca="1">IF(C31&lt;&gt;"",SUM($G$3:G31),"")</f>
        <v>26259.445578626975</v>
      </c>
      <c r="J31" s="41">
        <f t="shared" ca="1" si="8"/>
        <v>25384.463311828637</v>
      </c>
      <c r="K31" s="43">
        <f t="shared" ca="1" si="3"/>
        <v>-0.25376755331877127</v>
      </c>
      <c r="L31" s="41">
        <f ca="1">IF(C31&lt;&gt;"",I31 / SUM($H$3:H31),"")</f>
        <v>28824.972829395843</v>
      </c>
      <c r="M31" s="59">
        <f t="shared" ca="1" si="5"/>
        <v>1.1622430919757341E-2</v>
      </c>
      <c r="N31" s="41">
        <v>250</v>
      </c>
      <c r="O31" s="41">
        <f ca="1">IF(C31&lt;&gt;"",SUM($N$3:N31) / SUM($M$3:M31),"")</f>
        <v>31757.282612859555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57">
        <v>44774</v>
      </c>
      <c r="B32" s="58">
        <v>30</v>
      </c>
      <c r="C32" s="41">
        <f t="array" aca="1" ref="C32" ca="1">IF(MATCH(A32, 'weekly price'!A:A, 0), INDEX('weekly price'!B:B, MATCH(A32, 'weekly price'!A:A, 0)), "No Match")</f>
        <v>23331.439999999999</v>
      </c>
      <c r="D32" s="43">
        <f ca="1">IF(C32&lt;&gt;"",(C32-$C$3)/$C$3,"")</f>
        <v>-0.44205849295740968</v>
      </c>
      <c r="E32" s="43">
        <f t="array" aca="1" ref="E32" ca="1">IF(C32&lt;&gt;"",IF(AND(D32&lt;-0.4,C32&lt;&gt;""),IF(MATCH(A32, 'weekly price'!A:A, 0), INDEX('weekly price'!J:J, MATCH(A32, 'weekly price'!A:A, 0)), "No Match")-(2*D32),IF(MATCH(A32, 'weekly price'!A:A, 0), INDEX('weekly price'!J:J, MATCH(A32, 'weekly price'!A:A, 0)), "No Match")-D32),"")</f>
        <v>1.8841169859148192</v>
      </c>
      <c r="F32" s="44" t="str">
        <f t="array" aca="1" ref="F32" ca="1">IF(MATCH(A32, 'weekly price'!A:A, 0), INDEX('weekly price'!K:K, MATCH(A32, 'weekly price'!A:A, 0)), "No Match")</f>
        <v/>
      </c>
      <c r="G32" s="41">
        <f t="shared" ca="1" si="9"/>
        <v>721.02924647870486</v>
      </c>
      <c r="H32" s="59">
        <f t="shared" ca="1" si="1"/>
        <v>3.0903761039983168E-2</v>
      </c>
      <c r="I32" s="41">
        <f ca="1">IF(C32&lt;&gt;"",SUM($G$3:G32),"")</f>
        <v>26980.474825105681</v>
      </c>
      <c r="J32" s="41">
        <f t="shared" ca="1" si="8"/>
        <v>24641.656917300097</v>
      </c>
      <c r="K32" s="43">
        <f t="shared" ca="1" si="3"/>
        <v>-0.18548926555070819</v>
      </c>
      <c r="L32" s="41">
        <f ca="1">IF(C32&lt;&gt;"",I32 / SUM($H$3:H32),"")</f>
        <v>28644.729913565701</v>
      </c>
      <c r="M32" s="59">
        <f t="shared" ca="1" si="5"/>
        <v>1.0715155172591148E-2</v>
      </c>
      <c r="N32" s="41">
        <v>250</v>
      </c>
      <c r="O32" s="41">
        <f ca="1">IF(C32&lt;&gt;"",SUM($N$3:N32) / SUM($M$3:M32),"")</f>
        <v>31379.539022991394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57">
        <v>44781</v>
      </c>
      <c r="B33" s="58">
        <v>31</v>
      </c>
      <c r="C33" s="41">
        <f t="array" aca="1" ref="C33" ca="1">IF(MATCH(A33, 'weekly price'!A:A, 0), INDEX('weekly price'!B:B, MATCH(A33, 'weekly price'!A:A, 0)), "No Match")</f>
        <v>23803.65</v>
      </c>
      <c r="D33" s="43">
        <f ca="1">IF(C33&lt;&gt;"",(C33-$C$3)/$C$3,"")</f>
        <v>-0.43076619556639639</v>
      </c>
      <c r="E33" s="43">
        <f t="array" aca="1" ref="E33" ca="1">IF(C33&lt;&gt;"",IF(AND(D33&lt;-0.4,C33&lt;&gt;""),IF(MATCH(A33, 'weekly price'!A:A, 0), INDEX('weekly price'!J:J, MATCH(A33, 'weekly price'!A:A, 0)), "No Match")-(2*D33),IF(MATCH(A33, 'weekly price'!A:A, 0), INDEX('weekly price'!J:J, MATCH(A33, 'weekly price'!A:A, 0)), "No Match")-D33),"")</f>
        <v>1.8615323911327928</v>
      </c>
      <c r="F33" s="44" t="str">
        <f t="array" aca="1" ref="F33" ca="1">IF(MATCH(A33, 'weekly price'!A:A, 0), INDEX('weekly price'!K:K, MATCH(A33, 'weekly price'!A:A, 0)), "No Match")</f>
        <v/>
      </c>
      <c r="G33" s="41">
        <f t="shared" ca="1" si="9"/>
        <v>715.3830977831982</v>
      </c>
      <c r="H33" s="59">
        <f t="shared" ca="1" si="1"/>
        <v>3.0053504306406714E-2</v>
      </c>
      <c r="I33" s="41">
        <f ca="1">IF(C33&lt;&gt;"",SUM($G$3:G33),"")</f>
        <v>27695.857922888878</v>
      </c>
      <c r="J33" s="41">
        <f t="shared" ca="1" si="8"/>
        <v>23920.627670821392</v>
      </c>
      <c r="K33" s="43">
        <f t="shared" ca="1" si="3"/>
        <v>-0.16463883559401693</v>
      </c>
      <c r="L33" s="41">
        <f ca="1">IF(C33&lt;&gt;"",I33 / SUM($H$3:H33),"")</f>
        <v>28495.040246366418</v>
      </c>
      <c r="M33" s="59">
        <f t="shared" ca="1" si="5"/>
        <v>1.0502590989197034E-2</v>
      </c>
      <c r="N33" s="41">
        <v>250</v>
      </c>
      <c r="O33" s="41">
        <f ca="1">IF(C33&lt;&gt;"",SUM($N$3:N33) / SUM($M$3:M33),"")</f>
        <v>31060.650491052187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57">
        <v>44788</v>
      </c>
      <c r="B34" s="58">
        <v>32</v>
      </c>
      <c r="C34" s="41">
        <f t="array" aca="1" ref="C34" ca="1">IF(MATCH(A34, 'weekly price'!A:A, 0), INDEX('weekly price'!B:B, MATCH(A34, 'weekly price'!A:A, 0)), "No Match")</f>
        <v>24083.95</v>
      </c>
      <c r="D34" s="43">
        <f ca="1">IF(C34&lt;&gt;"",(C34-$C$3)/$C$3,"")</f>
        <v>-0.4240631800463926</v>
      </c>
      <c r="E34" s="43">
        <f t="array" aca="1" ref="E34" ca="1">IF(C34&lt;&gt;"",IF(AND(D34&lt;-0.4,C34&lt;&gt;""),IF(MATCH(A34, 'weekly price'!A:A, 0), INDEX('weekly price'!J:J, MATCH(A34, 'weekly price'!A:A, 0)), "No Match")-(2*D34),IF(MATCH(A34, 'weekly price'!A:A, 0), INDEX('weekly price'!J:J, MATCH(A34, 'weekly price'!A:A, 0)), "No Match")-D34),"")</f>
        <v>1.8481263600927851</v>
      </c>
      <c r="F34" s="44" t="str">
        <f t="array" aca="1" ref="F34" ca="1">IF(MATCH(A34, 'weekly price'!A:A, 0), INDEX('weekly price'!K:K, MATCH(A34, 'weekly price'!A:A, 0)), "No Match")</f>
        <v/>
      </c>
      <c r="G34" s="41">
        <f t="shared" ca="1" si="9"/>
        <v>712.03159002319626</v>
      </c>
      <c r="H34" s="59">
        <f t="shared" ca="1" si="1"/>
        <v>2.9564568520661944E-2</v>
      </c>
      <c r="I34" s="41">
        <f ca="1">IF(C34&lt;&gt;"",SUM($G$3:G34),"")</f>
        <v>28407.889512912072</v>
      </c>
      <c r="J34" s="41">
        <f t="shared" ca="1" si="8"/>
        <v>23205.244573038195</v>
      </c>
      <c r="K34" s="43">
        <f t="shared" ca="1" si="3"/>
        <v>-0.150921989245241</v>
      </c>
      <c r="L34" s="41">
        <f ca="1">IF(C34&lt;&gt;"",I34 / SUM($H$3:H34),"")</f>
        <v>28364.825958207766</v>
      </c>
      <c r="M34" s="59">
        <f t="shared" ca="1" si="5"/>
        <v>1.0380357042760843E-2</v>
      </c>
      <c r="N34" s="41">
        <v>250</v>
      </c>
      <c r="O34" s="41">
        <f ca="1">IF(C34&lt;&gt;"",SUM($N$3:N34) / SUM($M$3:M34),"")</f>
        <v>30781.994019636109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57">
        <v>44795</v>
      </c>
      <c r="B35" s="58">
        <v>33</v>
      </c>
      <c r="C35" s="41">
        <f t="array" aca="1" ref="C35" ca="1">IF(MATCH(A35, 'weekly price'!A:A, 0), INDEX('weekly price'!B:B, MATCH(A35, 'weekly price'!A:A, 0)), "No Match")</f>
        <v>21301.08</v>
      </c>
      <c r="D35" s="43">
        <f ca="1">IF(C35&lt;&gt;"",(C35-$C$3)/$C$3,"")</f>
        <v>-0.4906119520769065</v>
      </c>
      <c r="E35" s="43">
        <f t="array" aca="1" ref="E35" ca="1">IF(C35&lt;&gt;"",IF(AND(D35&lt;-0.4,C35&lt;&gt;""),IF(MATCH(A35, 'weekly price'!A:A, 0), INDEX('weekly price'!J:J, MATCH(A35, 'weekly price'!A:A, 0)), "No Match")-(2*D35),IF(MATCH(A35, 'weekly price'!A:A, 0), INDEX('weekly price'!J:J, MATCH(A35, 'weekly price'!A:A, 0)), "No Match")-D35),"")</f>
        <v>1.9812239041538131</v>
      </c>
      <c r="F35" s="44" t="str">
        <f t="array" aca="1" ref="F35" ca="1">IF(MATCH(A35, 'weekly price'!A:A, 0), INDEX('weekly price'!K:K, MATCH(A35, 'weekly price'!A:A, 0)), "No Match")</f>
        <v/>
      </c>
      <c r="G35" s="41">
        <f t="shared" ca="1" si="9"/>
        <v>745.30597603845331</v>
      </c>
      <c r="H35" s="59">
        <f t="shared" ca="1" si="1"/>
        <v>3.4989116797761108E-2</v>
      </c>
      <c r="I35" s="41">
        <f ca="1">IF(C35&lt;&gt;"",SUM($G$3:G35),"")</f>
        <v>29153.195488950525</v>
      </c>
      <c r="J35" s="41">
        <f t="shared" ca="1" si="8"/>
        <v>22493.212983015001</v>
      </c>
      <c r="K35" s="43">
        <f t="shared" ca="1" si="3"/>
        <v>-0.24266534208618623</v>
      </c>
      <c r="L35" s="41">
        <f ca="1">IF(C35&lt;&gt;"",I35 / SUM($H$3:H35),"")</f>
        <v>28126.376863138499</v>
      </c>
      <c r="M35" s="59">
        <f t="shared" ca="1" si="5"/>
        <v>1.1736494112035633E-2</v>
      </c>
      <c r="N35" s="41">
        <v>250</v>
      </c>
      <c r="O35" s="41">
        <f ca="1">IF(C35&lt;&gt;"",SUM($N$3:N35) / SUM($M$3:M35),"")</f>
        <v>30372.34402342746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57">
        <v>44802</v>
      </c>
      <c r="B36" s="58">
        <v>34</v>
      </c>
      <c r="C36" s="41">
        <f t="array" aca="1" ref="C36" ca="1">IF(MATCH(A36, 'weekly price'!A:A, 0), INDEX('weekly price'!B:B, MATCH(A36, 'weekly price'!A:A, 0)), "No Match")</f>
        <v>20270.96</v>
      </c>
      <c r="D36" s="43">
        <f ca="1">IF(C36&lt;&gt;"",(C36-$C$3)/$C$3,"")</f>
        <v>-0.51524595260300832</v>
      </c>
      <c r="E36" s="43">
        <f t="array" aca="1" ref="E36" ca="1">IF(C36&lt;&gt;"",IF(AND(D36&lt;-0.4,C36&lt;&gt;""),IF(MATCH(A36, 'weekly price'!A:A, 0), INDEX('weekly price'!J:J, MATCH(A36, 'weekly price'!A:A, 0)), "No Match")-(2*D36),IF(MATCH(A36, 'weekly price'!A:A, 0), INDEX('weekly price'!J:J, MATCH(A36, 'weekly price'!A:A, 0)), "No Match")-D36),"")</f>
        <v>2.0304919052060164</v>
      </c>
      <c r="F36" s="44" t="str">
        <f t="array" aca="1" ref="F36" ca="1">IF(MATCH(A36, 'weekly price'!A:A, 0), INDEX('weekly price'!K:K, MATCH(A36, 'weekly price'!A:A, 0)), "No Match")</f>
        <v/>
      </c>
      <c r="G36" s="41">
        <f t="shared" ca="1" si="9"/>
        <v>757.62297630150408</v>
      </c>
      <c r="H36" s="59">
        <f t="shared" ca="1" si="1"/>
        <v>3.7374795091179899E-2</v>
      </c>
      <c r="I36" s="41">
        <f ca="1">IF(C36&lt;&gt;"",SUM($G$3:G36),"")</f>
        <v>29910.818465252029</v>
      </c>
      <c r="J36" s="41">
        <f t="shared" ca="1" si="8"/>
        <v>21747.907006976548</v>
      </c>
      <c r="K36" s="43">
        <f t="shared" ca="1" si="3"/>
        <v>-0.27221578993660778</v>
      </c>
      <c r="L36" s="41">
        <f ca="1">IF(C36&lt;&gt;"",I36 / SUM($H$3:H36),"")</f>
        <v>27852.981309163519</v>
      </c>
      <c r="M36" s="59">
        <f t="shared" ca="1" si="5"/>
        <v>1.2332913685390332E-2</v>
      </c>
      <c r="N36" s="41">
        <v>250</v>
      </c>
      <c r="O36" s="41">
        <f ca="1">IF(C36&lt;&gt;"",SUM($N$3:N36) / SUM($M$3:M36),"")</f>
        <v>29933.624506682838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57">
        <v>44809</v>
      </c>
      <c r="B37" s="58">
        <v>35</v>
      </c>
      <c r="C37" s="41">
        <f t="array" aca="1" ref="C37" ca="1">IF(MATCH(A37, 'weekly price'!A:A, 0), INDEX('weekly price'!B:B, MATCH(A37, 'weekly price'!A:A, 0)), "No Match")</f>
        <v>19797.8</v>
      </c>
      <c r="D37" s="43">
        <f ca="1">IF(C37&lt;&gt;"",(C37-$C$3)/$C$3,"")</f>
        <v>-0.5265609680273573</v>
      </c>
      <c r="E37" s="43">
        <f t="array" aca="1" ref="E37" ca="1">IF(C37&lt;&gt;"",IF(AND(D37&lt;-0.4,C37&lt;&gt;""),IF(MATCH(A37, 'weekly price'!A:A, 0), INDEX('weekly price'!J:J, MATCH(A37, 'weekly price'!A:A, 0)), "No Match")-(2*D37),IF(MATCH(A37, 'weekly price'!A:A, 0), INDEX('weekly price'!J:J, MATCH(A37, 'weekly price'!A:A, 0)), "No Match")-D37),"")</f>
        <v>2.0531219360547146</v>
      </c>
      <c r="F37" s="44" t="str">
        <f t="array" aca="1" ref="F37" ca="1">IF(MATCH(A37, 'weekly price'!A:A, 0), INDEX('weekly price'!K:K, MATCH(A37, 'weekly price'!A:A, 0)), "No Match")</f>
        <v/>
      </c>
      <c r="G37" s="41">
        <f t="shared" ca="1" si="9"/>
        <v>763.28048401367869</v>
      </c>
      <c r="H37" s="59">
        <f t="shared" ca="1" si="1"/>
        <v>3.8553803150535852E-2</v>
      </c>
      <c r="I37" s="41">
        <f ca="1">IF(C37&lt;&gt;"",SUM($G$3:G37),"")</f>
        <v>30674.098949265706</v>
      </c>
      <c r="J37" s="41">
        <f t="shared" ca="1" si="8"/>
        <v>20990.284030675044</v>
      </c>
      <c r="K37" s="43">
        <f t="shared" ca="1" si="3"/>
        <v>-0.28200714719622372</v>
      </c>
      <c r="L37" s="41">
        <f ca="1">IF(C37&lt;&gt;"",I37 / SUM($H$3:H37),"")</f>
        <v>27573.812082793302</v>
      </c>
      <c r="M37" s="59">
        <f t="shared" ca="1" si="5"/>
        <v>1.2627665700229319E-2</v>
      </c>
      <c r="N37" s="41">
        <v>250</v>
      </c>
      <c r="O37" s="41">
        <f ca="1">IF(C37&lt;&gt;"",SUM($N$3:N37) / SUM($M$3:M37),"")</f>
        <v>29502.078874549472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57">
        <v>44816</v>
      </c>
      <c r="B38" s="58">
        <v>36</v>
      </c>
      <c r="C38" s="41">
        <f t="array" aca="1" ref="C38" ca="1">IF(MATCH(A38, 'weekly price'!A:A, 0), INDEX('weekly price'!B:B, MATCH(A38, 'weekly price'!A:A, 0)), "No Match")</f>
        <v>22364.720000000001</v>
      </c>
      <c r="D38" s="43">
        <f ca="1">IF(C38&lt;&gt;"",(C38-$C$3)/$C$3,"")</f>
        <v>-0.46517636367984311</v>
      </c>
      <c r="E38" s="43">
        <f t="array" aca="1" ref="E38" ca="1">IF(C38&lt;&gt;"",IF(AND(D38&lt;-0.4,C38&lt;&gt;""),IF(MATCH(A38, 'weekly price'!A:A, 0), INDEX('weekly price'!J:J, MATCH(A38, 'weekly price'!A:A, 0)), "No Match")-(2*D38),IF(MATCH(A38, 'weekly price'!A:A, 0), INDEX('weekly price'!J:J, MATCH(A38, 'weekly price'!A:A, 0)), "No Match")-D38),"")</f>
        <v>1.9303527273596863</v>
      </c>
      <c r="F38" s="44" t="str">
        <f t="array" aca="1" ref="F38" ca="1">IF(MATCH(A38, 'weekly price'!A:A, 0), INDEX('weekly price'!K:K, MATCH(A38, 'weekly price'!A:A, 0)), "No Match")</f>
        <v/>
      </c>
      <c r="G38" s="41">
        <f t="shared" ca="1" si="9"/>
        <v>732.58818183992162</v>
      </c>
      <c r="H38" s="59">
        <f t="shared" ca="1" si="1"/>
        <v>3.2756420909357306E-2</v>
      </c>
      <c r="I38" s="41">
        <f ca="1">IF(C38&lt;&gt;"",SUM($G$3:G38),"")</f>
        <v>31406.687131105627</v>
      </c>
      <c r="J38" s="41">
        <f t="shared" ca="1" si="8"/>
        <v>20227.003546661366</v>
      </c>
      <c r="K38" s="43">
        <f t="shared" ca="1" si="3"/>
        <v>-0.18450787589923534</v>
      </c>
      <c r="L38" s="41">
        <f ca="1">IF(C38&lt;&gt;"",I38 / SUM($H$3:H38),"")</f>
        <v>27424.814218360923</v>
      </c>
      <c r="M38" s="59">
        <f t="shared" ca="1" si="5"/>
        <v>1.1178320139934682E-2</v>
      </c>
      <c r="N38" s="41">
        <v>250</v>
      </c>
      <c r="O38" s="41">
        <f ca="1">IF(C38&lt;&gt;"",SUM($N$3:N38) / SUM($M$3:M38),"")</f>
        <v>29242.84533166359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57">
        <v>44823</v>
      </c>
      <c r="B39" s="58">
        <v>37</v>
      </c>
      <c r="C39" s="41">
        <f t="array" aca="1" ref="C39" ca="1">IF(MATCH(A39, 'weekly price'!A:A, 0), INDEX('weekly price'!B:B, MATCH(A39, 'weekly price'!A:A, 0)), "No Match")</f>
        <v>19557.98</v>
      </c>
      <c r="D39" s="43">
        <f ca="1">IF(C39&lt;&gt;"",(C39-$C$3)/$C$3,"")</f>
        <v>-0.5322959561900662</v>
      </c>
      <c r="E39" s="43">
        <f t="array" aca="1" ref="E39" ca="1">IF(C39&lt;&gt;"",IF(AND(D39&lt;-0.4,C39&lt;&gt;""),IF(MATCH(A39, 'weekly price'!A:A, 0), INDEX('weekly price'!J:J, MATCH(A39, 'weekly price'!A:A, 0)), "No Match")-(2*D39),IF(MATCH(A39, 'weekly price'!A:A, 0), INDEX('weekly price'!J:J, MATCH(A39, 'weekly price'!A:A, 0)), "No Match")-D39),"")</f>
        <v>2.0645919123801324</v>
      </c>
      <c r="F39" s="44" t="str">
        <f t="array" aca="1" ref="F39" ca="1">IF(MATCH(A39, 'weekly price'!A:A, 0), INDEX('weekly price'!K:K, MATCH(A39, 'weekly price'!A:A, 0)), "No Match")</f>
        <v/>
      </c>
      <c r="G39" s="41">
        <f t="shared" ca="1" si="9"/>
        <v>766.14797809503307</v>
      </c>
      <c r="H39" s="59">
        <f t="shared" ca="1" si="1"/>
        <v>3.9173165024968482E-2</v>
      </c>
      <c r="I39" s="41">
        <f ca="1">IF(C39&lt;&gt;"",SUM($G$3:G39),"")</f>
        <v>32172.83510920066</v>
      </c>
      <c r="J39" s="41">
        <f t="shared" ca="1" si="8"/>
        <v>19494.415364821445</v>
      </c>
      <c r="K39" s="43">
        <f t="shared" ca="1" si="3"/>
        <v>-0.28002003073489301</v>
      </c>
      <c r="L39" s="41">
        <f ca="1">IF(C39&lt;&gt;"",I39 / SUM($H$3:H39),"")</f>
        <v>27164.61684338675</v>
      </c>
      <c r="M39" s="59">
        <f t="shared" ca="1" si="5"/>
        <v>1.2782506168837478E-2</v>
      </c>
      <c r="N39" s="41">
        <v>250</v>
      </c>
      <c r="O39" s="41">
        <f ca="1">IF(C39&lt;&gt;"",SUM($N$3:N39) / SUM($M$3:M39),"")</f>
        <v>28856.644070909791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57">
        <v>44830</v>
      </c>
      <c r="B40" s="58">
        <v>38</v>
      </c>
      <c r="C40" s="41">
        <f t="array" aca="1" ref="C40" ca="1">IF(MATCH(A40, 'weekly price'!A:A, 0), INDEX('weekly price'!B:B, MATCH(A40, 'weekly price'!A:A, 0)), "No Match")</f>
        <v>19201.13</v>
      </c>
      <c r="D40" s="43">
        <f ca="1">IF(C40&lt;&gt;"",(C40-$C$3)/$C$3,"")</f>
        <v>-0.54082956692254347</v>
      </c>
      <c r="E40" s="43">
        <f t="array" aca="1" ref="E40" ca="1">IF(C40&lt;&gt;"",IF(AND(D40&lt;-0.4,C40&lt;&gt;""),IF(MATCH(A40, 'weekly price'!A:A, 0), INDEX('weekly price'!J:J, MATCH(A40, 'weekly price'!A:A, 0)), "No Match")-(2*D40),IF(MATCH(A40, 'weekly price'!A:A, 0), INDEX('weekly price'!J:J, MATCH(A40, 'weekly price'!A:A, 0)), "No Match")-D40),"")</f>
        <v>2.0816591338450872</v>
      </c>
      <c r="F40" s="44" t="str">
        <f t="array" aca="1" ref="F40" ca="1">IF(MATCH(A40, 'weekly price'!A:A, 0), INDEX('weekly price'!K:K, MATCH(A40, 'weekly price'!A:A, 0)), "No Match")</f>
        <v/>
      </c>
      <c r="G40" s="41">
        <f t="shared" ca="1" si="9"/>
        <v>770.41478346127178</v>
      </c>
      <c r="H40" s="59">
        <f t="shared" ca="1" si="1"/>
        <v>4.0123408542167664E-2</v>
      </c>
      <c r="I40" s="41">
        <f ca="1">IF(C40&lt;&gt;"",SUM($G$3:G40),"")</f>
        <v>32943.24989266193</v>
      </c>
      <c r="J40" s="41">
        <f t="shared" ca="1" si="8"/>
        <v>18728.267386726413</v>
      </c>
      <c r="K40" s="43">
        <f t="shared" ca="1" si="3"/>
        <v>-0.28630080932560698</v>
      </c>
      <c r="L40" s="41">
        <f ca="1">IF(C40&lt;&gt;"",I40 / SUM($H$3:H40),"")</f>
        <v>26903.673495631054</v>
      </c>
      <c r="M40" s="59">
        <f t="shared" ca="1" si="5"/>
        <v>1.302006704813727E-2</v>
      </c>
      <c r="N40" s="41">
        <v>250</v>
      </c>
      <c r="O40" s="41">
        <f ca="1">IF(C40&lt;&gt;"",SUM($N$3:N40) / SUM($M$3:M40),"")</f>
        <v>28479.765516204763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57">
        <v>44837</v>
      </c>
      <c r="B41" s="58">
        <v>39</v>
      </c>
      <c r="C41" s="41">
        <f t="array" aca="1" ref="C41" ca="1">IF(MATCH(A41, 'weekly price'!A:A, 0), INDEX('weekly price'!B:B, MATCH(A41, 'weekly price'!A:A, 0)), "No Match")</f>
        <v>19633.43</v>
      </c>
      <c r="D41" s="43">
        <f ca="1">IF(C41&lt;&gt;"",(C41-$C$3)/$C$3,"")</f>
        <v>-0.5304916660688237</v>
      </c>
      <c r="E41" s="43">
        <f t="array" aca="1" ref="E41" ca="1">IF(C41&lt;&gt;"",IF(AND(D41&lt;-0.4,C41&lt;&gt;""),IF(MATCH(A41, 'weekly price'!A:A, 0), INDEX('weekly price'!J:J, MATCH(A41, 'weekly price'!A:A, 0)), "No Match")-(2*D41),IF(MATCH(A41, 'weekly price'!A:A, 0), INDEX('weekly price'!J:J, MATCH(A41, 'weekly price'!A:A, 0)), "No Match")-D41),"")</f>
        <v>2.0609833321376474</v>
      </c>
      <c r="F41" s="44" t="str">
        <f t="array" aca="1" ref="F41" ca="1">IF(MATCH(A41, 'weekly price'!A:A, 0), INDEX('weekly price'!K:K, MATCH(A41, 'weekly price'!A:A, 0)), "No Match")</f>
        <v/>
      </c>
      <c r="G41" s="41">
        <f t="shared" ca="1" si="9"/>
        <v>765.24583303441182</v>
      </c>
      <c r="H41" s="59">
        <f t="shared" ca="1" si="1"/>
        <v>3.8976675651397223E-2</v>
      </c>
      <c r="I41" s="41">
        <f ca="1">IF(C41&lt;&gt;"",SUM($G$3:G41),"")</f>
        <v>33708.495725696339</v>
      </c>
      <c r="J41" s="41">
        <f t="shared" ca="1" si="8"/>
        <v>17957.852603265143</v>
      </c>
      <c r="K41" s="43">
        <f t="shared" ca="1" si="3"/>
        <v>-0.26409759194793836</v>
      </c>
      <c r="L41" s="41">
        <f ca="1">IF(C41&lt;&gt;"",I41 / SUM($H$3:H41),"")</f>
        <v>26679.393605967147</v>
      </c>
      <c r="M41" s="59">
        <f t="shared" ca="1" si="5"/>
        <v>1.2733383825444663E-2</v>
      </c>
      <c r="N41" s="41">
        <v>250</v>
      </c>
      <c r="O41" s="41">
        <f ca="1">IF(C41&lt;&gt;"",SUM($N$3:N41) / SUM($M$3:M41),"")</f>
        <v>28154.490805911777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57">
        <v>44844</v>
      </c>
      <c r="B42" s="58">
        <v>40</v>
      </c>
      <c r="C42" s="41">
        <f t="array" aca="1" ref="C42" ca="1">IF(MATCH(A42, 'weekly price'!A:A, 0), INDEX('weekly price'!B:B, MATCH(A42, 'weekly price'!A:A, 0)), "No Match")</f>
        <v>19154.400000000001</v>
      </c>
      <c r="D42" s="43">
        <f ca="1">IF(C42&lt;&gt;"",(C42-$C$3)/$C$3,"")</f>
        <v>-0.54194705502546803</v>
      </c>
      <c r="E42" s="43">
        <f t="array" aca="1" ref="E42" ca="1">IF(C42&lt;&gt;"",IF(AND(D42&lt;-0.4,C42&lt;&gt;""),IF(MATCH(A42, 'weekly price'!A:A, 0), INDEX('weekly price'!J:J, MATCH(A42, 'weekly price'!A:A, 0)), "No Match")-(2*D42),IF(MATCH(A42, 'weekly price'!A:A, 0), INDEX('weekly price'!J:J, MATCH(A42, 'weekly price'!A:A, 0)), "No Match")-D42),"")</f>
        <v>2.0838941100509363</v>
      </c>
      <c r="F42" s="44" t="str">
        <f t="array" aca="1" ref="F42" ca="1">IF(MATCH(A42, 'weekly price'!A:A, 0), INDEX('weekly price'!K:K, MATCH(A42, 'weekly price'!A:A, 0)), "No Match")</f>
        <v/>
      </c>
      <c r="G42" s="41">
        <f t="shared" ca="1" si="9"/>
        <v>770.97352751273411</v>
      </c>
      <c r="H42" s="59">
        <f t="shared" ca="1" si="1"/>
        <v>4.0250466081565281E-2</v>
      </c>
      <c r="I42" s="41">
        <f ca="1">IF(C42&lt;&gt;"",SUM($G$3:G42),"")</f>
        <v>34479.46925320907</v>
      </c>
      <c r="J42" s="41">
        <f t="shared" ca="1" si="8"/>
        <v>17192.60677023073</v>
      </c>
      <c r="K42" s="43">
        <f t="shared" ca="1" si="3"/>
        <v>-0.27574584748006242</v>
      </c>
      <c r="L42" s="41">
        <f ca="1">IF(C42&lt;&gt;"",I42 / SUM($H$3:H42),"")</f>
        <v>26447.069627913126</v>
      </c>
      <c r="M42" s="59">
        <f t="shared" ca="1" si="5"/>
        <v>1.3051831432986676E-2</v>
      </c>
      <c r="N42" s="41">
        <v>250</v>
      </c>
      <c r="O42" s="41">
        <f ca="1">IF(C42&lt;&gt;"",SUM($N$3:N42) / SUM($M$3:M42),"")</f>
        <v>27827.606402673831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57">
        <v>44851</v>
      </c>
      <c r="B43" s="58">
        <v>41</v>
      </c>
      <c r="C43" s="41">
        <f t="array" aca="1" ref="C43" ca="1">IF(MATCH(A43, 'weekly price'!A:A, 0), INDEX('weekly price'!B:B, MATCH(A43, 'weekly price'!A:A, 0)), "No Match")</f>
        <v>19557.02</v>
      </c>
      <c r="D43" s="43">
        <f ca="1">IF(C43&lt;&gt;"",(C43-$C$3)/$C$3,"")</f>
        <v>-0.532318913360595</v>
      </c>
      <c r="E43" s="43">
        <f t="array" aca="1" ref="E43" ca="1">IF(C43&lt;&gt;"",IF(AND(D43&lt;-0.4,C43&lt;&gt;""),IF(MATCH(A43, 'weekly price'!A:A, 0), INDEX('weekly price'!J:J, MATCH(A43, 'weekly price'!A:A, 0)), "No Match")-(2*D43),IF(MATCH(A43, 'weekly price'!A:A, 0), INDEX('weekly price'!J:J, MATCH(A43, 'weekly price'!A:A, 0)), "No Match")-D43),"")</f>
        <v>2.06463782672119</v>
      </c>
      <c r="F43" s="44" t="str">
        <f t="array" aca="1" ref="F43" ca="1">IF(MATCH(A43, 'weekly price'!A:A, 0), INDEX('weekly price'!K:K, MATCH(A43, 'weekly price'!A:A, 0)), "No Match")</f>
        <v/>
      </c>
      <c r="G43" s="41">
        <f t="shared" ca="1" si="9"/>
        <v>766.15945668029747</v>
      </c>
      <c r="H43" s="59">
        <f t="shared" ca="1" si="1"/>
        <v>3.9175674856409486E-2</v>
      </c>
      <c r="I43" s="41">
        <f ca="1">IF(C43&lt;&gt;"",SUM($G$3:G43),"")</f>
        <v>35245.628709889366</v>
      </c>
      <c r="J43" s="41">
        <f t="shared" ca="1" si="8"/>
        <v>16421.633242717995</v>
      </c>
      <c r="K43" s="43">
        <f t="shared" ca="1" si="3"/>
        <v>-0.2548590744740159</v>
      </c>
      <c r="L43" s="41">
        <f ca="1">IF(C43&lt;&gt;"",I43 / SUM($H$3:H43),"")</f>
        <v>26246.068803958104</v>
      </c>
      <c r="M43" s="59">
        <f t="shared" ca="1" si="5"/>
        <v>1.2783133626697727E-2</v>
      </c>
      <c r="N43" s="41">
        <v>250</v>
      </c>
      <c r="O43" s="41">
        <f ca="1">IF(C43&lt;&gt;"",SUM($N$3:N43) / SUM($M$3:M43),"")</f>
        <v>27543.507853252639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57">
        <v>44858</v>
      </c>
      <c r="B44" s="58">
        <v>42</v>
      </c>
      <c r="C44" s="41">
        <f t="array" aca="1" ref="C44" ca="1">IF(MATCH(A44, 'weekly price'!A:A, 0), INDEX('weekly price'!B:B, MATCH(A44, 'weekly price'!A:A, 0)), "No Match")</f>
        <v>19341.46</v>
      </c>
      <c r="D44" s="43">
        <f ca="1">IF(C44&lt;&gt;"",(C44-$C$3)/$C$3,"")</f>
        <v>-0.53747375469306746</v>
      </c>
      <c r="E44" s="43">
        <f t="array" aca="1" ref="E44" ca="1">IF(C44&lt;&gt;"",IF(AND(D44&lt;-0.4,C44&lt;&gt;""),IF(MATCH(A44, 'weekly price'!A:A, 0), INDEX('weekly price'!J:J, MATCH(A44, 'weekly price'!A:A, 0)), "No Match")-(2*D44),IF(MATCH(A44, 'weekly price'!A:A, 0), INDEX('weekly price'!J:J, MATCH(A44, 'weekly price'!A:A, 0)), "No Match")-D44),"")</f>
        <v>2.0749475093861349</v>
      </c>
      <c r="F44" s="44" t="str">
        <f t="array" aca="1" ref="F44" ca="1">IF(MATCH(A44, 'weekly price'!A:A, 0), INDEX('weekly price'!K:K, MATCH(A44, 'weekly price'!A:A, 0)), "No Match")</f>
        <v/>
      </c>
      <c r="G44" s="41">
        <f t="shared" ca="1" si="9"/>
        <v>768.73687734653367</v>
      </c>
      <c r="H44" s="59">
        <f t="shared" ca="1" si="1"/>
        <v>3.974554544209867E-2</v>
      </c>
      <c r="I44" s="41">
        <f ca="1">IF(C44&lt;&gt;"",SUM($G$3:G44),"")</f>
        <v>36014.365587235901</v>
      </c>
      <c r="J44" s="41">
        <f t="shared" ca="1" si="8"/>
        <v>15655.473786037697</v>
      </c>
      <c r="K44" s="43">
        <f t="shared" ca="1" si="3"/>
        <v>-0.25745676488050506</v>
      </c>
      <c r="L44" s="41">
        <f ca="1">IF(C44&lt;&gt;"",I44 / SUM($H$3:H44),"")</f>
        <v>26047.587649071294</v>
      </c>
      <c r="M44" s="59">
        <f t="shared" ca="1" si="5"/>
        <v>1.2925601273120023E-2</v>
      </c>
      <c r="N44" s="41">
        <v>250</v>
      </c>
      <c r="O44" s="41">
        <f ca="1">IF(C44&lt;&gt;"",SUM($N$3:N44) / SUM($M$3:M44),"")</f>
        <v>27268.186428073292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57">
        <v>44865</v>
      </c>
      <c r="B45" s="58">
        <v>43</v>
      </c>
      <c r="C45" s="41">
        <f t="array" aca="1" ref="C45" ca="1">IF(MATCH(A45, 'weekly price'!A:A, 0), INDEX('weekly price'!B:B, MATCH(A45, 'weekly price'!A:A, 0)), "No Match")</f>
        <v>20490.86</v>
      </c>
      <c r="D45" s="43">
        <f ca="1">IF(C45&lt;&gt;"",(C45-$C$3)/$C$3,"")</f>
        <v>-0.50998732572877059</v>
      </c>
      <c r="E45" s="43">
        <f t="array" aca="1" ref="E45" ca="1">IF(C45&lt;&gt;"",IF(AND(D45&lt;-0.4,C45&lt;&gt;""),IF(MATCH(A45, 'weekly price'!A:A, 0), INDEX('weekly price'!J:J, MATCH(A45, 'weekly price'!A:A, 0)), "No Match")-(2*D45),IF(MATCH(A45, 'weekly price'!A:A, 0), INDEX('weekly price'!J:J, MATCH(A45, 'weekly price'!A:A, 0)), "No Match")-D45),"")</f>
        <v>2.0199746514575412</v>
      </c>
      <c r="F45" s="44" t="str">
        <f t="array" aca="1" ref="F45" ca="1">IF(MATCH(A45, 'weekly price'!A:A, 0), INDEX('weekly price'!K:K, MATCH(A45, 'weekly price'!A:A, 0)), "No Match")</f>
        <v/>
      </c>
      <c r="G45" s="41">
        <f t="shared" ca="1" si="9"/>
        <v>754.99366286438533</v>
      </c>
      <c r="H45" s="59">
        <f t="shared" ca="1" si="1"/>
        <v>3.6845386814627852E-2</v>
      </c>
      <c r="I45" s="41">
        <f ca="1">IF(C45&lt;&gt;"",SUM($G$3:G45),"")</f>
        <v>36769.359250100286</v>
      </c>
      <c r="J45" s="41">
        <f t="shared" ca="1" si="8"/>
        <v>14886.736908691164</v>
      </c>
      <c r="K45" s="43">
        <f t="shared" ca="1" si="3"/>
        <v>-0.20894948748118136</v>
      </c>
      <c r="L45" s="41">
        <f ca="1">IF(C45&lt;&gt;"",I45 / SUM($H$3:H45),"")</f>
        <v>25903.352157315661</v>
      </c>
      <c r="M45" s="59">
        <f t="shared" ca="1" si="5"/>
        <v>1.2200561616252319E-2</v>
      </c>
      <c r="N45" s="41">
        <v>250</v>
      </c>
      <c r="O45" s="41">
        <f ca="1">IF(C45&lt;&gt;"",SUM($N$3:N45) / SUM($M$3:M45),"")</f>
        <v>27060.045120487761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57">
        <v>44872</v>
      </c>
      <c r="B46" s="58">
        <v>44</v>
      </c>
      <c r="C46" s="41">
        <f t="array" aca="1" ref="C46" ca="1">IF(MATCH(A46, 'weekly price'!A:A, 0), INDEX('weekly price'!B:B, MATCH(A46, 'weekly price'!A:A, 0)), "No Match")</f>
        <v>20568.57</v>
      </c>
      <c r="D46" s="43">
        <f ca="1">IF(C46&lt;&gt;"",(C46-$C$3)/$C$3,"")</f>
        <v>-0.5081289906019083</v>
      </c>
      <c r="E46" s="43">
        <f t="array" aca="1" ref="E46" ca="1">IF(C46&lt;&gt;"",IF(AND(D46&lt;-0.4,C46&lt;&gt;""),IF(MATCH(A46, 'weekly price'!A:A, 0), INDEX('weekly price'!J:J, MATCH(A46, 'weekly price'!A:A, 0)), "No Match")-(2*D46),IF(MATCH(A46, 'weekly price'!A:A, 0), INDEX('weekly price'!J:J, MATCH(A46, 'weekly price'!A:A, 0)), "No Match")-D46),"")</f>
        <v>2.0162579812038164</v>
      </c>
      <c r="F46" s="44" t="str">
        <f t="array" aca="1" ref="F46" ca="1">IF(MATCH(A46, 'weekly price'!A:A, 0), INDEX('weekly price'!K:K, MATCH(A46, 'weekly price'!A:A, 0)), "No Match")</f>
        <v/>
      </c>
      <c r="G46" s="41">
        <f t="shared" ca="1" si="9"/>
        <v>754.06449530095415</v>
      </c>
      <c r="H46" s="59">
        <f t="shared" ca="1" si="1"/>
        <v>3.6661007318493907E-2</v>
      </c>
      <c r="I46" s="41">
        <f ca="1">IF(C46&lt;&gt;"",SUM($G$3:G46),"")</f>
        <v>37523.42374540124</v>
      </c>
      <c r="J46" s="41">
        <f t="shared" ca="1" si="8"/>
        <v>14131.743245826779</v>
      </c>
      <c r="K46" s="43">
        <f t="shared" ca="1" si="3"/>
        <v>-0.20181076290136291</v>
      </c>
      <c r="L46" s="41">
        <f ca="1">IF(C46&lt;&gt;"",I46 / SUM($H$3:H46),"")</f>
        <v>25769.03952597173</v>
      </c>
      <c r="M46" s="59">
        <f t="shared" ca="1" si="5"/>
        <v>1.2154466742218832E-2</v>
      </c>
      <c r="N46" s="41">
        <v>250</v>
      </c>
      <c r="O46" s="41">
        <f ca="1">IF(C46&lt;&gt;"",SUM($N$3:N46) / SUM($M$3:M46),"")</f>
        <v>26867.332053043538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57">
        <v>44879</v>
      </c>
      <c r="B47" s="58">
        <v>45</v>
      </c>
      <c r="C47" s="41">
        <f t="array" aca="1" ref="C47" ca="1">IF(MATCH(A47, 'weekly price'!A:A, 0), INDEX('weekly price'!B:B, MATCH(A47, 'weekly price'!A:A, 0)), "No Match")</f>
        <v>16629.48</v>
      </c>
      <c r="D47" s="43">
        <f ca="1">IF(C47&lt;&gt;"",(C47-$C$3)/$C$3,"")</f>
        <v>-0.60232728316235029</v>
      </c>
      <c r="E47" s="43">
        <f t="array" aca="1" ref="E47" ca="1">IF(C47&lt;&gt;"",IF(AND(D47&lt;-0.4,C47&lt;&gt;""),IF(MATCH(A47, 'weekly price'!A:A, 0), INDEX('weekly price'!J:J, MATCH(A47, 'weekly price'!A:A, 0)), "No Match")-(2*D47),IF(MATCH(A47, 'weekly price'!A:A, 0), INDEX('weekly price'!J:J, MATCH(A47, 'weekly price'!A:A, 0)), "No Match")-D47),"")</f>
        <v>3.7732796323815712</v>
      </c>
      <c r="F47" s="44">
        <f t="array" aca="1" ref="F47" ca="1">IF(MATCH(A47, 'weekly price'!A:A, 0), INDEX('weekly price'!K:K, MATCH(A47, 'weekly price'!A:A, 0)), "No Match")</f>
        <v>2</v>
      </c>
      <c r="G47" s="41">
        <f t="shared" ca="1" si="9"/>
        <v>1443.319908095393</v>
      </c>
      <c r="H47" s="59">
        <f t="shared" ca="1" si="1"/>
        <v>8.6792846685247699E-2</v>
      </c>
      <c r="I47" s="41">
        <f ca="1">IF(C47&lt;&gt;"",SUM($G$3:G47),"")</f>
        <v>38966.743653496633</v>
      </c>
      <c r="J47" s="41">
        <f t="shared" ca="1" si="8"/>
        <v>13377.678750525825</v>
      </c>
      <c r="K47" s="43">
        <f t="shared" ca="1" si="3"/>
        <v>-0.34153512681645842</v>
      </c>
      <c r="L47" s="41">
        <f ca="1">IF(C47&lt;&gt;"",I47 / SUM($H$3:H47),"")</f>
        <v>25254.923500474521</v>
      </c>
      <c r="M47" s="59">
        <f t="shared" ca="1" si="5"/>
        <v>1.5033542840786363E-2</v>
      </c>
      <c r="N47" s="41">
        <v>250</v>
      </c>
      <c r="O47" s="41">
        <f ca="1">IF(C47&lt;&gt;"",SUM($N$3:N47) / SUM($M$3:M47),"")</f>
        <v>26504.721110921746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57">
        <v>44886</v>
      </c>
      <c r="B48" s="58">
        <v>46</v>
      </c>
      <c r="C48" s="41">
        <f t="array" aca="1" ref="C48" ca="1">IF(MATCH(A48, 'weekly price'!A:A, 0), INDEX('weekly price'!B:B, MATCH(A48, 'weekly price'!A:A, 0)), "No Match")</f>
        <v>15778.02</v>
      </c>
      <c r="D48" s="43">
        <f ca="1">IF(C48&lt;&gt;"",(C48-$C$3)/$C$3,"")</f>
        <v>-0.6226888585981778</v>
      </c>
      <c r="E48" s="43">
        <f t="array" aca="1" ref="E48" ca="1">IF(C48&lt;&gt;"",IF(AND(D48&lt;-0.4,C48&lt;&gt;""),IF(MATCH(A48, 'weekly price'!A:A, 0), INDEX('weekly price'!J:J, MATCH(A48, 'weekly price'!A:A, 0)), "No Match")-(2*D48),IF(MATCH(A48, 'weekly price'!A:A, 0), INDEX('weekly price'!J:J, MATCH(A48, 'weekly price'!A:A, 0)), "No Match")-D48),"")</f>
        <v>3.5331053135520412</v>
      </c>
      <c r="F48" s="44">
        <f t="array" aca="1" ref="F48" ca="1">IF(MATCH(A48, 'weekly price'!A:A, 0), INDEX('weekly price'!K:K, MATCH(A48, 'weekly price'!A:A, 0)), "No Match")</f>
        <v>2</v>
      </c>
      <c r="G48" s="41">
        <f t="shared" ca="1" si="9"/>
        <v>1383.2763283880104</v>
      </c>
      <c r="H48" s="59">
        <f t="shared" ca="1" si="1"/>
        <v>8.7671097411969962E-2</v>
      </c>
      <c r="I48" s="41">
        <f ca="1">IF(C48&lt;&gt;"",SUM($G$3:G48),"")</f>
        <v>40350.019981884645</v>
      </c>
      <c r="J48" s="41">
        <f t="shared" ca="1" si="8"/>
        <v>11934.358842430433</v>
      </c>
      <c r="K48" s="43">
        <f t="shared" ca="1" si="3"/>
        <v>-0.36238545772677561</v>
      </c>
      <c r="L48" s="41">
        <f ca="1">IF(C48&lt;&gt;"",I48 / SUM($H$3:H48),"")</f>
        <v>24745.389187248111</v>
      </c>
      <c r="M48" s="59">
        <f t="shared" ca="1" si="5"/>
        <v>1.5844827170963149E-2</v>
      </c>
      <c r="N48" s="41">
        <v>250</v>
      </c>
      <c r="O48" s="41">
        <f ca="1">IF(C48&lt;&gt;"",SUM($N$3:N48) / SUM($M$3:M48),"")</f>
        <v>26118.703200050611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57">
        <v>44893</v>
      </c>
      <c r="B49" s="58">
        <v>47</v>
      </c>
      <c r="C49" s="41">
        <f t="array" aca="1" ref="C49" ca="1">IF(MATCH(A49, 'weekly price'!A:A, 0), INDEX('weekly price'!B:B, MATCH(A49, 'weekly price'!A:A, 0)), "No Match")</f>
        <v>16212.58</v>
      </c>
      <c r="D49" s="43">
        <f ca="1">IF(C49&lt;&gt;"",(C49-$C$3)/$C$3,"")</f>
        <v>-0.61229691273883824</v>
      </c>
      <c r="E49" s="43">
        <f t="array" aca="1" ref="E49" ca="1">IF(C49&lt;&gt;"",IF(AND(D49&lt;-0.4,C49&lt;&gt;""),IF(MATCH(A49, 'weekly price'!A:A, 0), INDEX('weekly price'!J:J, MATCH(A49, 'weekly price'!A:A, 0)), "No Match")-(2*D49),IF(MATCH(A49, 'weekly price'!A:A, 0), INDEX('weekly price'!J:J, MATCH(A49, 'weekly price'!A:A, 0)), "No Match")-D49),"")</f>
        <v>2.2245938254776765</v>
      </c>
      <c r="F49" s="44" t="str">
        <f t="array" aca="1" ref="F49" ca="1">IF(MATCH(A49, 'weekly price'!A:A, 0), INDEX('weekly price'!K:K, MATCH(A49, 'weekly price'!A:A, 0)), "No Match")</f>
        <v/>
      </c>
      <c r="G49" s="41">
        <f t="shared" ca="1" si="9"/>
        <v>806.14845636941914</v>
      </c>
      <c r="H49" s="59">
        <f t="shared" ca="1" si="1"/>
        <v>4.9723637839839137E-2</v>
      </c>
      <c r="I49" s="41">
        <f ca="1">IF(C49&lt;&gt;"",SUM($G$3:G49),"")</f>
        <v>41156.168438254062</v>
      </c>
      <c r="J49" s="41">
        <f t="shared" ca="1" si="8"/>
        <v>10551.082514042422</v>
      </c>
      <c r="K49" s="43">
        <f t="shared" ca="1" si="3"/>
        <v>-0.3380699453892525</v>
      </c>
      <c r="L49" s="41">
        <f ca="1">IF(C49&lt;&gt;"",I49 / SUM($H$3:H49),"")</f>
        <v>24492.889976923496</v>
      </c>
      <c r="M49" s="59">
        <f t="shared" ca="1" si="5"/>
        <v>1.542012437255514E-2</v>
      </c>
      <c r="N49" s="41">
        <v>250</v>
      </c>
      <c r="O49" s="41">
        <f ca="1">IF(C49&lt;&gt;"",SUM($N$3:N49) / SUM($M$3:M49),"")</f>
        <v>25783.509562455132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57">
        <v>44900</v>
      </c>
      <c r="B50" s="58">
        <v>48</v>
      </c>
      <c r="C50" s="41">
        <f t="array" aca="1" ref="C50" ca="1">IF(MATCH(A50, 'weekly price'!A:A, 0), INDEX('weekly price'!B:B, MATCH(A50, 'weekly price'!A:A, 0)), "No Match")</f>
        <v>16961.349999999999</v>
      </c>
      <c r="D50" s="43">
        <f ca="1">IF(C50&lt;&gt;"",(C50-$C$3)/$C$3,"")</f>
        <v>-0.59439103713800612</v>
      </c>
      <c r="E50" s="43">
        <f t="array" aca="1" ref="E50" ca="1">IF(C50&lt;&gt;"",IF(AND(D50&lt;-0.4,C50&lt;&gt;""),IF(MATCH(A50, 'weekly price'!A:A, 0), INDEX('weekly price'!J:J, MATCH(A50, 'weekly price'!A:A, 0)), "No Match")-(2*D50),IF(MATCH(A50, 'weekly price'!A:A, 0), INDEX('weekly price'!J:J, MATCH(A50, 'weekly price'!A:A, 0)), "No Match")-D50),"")</f>
        <v>2.1887820742760122</v>
      </c>
      <c r="F50" s="44" t="str">
        <f t="array" aca="1" ref="F50" ca="1">IF(MATCH(A50, 'weekly price'!A:A, 0), INDEX('weekly price'!K:K, MATCH(A50, 'weekly price'!A:A, 0)), "No Match")</f>
        <v/>
      </c>
      <c r="G50" s="41">
        <f t="shared" ca="1" si="9"/>
        <v>797.19551856900307</v>
      </c>
      <c r="H50" s="59">
        <f t="shared" ca="1" si="1"/>
        <v>4.7000711533516093E-2</v>
      </c>
      <c r="I50" s="41">
        <f ca="1">IF(C50&lt;&gt;"",SUM($G$3:G50),"")</f>
        <v>41953.363956823065</v>
      </c>
      <c r="J50" s="41">
        <f t="shared" ca="1" si="8"/>
        <v>9744.9340576730028</v>
      </c>
      <c r="K50" s="43">
        <f t="shared" ca="1" si="3"/>
        <v>-0.30165595300278802</v>
      </c>
      <c r="L50" s="41">
        <f ca="1">IF(C50&lt;&gt;"",I50 / SUM($H$3:H50),"")</f>
        <v>24287.956735554035</v>
      </c>
      <c r="M50" s="59">
        <f t="shared" ca="1" si="5"/>
        <v>1.4739392795974379E-2</v>
      </c>
      <c r="N50" s="41">
        <v>250</v>
      </c>
      <c r="O50" s="41">
        <f ca="1">IF(C50&lt;&gt;"",SUM($N$3:N50) / SUM($M$3:M50),"")</f>
        <v>25507.111788769293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57">
        <v>44907</v>
      </c>
      <c r="B51" s="58">
        <v>49</v>
      </c>
      <c r="C51" s="41">
        <f t="array" aca="1" ref="C51" ca="1">IF(MATCH(A51, 'weekly price'!A:A, 0), INDEX('weekly price'!B:B, MATCH(A51, 'weekly price'!A:A, 0)), "No Match")</f>
        <v>17195.53</v>
      </c>
      <c r="D51" s="43">
        <f ca="1">IF(C51&lt;&gt;"",(C51-$C$3)/$C$3,"")</f>
        <v>-0.58879092235215347</v>
      </c>
      <c r="E51" s="43">
        <f t="array" aca="1" ref="E51" ca="1">IF(C51&lt;&gt;"",IF(AND(D51&lt;-0.4,C51&lt;&gt;""),IF(MATCH(A51, 'weekly price'!A:A, 0), INDEX('weekly price'!J:J, MATCH(A51, 'weekly price'!A:A, 0)), "No Match")-(2*D51),IF(MATCH(A51, 'weekly price'!A:A, 0), INDEX('weekly price'!J:J, MATCH(A51, 'weekly price'!A:A, 0)), "No Match")-D51),"")</f>
        <v>2.1775818447043069</v>
      </c>
      <c r="F51" s="44" t="str">
        <f t="array" aca="1" ref="F51" ca="1">IF(MATCH(A51, 'weekly price'!A:A, 0), INDEX('weekly price'!K:K, MATCH(A51, 'weekly price'!A:A, 0)), "No Match")</f>
        <v/>
      </c>
      <c r="G51" s="41">
        <f t="shared" ca="1" si="9"/>
        <v>794.39546117607676</v>
      </c>
      <c r="H51" s="59">
        <f t="shared" ca="1" si="1"/>
        <v>4.619778867973693E-2</v>
      </c>
      <c r="I51" s="41">
        <f ca="1">IF(C51&lt;&gt;"",SUM($G$3:G51),"")</f>
        <v>42747.759417999143</v>
      </c>
      <c r="J51" s="41">
        <f t="shared" ca="1" si="8"/>
        <v>8947.7385391040007</v>
      </c>
      <c r="K51" s="43">
        <f t="shared" ca="1" si="3"/>
        <v>-0.28658754409684978</v>
      </c>
      <c r="L51" s="41">
        <f ca="1">IF(C51&lt;&gt;"",I51 / SUM($H$3:H51),"")</f>
        <v>24103.209661837456</v>
      </c>
      <c r="M51" s="59">
        <f t="shared" ca="1" si="5"/>
        <v>1.4538662082529588E-2</v>
      </c>
      <c r="N51" s="41">
        <v>250</v>
      </c>
      <c r="O51" s="41">
        <f ca="1">IF(C51&lt;&gt;"",SUM($N$3:N51) / SUM($M$3:M51),"")</f>
        <v>25257.9564219936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57">
        <v>44914</v>
      </c>
      <c r="B52" s="58">
        <v>50</v>
      </c>
      <c r="C52" s="41">
        <f t="array" aca="1" ref="C52" ca="1">IF(MATCH(A52, 'weekly price'!A:A, 0), INDEX('weekly price'!B:B, MATCH(A52, 'weekly price'!A:A, 0)), "No Match")</f>
        <v>16424.13</v>
      </c>
      <c r="D52" s="43">
        <f ca="1">IF(C52&lt;&gt;"",(C52-$C$3)/$C$3,"")</f>
        <v>-0.60723796542076192</v>
      </c>
      <c r="E52" s="43">
        <f t="array" aca="1" ref="E52" ca="1">IF(C52&lt;&gt;"",IF(AND(D52&lt;-0.4,C52&lt;&gt;""),IF(MATCH(A52, 'weekly price'!A:A, 0), INDEX('weekly price'!J:J, MATCH(A52, 'weekly price'!A:A, 0)), "No Match")-(2*D52),IF(MATCH(A52, 'weekly price'!A:A, 0), INDEX('weekly price'!J:J, MATCH(A52, 'weekly price'!A:A, 0)), "No Match")-D52),"")</f>
        <v>2.2144759308415241</v>
      </c>
      <c r="F52" s="44" t="str">
        <f t="array" aca="1" ref="F52" ca="1">IF(MATCH(A52, 'weekly price'!A:A, 0), INDEX('weekly price'!K:K, MATCH(A52, 'weekly price'!A:A, 0)), "No Match")</f>
        <v/>
      </c>
      <c r="G52" s="41">
        <f t="shared" ca="1" si="9"/>
        <v>803.61898271038103</v>
      </c>
      <c r="H52" s="59">
        <f t="shared" ca="1" si="1"/>
        <v>4.8929165971675882E-2</v>
      </c>
      <c r="I52" s="41">
        <f ca="1">IF(C52&lt;&gt;"",SUM($G$3:G52),"")</f>
        <v>43551.378400709524</v>
      </c>
      <c r="J52" s="41">
        <f t="shared" ca="1" si="8"/>
        <v>8153.3430779279242</v>
      </c>
      <c r="K52" s="43">
        <f t="shared" ca="1" si="3"/>
        <v>-0.31271286321829239</v>
      </c>
      <c r="L52" s="41">
        <f ca="1">IF(C52&lt;&gt;"",I52 / SUM($H$3:H52),"")</f>
        <v>23897.042620217908</v>
      </c>
      <c r="M52" s="59">
        <f t="shared" ca="1" si="5"/>
        <v>1.5221506405514324E-2</v>
      </c>
      <c r="N52" s="41">
        <v>250</v>
      </c>
      <c r="O52" s="41">
        <f ca="1">IF(C52&lt;&gt;"",SUM($N$3:N52) / SUM($M$3:M52),"")</f>
        <v>24989.144900789586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57">
        <v>44921</v>
      </c>
      <c r="B53" s="58">
        <v>51</v>
      </c>
      <c r="C53" s="41">
        <f t="array" aca="1" ref="C53" ca="1">IF(MATCH(A53, 'weekly price'!A:A, 0), INDEX('weekly price'!B:B, MATCH(A53, 'weekly price'!A:A, 0)), "No Match")</f>
        <v>16879.939999999999</v>
      </c>
      <c r="D53" s="43">
        <f ca="1">IF(C53&lt;&gt;"",(C53-$C$3)/$C$3,"")</f>
        <v>-0.59633785302628117</v>
      </c>
      <c r="E53" s="43">
        <f t="array" aca="1" ref="E53" ca="1">IF(C53&lt;&gt;"",IF(AND(D53&lt;-0.4,C53&lt;&gt;""),IF(MATCH(A53, 'weekly price'!A:A, 0), INDEX('weekly price'!J:J, MATCH(A53, 'weekly price'!A:A, 0)), "No Match")-(2*D53),IF(MATCH(A53, 'weekly price'!A:A, 0), INDEX('weekly price'!J:J, MATCH(A53, 'weekly price'!A:A, 0)), "No Match")-D53),"")</f>
        <v>2.1926757060525626</v>
      </c>
      <c r="F53" s="44" t="str">
        <f t="array" aca="1" ref="F53" ca="1">IF(MATCH(A53, 'weekly price'!A:A, 0), INDEX('weekly price'!K:K, MATCH(A53, 'weekly price'!A:A, 0)), "No Match")</f>
        <v/>
      </c>
      <c r="G53" s="41">
        <f t="shared" ca="1" si="9"/>
        <v>798.1689265131406</v>
      </c>
      <c r="H53" s="59">
        <f t="shared" ca="1" si="1"/>
        <v>4.7285057086289446E-2</v>
      </c>
      <c r="I53" s="41">
        <f ca="1">IF(C53&lt;&gt;"",SUM($G$3:G53),"")</f>
        <v>44349.547327222666</v>
      </c>
      <c r="J53" s="41">
        <f t="shared" ca="1" si="8"/>
        <v>7349.7240952175434</v>
      </c>
      <c r="K53" s="43">
        <f t="shared" ca="1" si="3"/>
        <v>-0.28835426760306143</v>
      </c>
      <c r="L53" s="41">
        <f ca="1">IF(C53&lt;&gt;"",I53 / SUM($H$3:H53),"")</f>
        <v>23719.582977256978</v>
      </c>
      <c r="M53" s="59">
        <f t="shared" ca="1" si="5"/>
        <v>1.4810479184167717E-2</v>
      </c>
      <c r="N53" s="41">
        <v>250</v>
      </c>
      <c r="O53" s="41">
        <f ca="1">IF(C53&lt;&gt;"",SUM($N$3:N53) / SUM($M$3:M53),"")</f>
        <v>24755.951198582567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57">
        <v>44928</v>
      </c>
      <c r="B54" s="58">
        <v>52</v>
      </c>
      <c r="C54" s="41">
        <f t="array" aca="1" ref="C54" ca="1">IF(MATCH(A54, 'weekly price'!A:A, 0), INDEX('weekly price'!B:B, MATCH(A54, 'weekly price'!A:A, 0)), "No Match")</f>
        <v>16688.72</v>
      </c>
      <c r="D54" s="43">
        <f ca="1">IF(C54&lt;&gt;"",(C54-$C$3)/$C$3,"")</f>
        <v>-0.60091063443097303</v>
      </c>
      <c r="E54" s="43">
        <f t="array" aca="1" ref="E54" ca="1">IF(C54&lt;&gt;"",IF(AND(D54&lt;-0.4,C54&lt;&gt;""),IF(MATCH(A54, 'weekly price'!A:A, 0), INDEX('weekly price'!J:J, MATCH(A54, 'weekly price'!A:A, 0)), "No Match")-(2*D54),IF(MATCH(A54, 'weekly price'!A:A, 0), INDEX('weekly price'!J:J, MATCH(A54, 'weekly price'!A:A, 0)), "No Match")-D54),"")</f>
        <v>2.2018212688619458</v>
      </c>
      <c r="F54" s="44" t="str">
        <f t="array" aca="1" ref="F54" ca="1">IF(MATCH(A54, 'weekly price'!A:A, 0), INDEX('weekly price'!K:K, MATCH(A54, 'weekly price'!A:A, 0)), "No Match")</f>
        <v/>
      </c>
      <c r="G54" s="41">
        <f t="shared" ca="1" si="9"/>
        <v>800.4553172154865</v>
      </c>
      <c r="H54" s="59">
        <f t="shared" ca="1" si="1"/>
        <v>4.7963853262292522E-2</v>
      </c>
      <c r="I54" s="41">
        <f ca="1">IF(C54&lt;&gt;"",SUM($G$3:G54),"")</f>
        <v>45150.002644438151</v>
      </c>
      <c r="J54" s="41">
        <f t="shared" ca="1" si="8"/>
        <v>6551.5551687044026</v>
      </c>
      <c r="K54" s="43">
        <f t="shared" ca="1" si="3"/>
        <v>-0.29116086181034279</v>
      </c>
      <c r="L54" s="41">
        <f ca="1">IF(C54&lt;&gt;"",I54 / SUM($H$3:H54),"")</f>
        <v>23543.733833069982</v>
      </c>
      <c r="M54" s="59">
        <f t="shared" ca="1" si="5"/>
        <v>1.4980178228168486E-2</v>
      </c>
      <c r="N54" s="41">
        <v>250</v>
      </c>
      <c r="O54" s="41">
        <f ca="1">IF(C54&lt;&gt;"",SUM($N$3:N54) / SUM($M$3:M54),"")</f>
        <v>24527.938424209435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57">
        <v>44935</v>
      </c>
      <c r="B55" s="58">
        <v>53</v>
      </c>
      <c r="C55" s="41">
        <f t="array" aca="1" ref="C55" ca="1">IF(MATCH(A55, 'weekly price'!A:A, 0), INDEX('weekly price'!B:B, MATCH(A55, 'weekly price'!A:A, 0)), "No Match")</f>
        <v>17182.32</v>
      </c>
      <c r="D55" s="43">
        <f ca="1">IF(C55&lt;&gt;"",(C55-$C$3)/$C$3,"")</f>
        <v>-0.58910682258411651</v>
      </c>
      <c r="E55" s="43">
        <f t="array" aca="1" ref="E55" ca="1">IF(C55&lt;&gt;"",IF(AND(D55&lt;-0.4,C55&lt;&gt;""),IF(MATCH(A55, 'weekly price'!A:A, 0), INDEX('weekly price'!J:J, MATCH(A55, 'weekly price'!A:A, 0)), "No Match")-(2*D55),IF(MATCH(A55, 'weekly price'!A:A, 0), INDEX('weekly price'!J:J, MATCH(A55, 'weekly price'!A:A, 0)), "No Match")-D55),"")</f>
        <v>2.178213645168233</v>
      </c>
      <c r="F55" s="44" t="str">
        <f t="array" aca="1" ref="F55" ca="1">IF(MATCH(A55, 'weekly price'!A:A, 0), INDEX('weekly price'!K:K, MATCH(A55, 'weekly price'!A:A, 0)), "No Match")</f>
        <v/>
      </c>
      <c r="G55" s="41">
        <f t="shared" ca="1" si="9"/>
        <v>794.55341129205829</v>
      </c>
      <c r="H55" s="59">
        <f t="shared" ca="1" si="1"/>
        <v>4.6242498759891462E-2</v>
      </c>
      <c r="I55" s="41">
        <f ca="1">IF(C55&lt;&gt;"",SUM($G$3:G55),"")</f>
        <v>45944.556055730209</v>
      </c>
      <c r="J55" s="41">
        <f t="shared" ca="1" si="8"/>
        <v>5751.0998514889161</v>
      </c>
      <c r="K55" s="43">
        <f t="shared" ca="1" si="3"/>
        <v>-0.26552292904025065</v>
      </c>
      <c r="L55" s="41">
        <f ca="1">IF(C55&lt;&gt;"",I55 / SUM($H$3:H55),"")</f>
        <v>23393.950171307148</v>
      </c>
      <c r="M55" s="59">
        <f t="shared" ca="1" si="5"/>
        <v>1.4549839602568221E-2</v>
      </c>
      <c r="N55" s="41">
        <v>250</v>
      </c>
      <c r="O55" s="41">
        <f ca="1">IF(C55&lt;&gt;"",SUM($N$3:N55) / SUM($M$3:M55),"")</f>
        <v>24331.673508356449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57">
        <v>44942</v>
      </c>
      <c r="B56" s="58">
        <v>54</v>
      </c>
      <c r="C56" s="41">
        <f t="array" aca="1" ref="C56" ca="1">IF(MATCH(A56, 'weekly price'!A:A, 0), INDEX('weekly price'!B:B, MATCH(A56, 'weekly price'!A:A, 0)), "No Match")</f>
        <v>21180.41</v>
      </c>
      <c r="D56" s="43">
        <f ca="1">IF(C56&lt;&gt;"",(C56-$C$3)/$C$3,"")</f>
        <v>-0.49349762058492957</v>
      </c>
      <c r="E56" s="43">
        <f t="array" aca="1" ref="E56" ca="1">IF(C56&lt;&gt;"",IF(AND(D56&lt;-0.4,C56&lt;&gt;""),IF(MATCH(A56, 'weekly price'!A:A, 0), INDEX('weekly price'!J:J, MATCH(A56, 'weekly price'!A:A, 0)), "No Match")-(2*D56),IF(MATCH(A56, 'weekly price'!A:A, 0), INDEX('weekly price'!J:J, MATCH(A56, 'weekly price'!A:A, 0)), "No Match")-D56),"")</f>
        <v>1.986995241169859</v>
      </c>
      <c r="F56" s="44" t="str">
        <f t="array" aca="1" ref="F56" ca="1">IF(MATCH(A56, 'weekly price'!A:A, 0), INDEX('weekly price'!K:K, MATCH(A56, 'weekly price'!A:A, 0)), "No Match")</f>
        <v/>
      </c>
      <c r="G56" s="41">
        <f t="shared" ca="1" si="9"/>
        <v>746.74881029246478</v>
      </c>
      <c r="H56" s="59">
        <f t="shared" ca="1" si="1"/>
        <v>3.5256579560663123E-2</v>
      </c>
      <c r="I56" s="41">
        <f ca="1">IF(C56&lt;&gt;"",SUM($G$3:G56),"")</f>
        <v>46691.30486602267</v>
      </c>
      <c r="J56" s="41">
        <f t="shared" ca="1" si="8"/>
        <v>4956.5464401968575</v>
      </c>
      <c r="K56" s="43">
        <f t="shared" ca="1" si="3"/>
        <v>-9.3106906149125562E-2</v>
      </c>
      <c r="L56" s="41">
        <f ca="1">IF(C56&lt;&gt;"",I56 / SUM($H$3:H56),"")</f>
        <v>23354.913763940091</v>
      </c>
      <c r="M56" s="59">
        <f t="shared" ca="1" si="5"/>
        <v>1.1803359802761136E-2</v>
      </c>
      <c r="N56" s="41">
        <v>250</v>
      </c>
      <c r="O56" s="41">
        <f ca="1">IF(C56&lt;&gt;"",SUM($N$3:N56) / SUM($M$3:M56),"")</f>
        <v>24264.818546430975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57">
        <v>44949</v>
      </c>
      <c r="B57" s="58">
        <v>55</v>
      </c>
      <c r="C57" s="41">
        <f t="array" aca="1" ref="C57" ca="1">IF(MATCH(A57, 'weekly price'!A:A, 0), INDEX('weekly price'!B:B, MATCH(A57, 'weekly price'!A:A, 0)), "No Match")</f>
        <v>22929.02</v>
      </c>
      <c r="D57" s="43">
        <f ca="1">IF(C57&lt;&gt;"",(C57-$C$3)/$C$3,"")</f>
        <v>-0.45168185187842264</v>
      </c>
      <c r="E57" s="43">
        <f t="array" aca="1" ref="E57" ca="1">IF(C57&lt;&gt;"",IF(AND(D57&lt;-0.4,C57&lt;&gt;""),IF(MATCH(A57, 'weekly price'!A:A, 0), INDEX('weekly price'!J:J, MATCH(A57, 'weekly price'!A:A, 0)), "No Match")-(2*D57),IF(MATCH(A57, 'weekly price'!A:A, 0), INDEX('weekly price'!J:J, MATCH(A57, 'weekly price'!A:A, 0)), "No Match")-D57),"")</f>
        <v>0.54221952279666485</v>
      </c>
      <c r="F57" s="44">
        <f t="array" aca="1" ref="F57" ca="1">IF(MATCH(A57, 'weekly price'!A:A, 0), INDEX('weekly price'!K:K, MATCH(A57, 'weekly price'!A:A, 0)), "No Match")</f>
        <v>-2</v>
      </c>
      <c r="G57" s="41">
        <f t="shared" ca="1" si="9"/>
        <v>-364.44511930083377</v>
      </c>
      <c r="H57" s="59">
        <f t="shared" ca="1" si="1"/>
        <v>-1.5894491753281812E-2</v>
      </c>
      <c r="I57" s="41">
        <f ca="1">IF(C57&lt;&gt;"",SUM($G$3:G57),"")</f>
        <v>46326.859746721835</v>
      </c>
      <c r="J57" s="41">
        <f t="shared" ca="1" si="8"/>
        <v>4209.797629904393</v>
      </c>
      <c r="K57" s="43">
        <f t="shared" ca="1" si="3"/>
        <v>-1.8379181286706257E-2</v>
      </c>
      <c r="L57" s="41">
        <f ca="1">IF(C57&lt;&gt;"",I57 / SUM($H$3:H57),"")</f>
        <v>23358.326925110763</v>
      </c>
      <c r="M57" s="59">
        <f t="shared" ca="1" si="5"/>
        <v>1.0903213482303211E-2</v>
      </c>
      <c r="N57" s="41">
        <v>250</v>
      </c>
      <c r="O57" s="41">
        <f ca="1">IF(C57&lt;&gt;"",SUM($N$3:N57) / SUM($M$3:M57),"")</f>
        <v>24239.143569918539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57">
        <v>44956</v>
      </c>
      <c r="B58" s="58">
        <v>56</v>
      </c>
      <c r="C58" s="41">
        <f t="array" aca="1" ref="C58" ca="1">IF(MATCH(A58, 'weekly price'!A:A, 0), INDEX('weekly price'!B:B, MATCH(A58, 'weekly price'!A:A, 0)), "No Match")</f>
        <v>22799.43</v>
      </c>
      <c r="D58" s="43">
        <f ca="1">IF(C58&lt;&gt;"",(C58-$C$3)/$C$3,"")</f>
        <v>-0.4547808307626085</v>
      </c>
      <c r="E58" s="43">
        <f t="array" aca="1" ref="E58" ca="1">IF(C58&lt;&gt;"",IF(AND(D58&lt;-0.4,C58&lt;&gt;""),IF(MATCH(A58, 'weekly price'!A:A, 0), INDEX('weekly price'!J:J, MATCH(A58, 'weekly price'!A:A, 0)), "No Match")-(2*D58),IF(MATCH(A58, 'weekly price'!A:A, 0), INDEX('weekly price'!J:J, MATCH(A58, 'weekly price'!A:A, 0)), "No Match")-D58),"")</f>
        <v>0.70233772081331503</v>
      </c>
      <c r="F58" s="44">
        <f t="array" aca="1" ref="F58" ca="1">IF(MATCH(A58, 'weekly price'!A:A, 0), INDEX('weekly price'!K:K, MATCH(A58, 'weekly price'!A:A, 0)), "No Match")</f>
        <v>-2</v>
      </c>
      <c r="G58" s="41">
        <f t="shared" ca="1" si="9"/>
        <v>-324.41556979667126</v>
      </c>
      <c r="H58" s="59">
        <f t="shared" ca="1" si="1"/>
        <v>-1.4229108788977235E-2</v>
      </c>
      <c r="I58" s="41">
        <f ca="1">IF(C58&lt;&gt;"",SUM($G$3:G58),"")</f>
        <v>46002.444176925164</v>
      </c>
      <c r="J58" s="41">
        <f t="shared" ca="1" si="8"/>
        <v>4574.2427492052266</v>
      </c>
      <c r="K58" s="43">
        <f t="shared" ca="1" si="3"/>
        <v>-2.4095832932649757E-2</v>
      </c>
      <c r="L58" s="41">
        <f ca="1">IF(C58&lt;&gt;"",I58 / SUM($H$3:H58),"")</f>
        <v>23362.36565985125</v>
      </c>
      <c r="M58" s="59">
        <f t="shared" ca="1" si="5"/>
        <v>1.0965186410362013E-2</v>
      </c>
      <c r="N58" s="41">
        <v>250</v>
      </c>
      <c r="O58" s="41">
        <f ca="1">IF(C58&lt;&gt;"",SUM($N$3:N58) / SUM($M$3:M58),"")</f>
        <v>24211.841730502154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57">
        <v>44963</v>
      </c>
      <c r="B59" s="58">
        <v>57</v>
      </c>
      <c r="C59" s="41">
        <f t="array" aca="1" ref="C59" ca="1">IF(MATCH(A59, 'weekly price'!A:A, 0), INDEX('weekly price'!B:B, MATCH(A59, 'weekly price'!A:A, 0)), "No Match")</f>
        <v>22745.17</v>
      </c>
      <c r="D59" s="43">
        <f ca="1">IF(C59&lt;&gt;"",(C59-$C$3)/$C$3,"")</f>
        <v>-0.45607838917186794</v>
      </c>
      <c r="E59" s="43">
        <f t="array" aca="1" ref="E59" ca="1">IF(C59&lt;&gt;"",IF(AND(D59&lt;-0.4,C59&lt;&gt;""),IF(MATCH(A59, 'weekly price'!A:A, 0), INDEX('weekly price'!J:J, MATCH(A59, 'weekly price'!A:A, 0)), "No Match")-(2*D59),IF(MATCH(A59, 'weekly price'!A:A, 0), INDEX('weekly price'!J:J, MATCH(A59, 'weekly price'!A:A, 0)), "No Match")-D59),"")</f>
        <v>0.71227060149059229</v>
      </c>
      <c r="F59" s="44">
        <f t="array" aca="1" ref="F59" ca="1">IF(MATCH(A59, 'weekly price'!A:A, 0), INDEX('weekly price'!K:K, MATCH(A59, 'weekly price'!A:A, 0)), "No Match")</f>
        <v>-2</v>
      </c>
      <c r="G59" s="41">
        <f t="shared" ca="1" si="9"/>
        <v>-321.93234962735198</v>
      </c>
      <c r="H59" s="59">
        <f t="shared" ca="1" si="1"/>
        <v>-1.4153877488159113E-2</v>
      </c>
      <c r="I59" s="41">
        <f ca="1">IF(C59&lt;&gt;"",SUM($G$3:G59),"")</f>
        <v>45680.511827297814</v>
      </c>
      <c r="J59" s="41">
        <f t="shared" ca="1" si="8"/>
        <v>4898.6583190018982</v>
      </c>
      <c r="K59" s="43">
        <f t="shared" ca="1" si="3"/>
        <v>-2.6604554565486421E-2</v>
      </c>
      <c r="L59" s="41">
        <f ca="1">IF(C59&lt;&gt;"",I59 / SUM($H$3:H59),"")</f>
        <v>23366.83421592012</v>
      </c>
      <c r="M59" s="59">
        <f t="shared" ca="1" si="5"/>
        <v>1.0991344536004788E-2</v>
      </c>
      <c r="N59" s="41">
        <v>250</v>
      </c>
      <c r="O59" s="41">
        <f ca="1">IF(C59&lt;&gt;"",SUM($N$3:N59) / SUM($M$3:M59),"")</f>
        <v>24184.482386808711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57">
        <v>44970</v>
      </c>
      <c r="B60" s="58">
        <v>58</v>
      </c>
      <c r="C60" s="41">
        <f t="array" aca="1" ref="C60" ca="1">IF(MATCH(A60, 'weekly price'!A:A, 0), INDEX('weekly price'!B:B, MATCH(A60, 'weekly price'!A:A, 0)), "No Match")</f>
        <v>21798.720000000001</v>
      </c>
      <c r="D60" s="43">
        <f ca="1">IF(C60&lt;&gt;"",(C60-$C$3)/$C$3,"")</f>
        <v>-0.47871152880407486</v>
      </c>
      <c r="E60" s="43">
        <f t="array" aca="1" ref="E60" ca="1">IF(C60&lt;&gt;"",IF(AND(D60&lt;-0.4,C60&lt;&gt;""),IF(MATCH(A60, 'weekly price'!A:A, 0), INDEX('weekly price'!J:J, MATCH(A60, 'weekly price'!A:A, 0)), "No Match")-(2*D60),IF(MATCH(A60, 'weekly price'!A:A, 0), INDEX('weekly price'!J:J, MATCH(A60, 'weekly price'!A:A, 0)), "No Match")-D60),"")</f>
        <v>1.9574230576081497</v>
      </c>
      <c r="F60" s="44" t="str">
        <f t="array" aca="1" ref="F60" ca="1">IF(MATCH(A60, 'weekly price'!A:A, 0), INDEX('weekly price'!K:K, MATCH(A60, 'weekly price'!A:A, 0)), "No Match")</f>
        <v/>
      </c>
      <c r="G60" s="41">
        <f t="shared" ca="1" si="9"/>
        <v>739.35576440203738</v>
      </c>
      <c r="H60" s="59">
        <f t="shared" ca="1" si="1"/>
        <v>3.3917393516777007E-2</v>
      </c>
      <c r="I60" s="41">
        <f ca="1">IF(C60&lt;&gt;"",SUM($G$3:G60),"")</f>
        <v>46419.867591699855</v>
      </c>
      <c r="J60" s="41">
        <f t="shared" ca="1" si="8"/>
        <v>5220.5906686292501</v>
      </c>
      <c r="K60" s="43">
        <f t="shared" ca="1" si="3"/>
        <v>-6.6039667599848528E-2</v>
      </c>
      <c r="L60" s="41">
        <f ca="1">IF(C60&lt;&gt;"",I60 / SUM($H$3:H60),"")</f>
        <v>23340.091911591411</v>
      </c>
      <c r="M60" s="59">
        <f t="shared" ca="1" si="5"/>
        <v>1.1468563291789609E-2</v>
      </c>
      <c r="N60" s="41">
        <v>250</v>
      </c>
      <c r="O60" s="41">
        <f ca="1">IF(C60&lt;&gt;"",SUM($N$3:N60) / SUM($M$3:M60),"")</f>
        <v>24138.932608975974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57">
        <v>44977</v>
      </c>
      <c r="B61" s="58">
        <v>59</v>
      </c>
      <c r="C61" s="41">
        <f t="array" aca="1" ref="C61" ca="1">IF(MATCH(A61, 'weekly price'!A:A, 0), INDEX('weekly price'!B:B, MATCH(A61, 'weekly price'!A:A, 0)), "No Match")</f>
        <v>24797.84</v>
      </c>
      <c r="D61" s="43">
        <f ca="1">IF(C61&lt;&gt;"",(C61-$C$3)/$C$3,"")</f>
        <v>-0.40699141497477104</v>
      </c>
      <c r="E61" s="43">
        <f t="array" aca="1" ref="E61" ca="1">IF(C61&lt;&gt;"",IF(AND(D61&lt;-0.4,C61&lt;&gt;""),IF(MATCH(A61, 'weekly price'!A:A, 0), INDEX('weekly price'!J:J, MATCH(A61, 'weekly price'!A:A, 0)), "No Match")-(2*D61),IF(MATCH(A61, 'weekly price'!A:A, 0), INDEX('weekly price'!J:J, MATCH(A61, 'weekly price'!A:A, 0)), "No Match")-D61),"")</f>
        <v>0.21905946417616606</v>
      </c>
      <c r="F61" s="44">
        <f t="array" aca="1" ref="F61" ca="1">IF(MATCH(A61, 'weekly price'!A:A, 0), INDEX('weekly price'!K:K, MATCH(A61, 'weekly price'!A:A, 0)), "No Match")</f>
        <v>-3</v>
      </c>
      <c r="G61" s="41">
        <f t="shared" ca="1" si="9"/>
        <v>-695.23513395595853</v>
      </c>
      <c r="H61" s="59">
        <f t="shared" ca="1" si="1"/>
        <v>-2.8036116611606435E-2</v>
      </c>
      <c r="I61" s="41">
        <f ca="1">IF(C61&lt;&gt;"",SUM($G$3:G61),"")</f>
        <v>45724.632457743894</v>
      </c>
      <c r="J61" s="41">
        <f t="shared" ca="1" si="8"/>
        <v>4481.2349042272126</v>
      </c>
      <c r="K61" s="43">
        <f t="shared" ca="1" si="3"/>
        <v>6.3406472509049627E-2</v>
      </c>
      <c r="L61" s="41">
        <f ca="1">IF(C61&lt;&gt;"",I61 / SUM($H$3:H61),"")</f>
        <v>23319.248698468844</v>
      </c>
      <c r="M61" s="59">
        <f t="shared" ca="1" si="5"/>
        <v>1.0081523229442564E-2</v>
      </c>
      <c r="N61" s="41">
        <v>250</v>
      </c>
      <c r="O61" s="41">
        <f ca="1">IF(C61&lt;&gt;"",SUM($N$3:N61) / SUM($M$3:M61),"")</f>
        <v>24149.808684345699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57">
        <v>44984</v>
      </c>
      <c r="B62" s="58">
        <v>60</v>
      </c>
      <c r="C62" s="41">
        <f t="array" aca="1" ref="C62" ca="1">IF(MATCH(A62, 'weekly price'!A:A, 0), INDEX('weekly price'!B:B, MATCH(A62, 'weekly price'!A:A, 0)), "No Match")</f>
        <v>23504.19</v>
      </c>
      <c r="D62" s="43">
        <f ca="1">IF(C62&lt;&gt;"",(C62-$C$3)/$C$3,"")</f>
        <v>-0.4379273979482029</v>
      </c>
      <c r="E62" s="43">
        <f t="array" aca="1" ref="E62" ca="1">IF(C62&lt;&gt;"",IF(AND(D62&lt;-0.4,C62&lt;&gt;""),IF(MATCH(A62, 'weekly price'!A:A, 0), INDEX('weekly price'!J:J, MATCH(A62, 'weekly price'!A:A, 0)), "No Match")-(2*D62),IF(MATCH(A62, 'weekly price'!A:A, 0), INDEX('weekly price'!J:J, MATCH(A62, 'weekly price'!A:A, 0)), "No Match")-D62),"")</f>
        <v>0.58926282560388521</v>
      </c>
      <c r="F62" s="44">
        <f t="array" aca="1" ref="F62" ca="1">IF(MATCH(A62, 'weekly price'!A:A, 0), INDEX('weekly price'!K:K, MATCH(A62, 'weekly price'!A:A, 0)), "No Match")</f>
        <v>-2</v>
      </c>
      <c r="G62" s="41">
        <f t="shared" ca="1" si="9"/>
        <v>-352.68429359902871</v>
      </c>
      <c r="H62" s="59">
        <f t="shared" ca="1" si="1"/>
        <v>-1.5005166891478868E-2</v>
      </c>
      <c r="I62" s="41">
        <f ca="1">IF(C62&lt;&gt;"",SUM($G$3:G62),"")</f>
        <v>45371.948164144866</v>
      </c>
      <c r="J62" s="41">
        <f t="shared" ca="1" si="8"/>
        <v>5176.4700381831708</v>
      </c>
      <c r="K62" s="43">
        <f t="shared" ca="1" si="3"/>
        <v>7.9924909185384602E-3</v>
      </c>
      <c r="L62" s="41">
        <f ca="1">IF(C62&lt;&gt;"",I62 / SUM($H$3:H62),"")</f>
        <v>23317.822515306321</v>
      </c>
      <c r="M62" s="59">
        <f t="shared" ca="1" si="5"/>
        <v>1.0636401424597063E-2</v>
      </c>
      <c r="N62" s="41">
        <v>250</v>
      </c>
      <c r="O62" s="41">
        <f ca="1">IF(C62&lt;&gt;"",SUM($N$3:N62) / SUM($M$3:M62),"")</f>
        <v>24138.75786525436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">
      <c r="A63" s="57">
        <v>44991</v>
      </c>
      <c r="B63" s="58">
        <v>61</v>
      </c>
      <c r="C63" s="41">
        <f t="array" aca="1" ref="C63" ca="1">IF(MATCH(A63, 'weekly price'!A:A, 0), INDEX('weekly price'!B:B, MATCH(A63, 'weekly price'!A:A, 0)), "No Match")</f>
        <v>22414.7</v>
      </c>
      <c r="D63" s="43">
        <f ca="1">IF(C63&lt;&gt;"",(C63-$C$3)/$C$3,"")</f>
        <v>-0.46398115598919099</v>
      </c>
      <c r="E63" s="43">
        <f t="array" aca="1" ref="E63" ca="1">IF(C63&lt;&gt;"",IF(AND(D63&lt;-0.4,C63&lt;&gt;""),IF(MATCH(A63, 'weekly price'!A:A, 0), INDEX('weekly price'!J:J, MATCH(A63, 'weekly price'!A:A, 0)), "No Match")-(2*D63),IF(MATCH(A63, 'weekly price'!A:A, 0), INDEX('weekly price'!J:J, MATCH(A63, 'weekly price'!A:A, 0)), "No Match")-D63),"")</f>
        <v>1.927962311978382</v>
      </c>
      <c r="F63" s="44" t="str">
        <f t="array" aca="1" ref="F63" ca="1">IF(MATCH(A63, 'weekly price'!A:A, 0), INDEX('weekly price'!K:K, MATCH(A63, 'weekly price'!A:A, 0)), "No Match")</f>
        <v/>
      </c>
      <c r="G63" s="41">
        <f t="shared" ca="1" si="9"/>
        <v>731.99057799459547</v>
      </c>
      <c r="H63" s="59">
        <f t="shared" ca="1" si="1"/>
        <v>3.2656719830941101E-2</v>
      </c>
      <c r="I63" s="41">
        <f ca="1">IF(C63&lt;&gt;"",SUM($G$3:G63),"")</f>
        <v>46103.938742139464</v>
      </c>
      <c r="J63" s="41">
        <f t="shared" ca="1" si="8"/>
        <v>5529.1543317821997</v>
      </c>
      <c r="K63" s="43">
        <f t="shared" ca="1" si="3"/>
        <v>-3.8116066412899677E-2</v>
      </c>
      <c r="L63" s="41">
        <f ca="1">IF(C63&lt;&gt;"",I63 / SUM($H$3:H63),"")</f>
        <v>23302.915473814086</v>
      </c>
      <c r="M63" s="59">
        <f t="shared" ca="1" si="5"/>
        <v>1.1153394870330631E-2</v>
      </c>
      <c r="N63" s="41">
        <v>250</v>
      </c>
      <c r="O63" s="41">
        <f ca="1">IF(C63&lt;&gt;"",SUM($N$3:N63) / SUM($M$3:M63),"")</f>
        <v>24108.359045429337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">
      <c r="A64" s="57">
        <v>44998</v>
      </c>
      <c r="B64" s="58">
        <v>62</v>
      </c>
      <c r="C64" s="41">
        <f t="array" aca="1" ref="C64" ca="1">IF(MATCH(A64, 'weekly price'!A:A, 0), INDEX('weekly price'!B:B, MATCH(A64, 'weekly price'!A:A, 0)), "No Match")</f>
        <v>24154.43</v>
      </c>
      <c r="D64" s="43">
        <f ca="1">IF(C64&lt;&gt;"",(C64-$C$3)/$C$3,"")</f>
        <v>-0.42237774111007487</v>
      </c>
      <c r="E64" s="43">
        <f t="array" aca="1" ref="E64" ca="1">IF(C64&lt;&gt;"",IF(AND(D64&lt;-0.4,C64&lt;&gt;""),IF(MATCH(A64, 'weekly price'!A:A, 0), INDEX('weekly price'!J:J, MATCH(A64, 'weekly price'!A:A, 0)), "No Match")-(2*D64),IF(MATCH(A64, 'weekly price'!A:A, 0), INDEX('weekly price'!J:J, MATCH(A64, 'weekly price'!A:A, 0)), "No Match")-D64),"")</f>
        <v>1.8447554822201497</v>
      </c>
      <c r="F64" s="44" t="str">
        <f t="array" aca="1" ref="F64" ca="1">IF(MATCH(A64, 'weekly price'!A:A, 0), INDEX('weekly price'!K:K, MATCH(A64, 'weekly price'!A:A, 0)), "No Match")</f>
        <v/>
      </c>
      <c r="G64" s="41">
        <f t="shared" ca="1" si="9"/>
        <v>711.1888705550374</v>
      </c>
      <c r="H64" s="59">
        <f t="shared" ca="1" si="1"/>
        <v>2.9443413508620876E-2</v>
      </c>
      <c r="I64" s="41">
        <f ca="1">IF(C64&lt;&gt;"",SUM($G$3:G64),"")</f>
        <v>46815.127612694501</v>
      </c>
      <c r="J64" s="41">
        <f t="shared" ca="1" si="8"/>
        <v>4797.163753787604</v>
      </c>
      <c r="K64" s="43">
        <f t="shared" ca="1" si="3"/>
        <v>3.5986003610886649E-2</v>
      </c>
      <c r="L64" s="41">
        <f ca="1">IF(C64&lt;&gt;"",I64 / SUM($H$3:H64),"")</f>
        <v>23315.401864321262</v>
      </c>
      <c r="M64" s="59">
        <f t="shared" ca="1" si="5"/>
        <v>1.0350068289750576E-2</v>
      </c>
      <c r="N64" s="41">
        <v>250</v>
      </c>
      <c r="O64" s="41">
        <f ca="1">IF(C64&lt;&gt;"",SUM($N$3:N64) / SUM($M$3:M64),"")</f>
        <v>24109.100730845214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">
      <c r="A65" s="57">
        <v>45005</v>
      </c>
      <c r="B65" s="58">
        <v>63</v>
      </c>
      <c r="C65" s="41">
        <f t="array" aca="1" ref="C65" ca="1">IF(MATCH(A65, 'weekly price'!A:A, 0), INDEX('weekly price'!B:B, MATCH(A65, 'weekly price'!A:A, 0)), "No Match")</f>
        <v>27834.34</v>
      </c>
      <c r="D65" s="43">
        <f ca="1">IF(C65&lt;&gt;"",(C65-$C$3)/$C$3,"")</f>
        <v>-0.33437740631800461</v>
      </c>
      <c r="E65" s="43">
        <f t="array" aca="1" ref="E65" ca="1">IF(C65&lt;&gt;"",IF(AND(D65&lt;-0.4,C65&lt;&gt;""),IF(MATCH(A65, 'weekly price'!A:A, 0), INDEX('weekly price'!J:J, MATCH(A65, 'weekly price'!A:A, 0)), "No Match")-(2*D65),IF(MATCH(A65, 'weekly price'!A:A, 0), INDEX('weekly price'!J:J, MATCH(A65, 'weekly price'!A:A, 0)), "No Match")-D65),"")</f>
        <v>-0.16268317046110814</v>
      </c>
      <c r="F65" s="44">
        <f t="array" aca="1" ref="F65" ca="1">IF(MATCH(A65, 'weekly price'!A:A, 0), INDEX('weekly price'!K:K, MATCH(A65, 'weekly price'!A:A, 0)), "No Match")</f>
        <v>-2</v>
      </c>
      <c r="G65" s="41">
        <f t="shared" ca="1" si="9"/>
        <v>-540.67079261527704</v>
      </c>
      <c r="H65" s="59">
        <f t="shared" ca="1" si="1"/>
        <v>-1.9424595396020782E-2</v>
      </c>
      <c r="I65" s="41">
        <f ca="1">IF(C65&lt;&gt;"",SUM($G$3:G65),"")</f>
        <v>46274.456820079227</v>
      </c>
      <c r="J65" s="41">
        <f t="shared" ca="1" si="8"/>
        <v>4085.9748832325668</v>
      </c>
      <c r="K65" s="43">
        <f t="shared" ca="1" si="3"/>
        <v>0.19608229098007393</v>
      </c>
      <c r="L65" s="41">
        <f ca="1">IF(C65&lt;&gt;"",I65 / SUM($H$3:H65),"")</f>
        <v>23271.258348948923</v>
      </c>
      <c r="M65" s="59">
        <f t="shared" ca="1" si="5"/>
        <v>8.9817110806291803E-3</v>
      </c>
      <c r="N65" s="41">
        <v>250</v>
      </c>
      <c r="O65" s="41">
        <f ca="1">IF(C65&lt;&gt;"",SUM($N$3:N65) / SUM($M$3:M65),"")</f>
        <v>24160.426716170921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">
      <c r="A66" s="57">
        <v>45012</v>
      </c>
      <c r="B66" s="58">
        <v>64</v>
      </c>
      <c r="C66" s="41">
        <f t="array" aca="1" ref="C66" ca="1">IF(MATCH(A66, 'weekly price'!A:A, 0), INDEX('weekly price'!B:B, MATCH(A66, 'weekly price'!A:A, 0)), "No Match")</f>
        <v>27155</v>
      </c>
      <c r="D66" s="43">
        <f ca="1">IF(C66&lt;&gt;"",(C66-$C$3)/$C$3,"")</f>
        <v>-0.35062295238778485</v>
      </c>
      <c r="E66" s="43">
        <f t="array" aca="1" ref="E66" ca="1">IF(C66&lt;&gt;"",IF(AND(D66&lt;-0.4,C66&lt;&gt;""),IF(MATCH(A66, 'weekly price'!A:A, 0), INDEX('weekly price'!J:J, MATCH(A66, 'weekly price'!A:A, 0)), "No Match")-(2*D66),IF(MATCH(A66, 'weekly price'!A:A, 0), INDEX('weekly price'!J:J, MATCH(A66, 'weekly price'!A:A, 0)), "No Match")-D66),"")</f>
        <v>1.3506229523877848</v>
      </c>
      <c r="F66" s="44" t="str">
        <f t="array" aca="1" ref="F66" ca="1">IF(MATCH(A66, 'weekly price'!A:A, 0), INDEX('weekly price'!K:K, MATCH(A66, 'weekly price'!A:A, 0)), "No Match")</f>
        <v/>
      </c>
      <c r="G66" s="41">
        <f t="shared" ca="1" si="9"/>
        <v>587.65573809694627</v>
      </c>
      <c r="H66" s="59">
        <f t="shared" ca="1" si="1"/>
        <v>2.1640793154002809E-2</v>
      </c>
      <c r="I66" s="41">
        <f ca="1">IF(C66&lt;&gt;"",SUM($G$3:G66),"")</f>
        <v>46862.112558176173</v>
      </c>
      <c r="J66" s="41">
        <f t="shared" ca="1" si="8"/>
        <v>4626.6456758478434</v>
      </c>
      <c r="K66" s="43">
        <f t="shared" ca="1" si="3"/>
        <v>0.16479723921986086</v>
      </c>
      <c r="L66" s="41">
        <f ca="1">IF(C66&lt;&gt;"",I66 / SUM($H$3:H66),"")</f>
        <v>23313.070365952652</v>
      </c>
      <c r="M66" s="59">
        <f t="shared" ca="1" si="5"/>
        <v>9.2064076597311723E-3</v>
      </c>
      <c r="N66" s="41">
        <v>250</v>
      </c>
      <c r="O66" s="41">
        <f ca="1">IF(C66&lt;&gt;"",SUM($N$3:N66) / SUM($M$3:M66),"")</f>
        <v>24202.128893829991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">
      <c r="A67" s="57">
        <v>45019</v>
      </c>
      <c r="B67" s="58">
        <v>65</v>
      </c>
      <c r="C67" s="41">
        <f t="array" aca="1" ref="C67" ca="1">IF(MATCH(A67, 'weekly price'!A:A, 0), INDEX('weekly price'!B:B, MATCH(A67, 'weekly price'!A:A, 0)), "No Match")</f>
        <v>27850.98</v>
      </c>
      <c r="D67" s="43">
        <f ca="1">IF(C67&lt;&gt;"",(C67-$C$3)/$C$3,"")</f>
        <v>-0.33397948202883998</v>
      </c>
      <c r="E67" s="43">
        <f t="array" aca="1" ref="E67" ca="1">IF(C67&lt;&gt;"",IF(AND(D67&lt;-0.4,C67&lt;&gt;""),IF(MATCH(A67, 'weekly price'!A:A, 0), INDEX('weekly price'!J:J, MATCH(A67, 'weekly price'!A:A, 0)), "No Match")-(2*D67),IF(MATCH(A67, 'weekly price'!A:A, 0), INDEX('weekly price'!J:J, MATCH(A67, 'weekly price'!A:A, 0)), "No Match")-D67),"")</f>
        <v>9.1670574733781235E-2</v>
      </c>
      <c r="F67" s="44">
        <f t="array" aca="1" ref="F67" ca="1">IF(MATCH(A67, 'weekly price'!A:A, 0), INDEX('weekly price'!K:K, MATCH(A67, 'weekly price'!A:A, 0)), "No Match")</f>
        <v>-2</v>
      </c>
      <c r="G67" s="41">
        <f t="shared" ca="1" si="9"/>
        <v>-477.08235631655469</v>
      </c>
      <c r="H67" s="59">
        <f t="shared" ca="1" si="1"/>
        <v>-1.7129822947578675E-2</v>
      </c>
      <c r="I67" s="41">
        <f ca="1">IF(C67&lt;&gt;"",SUM($G$3:G67),"")</f>
        <v>46385.030201859619</v>
      </c>
      <c r="J67" s="41">
        <f t="shared" ca="1" si="8"/>
        <v>4038.9899377508973</v>
      </c>
      <c r="K67" s="43">
        <f t="shared" ca="1" si="3"/>
        <v>0.19665291478203081</v>
      </c>
      <c r="L67" s="41">
        <f ca="1">IF(C67&lt;&gt;"",I67 / SUM($H$3:H67),"")</f>
        <v>23274.066904414827</v>
      </c>
      <c r="M67" s="59">
        <f t="shared" ca="1" si="5"/>
        <v>8.9763448180279481E-3</v>
      </c>
      <c r="N67" s="41">
        <v>250</v>
      </c>
      <c r="O67" s="41">
        <f ca="1">IF(C67&lt;&gt;"",SUM($N$3:N67) / SUM($M$3:M67),"")</f>
        <v>24251.008997320128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">
      <c r="A68" s="57">
        <v>45026</v>
      </c>
      <c r="B68" s="58">
        <v>66</v>
      </c>
      <c r="C68" s="41">
        <f t="array" aca="1" ref="C68" ca="1">IF(MATCH(A68, 'weekly price'!A:A, 0), INDEX('weekly price'!B:B, MATCH(A68, 'weekly price'!A:A, 0)), "No Match")</f>
        <v>29687.57</v>
      </c>
      <c r="D68" s="43">
        <f ca="1">IF(C68&lt;&gt;"",(C68-$C$3)/$C$3,"")</f>
        <v>-0.29005978429825191</v>
      </c>
      <c r="E68" s="43">
        <f t="array" aca="1" ref="E68" ca="1">IF(C68&lt;&gt;"",IF(AND(D68&lt;-0.4,C68&lt;&gt;""),IF(MATCH(A68, 'weekly price'!A:A, 0), INDEX('weekly price'!J:J, MATCH(A68, 'weekly price'!A:A, 0)), "No Match")-(2*D68),IF(MATCH(A68, 'weekly price'!A:A, 0), INDEX('weekly price'!J:J, MATCH(A68, 'weekly price'!A:A, 0)), "No Match")-D68),"")</f>
        <v>-3.1830690329986144E-2</v>
      </c>
      <c r="F68" s="44">
        <f t="array" aca="1" ref="F68" ca="1">IF(MATCH(A68, 'weekly price'!A:A, 0), INDEX('weekly price'!K:K, MATCH(A68, 'weekly price'!A:A, 0)), "No Match")</f>
        <v>-2</v>
      </c>
      <c r="G68" s="41">
        <f t="shared" ca="1" si="9"/>
        <v>-507.95767258249657</v>
      </c>
      <c r="H68" s="59">
        <f t="shared" ca="1" si="1"/>
        <v>-1.7110112837881192E-2</v>
      </c>
      <c r="I68" s="41">
        <f ca="1">IF(C68&lt;&gt;"",SUM($G$3:G68),"")</f>
        <v>45877.072529277124</v>
      </c>
      <c r="J68" s="41">
        <f t="shared" ca="1" si="8"/>
        <v>4516.0722940674523</v>
      </c>
      <c r="K68" s="43">
        <f t="shared" ca="1" si="3"/>
        <v>0.27861543789080301</v>
      </c>
      <c r="L68" s="41">
        <f ca="1">IF(C68&lt;&gt;"",I68 / SUM($H$3:H68),"")</f>
        <v>23218.529293665069</v>
      </c>
      <c r="M68" s="59">
        <f t="shared" ca="1" si="5"/>
        <v>8.4210327756700874E-3</v>
      </c>
      <c r="N68" s="41">
        <v>250</v>
      </c>
      <c r="O68" s="41">
        <f ca="1">IF(C68&lt;&gt;"",SUM($N$3:N68) / SUM($M$3:M68),"")</f>
        <v>24318.483885691814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">
      <c r="A69" s="57">
        <v>45033</v>
      </c>
      <c r="B69" s="58">
        <v>67</v>
      </c>
      <c r="C69" s="41">
        <f t="array" aca="1" ref="C69" ca="1">IF(MATCH(A69, 'weekly price'!A:A, 0), INDEX('weekly price'!B:B, MATCH(A69, 'weekly price'!A:A, 0)), "No Match")</f>
        <v>29469.51</v>
      </c>
      <c r="D69" s="43">
        <f ca="1">IF(C69&lt;&gt;"",(C69-$C$3)/$C$3,"")</f>
        <v>-0.2952744099289763</v>
      </c>
      <c r="E69" s="43">
        <f t="array" aca="1" ref="E69" ca="1">IF(C69&lt;&gt;"",IF(AND(D69&lt;-0.4,C69&lt;&gt;""),IF(MATCH(A69, 'weekly price'!A:A, 0), INDEX('weekly price'!J:J, MATCH(A69, 'weekly price'!A:A, 0)), "No Match")-(2*D69),IF(MATCH(A69, 'weekly price'!A:A, 0), INDEX('weekly price'!J:J, MATCH(A69, 'weekly price'!A:A, 0)), "No Match")-D69),"")</f>
        <v>8.9495126062393071E-2</v>
      </c>
      <c r="F69" s="44">
        <f t="array" aca="1" ref="F69" ca="1">IF(MATCH(A69, 'weekly price'!A:A, 0), INDEX('weekly price'!K:K, MATCH(A69, 'weekly price'!A:A, 0)), "No Match")</f>
        <v>-2</v>
      </c>
      <c r="G69" s="41">
        <f t="shared" ca="1" si="9"/>
        <v>-477.6262184844017</v>
      </c>
      <c r="H69" s="59">
        <f t="shared" ca="1" si="1"/>
        <v>-1.6207470653037723E-2</v>
      </c>
      <c r="I69" s="41">
        <f ca="1">IF(C69&lt;&gt;"",SUM($G$3:G69),"")</f>
        <v>45399.446310792722</v>
      </c>
      <c r="J69" s="41">
        <f t="shared" ca="1" si="8"/>
        <v>5024.0299666499486</v>
      </c>
      <c r="K69" s="43">
        <f t="shared" ca="1" si="3"/>
        <v>0.27205617780337737</v>
      </c>
      <c r="L69" s="41">
        <f ca="1">IF(C69&lt;&gt;"",I69 / SUM($H$3:H69),"")</f>
        <v>23166.830611906451</v>
      </c>
      <c r="M69" s="59">
        <f t="shared" ca="1" si="5"/>
        <v>8.4833443107808718E-3</v>
      </c>
      <c r="N69" s="41">
        <v>250</v>
      </c>
      <c r="O69" s="41">
        <f ca="1">IF(C69&lt;&gt;"",SUM($N$3:N69) / SUM($M$3:M69),"")</f>
        <v>24382.092657717687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">
      <c r="A70" s="57">
        <v>45040</v>
      </c>
      <c r="B70" s="58">
        <v>68</v>
      </c>
      <c r="C70" s="41">
        <f t="array" aca="1" ref="C70" ca="1">IF(MATCH(A70, 'weekly price'!A:A, 0), INDEX('weekly price'!B:B, MATCH(A70, 'weekly price'!A:A, 0)), "No Match")</f>
        <v>27520.2</v>
      </c>
      <c r="D70" s="43">
        <f ca="1">IF(C70&lt;&gt;"",(C70-$C$3)/$C$3,"")</f>
        <v>-0.34188966209914629</v>
      </c>
      <c r="E70" s="43">
        <f t="array" aca="1" ref="E70" ca="1">IF(C70&lt;&gt;"",IF(AND(D70&lt;-0.4,C70&lt;&gt;""),IF(MATCH(A70, 'weekly price'!A:A, 0), INDEX('weekly price'!J:J, MATCH(A70, 'weekly price'!A:A, 0)), "No Match")-(2*D70),IF(MATCH(A70, 'weekly price'!A:A, 0), INDEX('weekly price'!J:J, MATCH(A70, 'weekly price'!A:A, 0)), "No Match")-D70),"")</f>
        <v>1.3418896620991463</v>
      </c>
      <c r="F70" s="44" t="str">
        <f t="array" aca="1" ref="F70" ca="1">IF(MATCH(A70, 'weekly price'!A:A, 0), INDEX('weekly price'!K:K, MATCH(A70, 'weekly price'!A:A, 0)), "No Match")</f>
        <v/>
      </c>
      <c r="G70" s="41">
        <f t="shared" ca="1" si="9"/>
        <v>585.47241552478658</v>
      </c>
      <c r="H70" s="59">
        <f t="shared" ca="1" si="1"/>
        <v>2.1274279094075862E-2</v>
      </c>
      <c r="I70" s="41">
        <f ca="1">IF(C70&lt;&gt;"",SUM($G$3:G70),"")</f>
        <v>45984.918726317512</v>
      </c>
      <c r="J70" s="41">
        <f t="shared" ca="1" si="8"/>
        <v>5501.6561851343504</v>
      </c>
      <c r="K70" s="43">
        <f t="shared" ca="1" si="3"/>
        <v>0.18552140677607609</v>
      </c>
      <c r="L70" s="41">
        <f ca="1">IF(C70&lt;&gt;"",I70 / SUM($H$3:H70),"")</f>
        <v>23213.583358936408</v>
      </c>
      <c r="M70" s="59">
        <f t="shared" ca="1" si="5"/>
        <v>9.0842363064221922E-3</v>
      </c>
      <c r="N70" s="41">
        <v>250</v>
      </c>
      <c r="O70" s="41">
        <f ca="1">IF(C70&lt;&gt;"",SUM($N$3:N70) / SUM($M$3:M70),"")</f>
        <v>24423.047678800467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">
      <c r="A71" s="57">
        <v>45047</v>
      </c>
      <c r="B71" s="58">
        <v>69</v>
      </c>
      <c r="C71" s="41">
        <f t="array" aca="1" ref="C71" ca="1">IF(MATCH(A71, 'weekly price'!A:A, 0), INDEX('weekly price'!B:B, MATCH(A71, 'weekly price'!A:A, 0)), "No Match")</f>
        <v>28114.95</v>
      </c>
      <c r="D71" s="43">
        <f ca="1">IF(C71&lt;&gt;"",(C71-$C$3)/$C$3,"")</f>
        <v>-0.32766697754501756</v>
      </c>
      <c r="E71" s="43">
        <f t="array" aca="1" ref="E71" ca="1">IF(C71&lt;&gt;"",IF(AND(D71&lt;-0.4,C71&lt;&gt;""),IF(MATCH(A71, 'weekly price'!A:A, 0), INDEX('weekly price'!J:J, MATCH(A71, 'weekly price'!A:A, 0)), "No Match")-(2*D71),IF(MATCH(A71, 'weekly price'!A:A, 0), INDEX('weekly price'!J:J, MATCH(A71, 'weekly price'!A:A, 0)), "No Match")-D71),"")</f>
        <v>1.3276669775450176</v>
      </c>
      <c r="F71" s="44" t="str">
        <f t="array" aca="1" ref="F71" ca="1">IF(MATCH(A71, 'weekly price'!A:A, 0), INDEX('weekly price'!K:K, MATCH(A71, 'weekly price'!A:A, 0)), "No Match")</f>
        <v/>
      </c>
      <c r="G71" s="41">
        <f t="shared" ca="1" si="9"/>
        <v>581.91674438625444</v>
      </c>
      <c r="H71" s="59">
        <f t="shared" ca="1" si="1"/>
        <v>2.0697769136571627E-2</v>
      </c>
      <c r="I71" s="41">
        <f ca="1">IF(C71&lt;&gt;"",SUM($G$3:G71),"")</f>
        <v>46566.835470703765</v>
      </c>
      <c r="J71" s="41">
        <f t="shared" ca="1" si="8"/>
        <v>4916.1837696095636</v>
      </c>
      <c r="K71" s="43">
        <f t="shared" ca="1" si="3"/>
        <v>0.20850366957702696</v>
      </c>
      <c r="L71" s="41">
        <f ca="1">IF(C71&lt;&gt;"",I71 / SUM($H$3:H71),"")</f>
        <v>23264.265312359505</v>
      </c>
      <c r="M71" s="59">
        <f t="shared" ca="1" si="5"/>
        <v>8.892066320587446E-3</v>
      </c>
      <c r="N71" s="41">
        <v>250</v>
      </c>
      <c r="O71" s="41">
        <f ca="1">IF(C71&lt;&gt;"",SUM($N$3:N71) / SUM($M$3:M71),"")</f>
        <v>24469.616039552824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">
      <c r="A72" s="57">
        <v>45054</v>
      </c>
      <c r="B72" s="58">
        <v>70</v>
      </c>
      <c r="C72" s="41">
        <f t="array" aca="1" ref="C72" ca="1">IF(MATCH(A72, 'weekly price'!A:A, 0), INDEX('weekly price'!B:B, MATCH(A72, 'weekly price'!A:A, 0)), "No Match")</f>
        <v>27727.29</v>
      </c>
      <c r="D72" s="43">
        <f ca="1">IF(C72&lt;&gt;"",(C72-$C$3)/$C$3,"")</f>
        <v>-0.3369373699691513</v>
      </c>
      <c r="E72" s="43">
        <f t="array" aca="1" ref="E72" ca="1">IF(C72&lt;&gt;"",IF(AND(D72&lt;-0.4,C72&lt;&gt;""),IF(MATCH(A72, 'weekly price'!A:A, 0), INDEX('weekly price'!J:J, MATCH(A72, 'weekly price'!A:A, 0)), "No Match")-(2*D72),IF(MATCH(A72, 'weekly price'!A:A, 0), INDEX('weekly price'!J:J, MATCH(A72, 'weekly price'!A:A, 0)), "No Match")-D72),"")</f>
        <v>1.3369373699691514</v>
      </c>
      <c r="F72" s="44" t="str">
        <f t="array" aca="1" ref="F72" ca="1">IF(MATCH(A72, 'weekly price'!A:A, 0), INDEX('weekly price'!K:K, MATCH(A72, 'weekly price'!A:A, 0)), "No Match")</f>
        <v/>
      </c>
      <c r="G72" s="41">
        <f t="shared" ref="G72:G135" ca="1" si="10">IF(C72&lt;&gt;"",(E72 + IF(LEN(TRIM(F72))=0,1,F72)) * $P$11,"")</f>
        <v>584.23434249228774</v>
      </c>
      <c r="H72" s="59">
        <f t="shared" ca="1" si="1"/>
        <v>2.1070733652379575E-2</v>
      </c>
      <c r="I72" s="41">
        <f ca="1">IF(C72&lt;&gt;"",SUM($G$3:G72),"")</f>
        <v>47151.069813196053</v>
      </c>
      <c r="J72" s="41">
        <f t="shared" ca="1" si="8"/>
        <v>4334.2670252233092</v>
      </c>
      <c r="K72" s="43">
        <f t="shared" ca="1" si="3"/>
        <v>0.18946331070639266</v>
      </c>
      <c r="L72" s="41">
        <f ca="1">IF(C72&lt;&gt;"",I72 / SUM($H$3:H72),"")</f>
        <v>23310.75683497413</v>
      </c>
      <c r="M72" s="59">
        <f t="shared" ca="1" si="5"/>
        <v>9.0163878258567639E-3</v>
      </c>
      <c r="N72" s="41">
        <v>250</v>
      </c>
      <c r="O72" s="41">
        <f ca="1">IF(C72&lt;&gt;"",SUM($N$3:N72) / SUM($M$3:M72),"")</f>
        <v>24510.755524475426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">
      <c r="A73" s="57">
        <v>45061</v>
      </c>
      <c r="B73" s="58">
        <v>71</v>
      </c>
      <c r="C73" s="41">
        <f t="array" aca="1" ref="C73" ca="1">IF(MATCH(A73, 'weekly price'!A:A, 0), INDEX('weekly price'!B:B, MATCH(A73, 'weekly price'!A:A, 0)), "No Match")</f>
        <v>27231.62</v>
      </c>
      <c r="D73" s="43">
        <f ca="1">IF(C73&lt;&gt;"",(C73-$C$3)/$C$3,"")</f>
        <v>-0.34879068321496043</v>
      </c>
      <c r="E73" s="43">
        <f t="array" aca="1" ref="E73" ca="1">IF(C73&lt;&gt;"",IF(AND(D73&lt;-0.4,C73&lt;&gt;""),IF(MATCH(A73, 'weekly price'!A:A, 0), INDEX('weekly price'!J:J, MATCH(A73, 'weekly price'!A:A, 0)), "No Match")-(2*D73),IF(MATCH(A73, 'weekly price'!A:A, 0), INDEX('weekly price'!J:J, MATCH(A73, 'weekly price'!A:A, 0)), "No Match")-D73),"")</f>
        <v>1.3487906832149603</v>
      </c>
      <c r="F73" s="44" t="str">
        <f t="array" aca="1" ref="F73" ca="1">IF(MATCH(A73, 'weekly price'!A:A, 0), INDEX('weekly price'!K:K, MATCH(A73, 'weekly price'!A:A, 0)), "No Match")</f>
        <v/>
      </c>
      <c r="G73" s="41">
        <f t="shared" ca="1" si="10"/>
        <v>587.19767080374004</v>
      </c>
      <c r="H73" s="59">
        <f t="shared" ca="1" si="1"/>
        <v>2.1563082578404811E-2</v>
      </c>
      <c r="I73" s="41">
        <f ca="1">IF(C73&lt;&gt;"",SUM($G$3:G73),"")</f>
        <v>47738.267483999793</v>
      </c>
      <c r="J73" s="41">
        <f t="shared" ca="1" si="8"/>
        <v>3750.0326827310214</v>
      </c>
      <c r="K73" s="43">
        <f t="shared" ca="1" si="3"/>
        <v>0.16613082024065004</v>
      </c>
      <c r="L73" s="41">
        <f ca="1">IF(C73&lt;&gt;"",I73 / SUM($H$3:H73),"")</f>
        <v>23352.1141259094</v>
      </c>
      <c r="M73" s="59">
        <f t="shared" ca="1" si="5"/>
        <v>9.1805041345318431E-3</v>
      </c>
      <c r="N73" s="41">
        <v>250</v>
      </c>
      <c r="O73" s="41">
        <f ca="1">IF(C73&lt;&gt;"",SUM($N$3:N73) / SUM($M$3:M73),"")</f>
        <v>24545.297198273824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">
      <c r="A74" s="57">
        <v>45068</v>
      </c>
      <c r="B74" s="58">
        <v>72</v>
      </c>
      <c r="C74" s="41">
        <f t="array" aca="1" ref="C74" ca="1">IF(MATCH(A74, 'weekly price'!A:A, 0), INDEX('weekly price'!B:B, MATCH(A74, 'weekly price'!A:A, 0)), "No Match")</f>
        <v>26858.74</v>
      </c>
      <c r="D74" s="43">
        <f ca="1">IF(C74&lt;&gt;"",(C74-$C$3)/$C$3,"")</f>
        <v>-0.35770763086782881</v>
      </c>
      <c r="E74" s="43">
        <f t="array" aca="1" ref="E74" ca="1">IF(C74&lt;&gt;"",IF(AND(D74&lt;-0.4,C74&lt;&gt;""),IF(MATCH(A74, 'weekly price'!A:A, 0), INDEX('weekly price'!J:J, MATCH(A74, 'weekly price'!A:A, 0)), "No Match")-(2*D74),IF(MATCH(A74, 'weekly price'!A:A, 0), INDEX('weekly price'!J:J, MATCH(A74, 'weekly price'!A:A, 0)), "No Match")-D74),"")</f>
        <v>1.3577076308678289</v>
      </c>
      <c r="F74" s="44" t="str">
        <f t="array" aca="1" ref="F74" ca="1">IF(MATCH(A74, 'weekly price'!A:A, 0), INDEX('weekly price'!K:K, MATCH(A74, 'weekly price'!A:A, 0)), "No Match")</f>
        <v/>
      </c>
      <c r="G74" s="41">
        <f t="shared" ca="1" si="10"/>
        <v>589.4269077169572</v>
      </c>
      <c r="H74" s="59">
        <f t="shared" ca="1" si="1"/>
        <v>2.194544151054581E-2</v>
      </c>
      <c r="I74" s="41">
        <f ca="1">IF(C74&lt;&gt;"",SUM($G$3:G74),"")</f>
        <v>48327.694391716752</v>
      </c>
      <c r="J74" s="41">
        <f t="shared" ca="1" si="8"/>
        <v>3162.8350119272814</v>
      </c>
      <c r="K74" s="43">
        <f t="shared" ca="1" si="3"/>
        <v>0.14833164247041086</v>
      </c>
      <c r="L74" s="41">
        <f ca="1">IF(C74&lt;&gt;"",I74 / SUM($H$3:H74),"")</f>
        <v>23389.358097124867</v>
      </c>
      <c r="M74" s="59">
        <f t="shared" ca="1" si="5"/>
        <v>9.3079571119121744E-3</v>
      </c>
      <c r="N74" s="41">
        <v>250</v>
      </c>
      <c r="O74" s="41">
        <f ca="1">IF(C74&lt;&gt;"",SUM($N$3:N74) / SUM($M$3:M74),"")</f>
        <v>24574.695943045157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">
      <c r="A75" s="57">
        <v>45075</v>
      </c>
      <c r="B75" s="58">
        <v>73</v>
      </c>
      <c r="C75" s="41">
        <f t="array" aca="1" ref="C75" ca="1">IF(MATCH(A75, 'weekly price'!A:A, 0), INDEX('weekly price'!B:B, MATCH(A75, 'weekly price'!A:A, 0)), "No Match")</f>
        <v>27765.07</v>
      </c>
      <c r="D75" s="43">
        <f ca="1">IF(C75&lt;&gt;"",(C75-$C$3)/$C$3,"")</f>
        <v>-0.33603390965396851</v>
      </c>
      <c r="E75" s="43">
        <f t="array" aca="1" ref="E75" ca="1">IF(C75&lt;&gt;"",IF(AND(D75&lt;-0.4,C75&lt;&gt;""),IF(MATCH(A75, 'weekly price'!A:A, 0), INDEX('weekly price'!J:J, MATCH(A75, 'weekly price'!A:A, 0)), "No Match")-(2*D75),IF(MATCH(A75, 'weekly price'!A:A, 0), INDEX('weekly price'!J:J, MATCH(A75, 'weekly price'!A:A, 0)), "No Match")-D75),"")</f>
        <v>1.3360339096539686</v>
      </c>
      <c r="F75" s="44" t="str">
        <f t="array" aca="1" ref="F75" ca="1">IF(MATCH(A75, 'weekly price'!A:A, 0), INDEX('weekly price'!K:K, MATCH(A75, 'weekly price'!A:A, 0)), "No Match")</f>
        <v/>
      </c>
      <c r="G75" s="41">
        <f t="shared" ca="1" si="10"/>
        <v>584.00847741349219</v>
      </c>
      <c r="H75" s="59">
        <f t="shared" ca="1" si="1"/>
        <v>2.1033927788170252E-2</v>
      </c>
      <c r="I75" s="41">
        <f ca="1">IF(C75&lt;&gt;"",SUM($G$3:G75),"")</f>
        <v>48911.702869130248</v>
      </c>
      <c r="J75" s="41">
        <f t="shared" ca="1" si="8"/>
        <v>2573.4081042103244</v>
      </c>
      <c r="K75" s="43">
        <f t="shared" ca="1" si="3"/>
        <v>0.18484755499556108</v>
      </c>
      <c r="L75" s="41">
        <f ca="1">IF(C75&lt;&gt;"",I75 / SUM($H$3:H75),"")</f>
        <v>23433.453428617675</v>
      </c>
      <c r="M75" s="59">
        <f t="shared" ca="1" si="5"/>
        <v>9.0041192044536533E-3</v>
      </c>
      <c r="N75" s="41">
        <v>250</v>
      </c>
      <c r="O75" s="41">
        <f ca="1">IF(C75&lt;&gt;"",SUM($N$3:N75) / SUM($M$3:M75),"")</f>
        <v>24613.43885570073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">
      <c r="A76" s="57">
        <v>45082</v>
      </c>
      <c r="B76" s="58">
        <v>74</v>
      </c>
      <c r="C76" s="41">
        <f t="array" aca="1" ref="C76" ca="1">IF(MATCH(A76, 'weekly price'!A:A, 0), INDEX('weekly price'!B:B, MATCH(A76, 'weekly price'!A:A, 0)), "No Match")</f>
        <v>25785.85</v>
      </c>
      <c r="D76" s="43">
        <f ca="1">IF(C76&lt;&gt;"",(C76-$C$3)/$C$3,"")</f>
        <v>-0.38336442116842434</v>
      </c>
      <c r="E76" s="43">
        <f t="array" aca="1" ref="E76" ca="1">IF(C76&lt;&gt;"",IF(AND(D76&lt;-0.4,C76&lt;&gt;""),IF(MATCH(A76, 'weekly price'!A:A, 0), INDEX('weekly price'!J:J, MATCH(A76, 'weekly price'!A:A, 0)), "No Match")-(2*D76),IF(MATCH(A76, 'weekly price'!A:A, 0), INDEX('weekly price'!J:J, MATCH(A76, 'weekly price'!A:A, 0)), "No Match")-D76),"")</f>
        <v>1.3833644211684244</v>
      </c>
      <c r="F76" s="44" t="str">
        <f t="array" aca="1" ref="F76" ca="1">IF(MATCH(A76, 'weekly price'!A:A, 0), INDEX('weekly price'!K:K, MATCH(A76, 'weekly price'!A:A, 0)), "No Match")</f>
        <v/>
      </c>
      <c r="G76" s="41">
        <f t="shared" ca="1" si="10"/>
        <v>595.84110529210614</v>
      </c>
      <c r="H76" s="59">
        <f t="shared" ca="1" si="1"/>
        <v>2.3107289668252401E-2</v>
      </c>
      <c r="I76" s="41">
        <f ca="1">IF(C76&lt;&gt;"",SUM($G$3:G76),"")</f>
        <v>49507.543974422355</v>
      </c>
      <c r="J76" s="41">
        <f t="shared" ca="1" si="8"/>
        <v>1989.3996267968323</v>
      </c>
      <c r="K76" s="43">
        <f t="shared" ca="1" si="3"/>
        <v>9.917806776954935E-2</v>
      </c>
      <c r="L76" s="41">
        <f ca="1">IF(C76&lt;&gt;"",I76 / SUM($H$3:H76),"")</f>
        <v>23459.210801325949</v>
      </c>
      <c r="M76" s="59">
        <f t="shared" ca="1" si="5"/>
        <v>9.6952398311477041E-3</v>
      </c>
      <c r="N76" s="41">
        <v>250</v>
      </c>
      <c r="O76" s="41">
        <f ca="1">IF(C76&lt;&gt;"",SUM($N$3:N76) / SUM($M$3:M76),"")</f>
        <v>24628.571191968767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">
      <c r="A77" s="57">
        <v>45089</v>
      </c>
      <c r="B77" s="58">
        <v>75</v>
      </c>
      <c r="C77" s="41">
        <f t="array" aca="1" ref="C77" ca="1">IF(MATCH(A77, 'weekly price'!A:A, 0), INDEX('weekly price'!B:B, MATCH(A77, 'weekly price'!A:A, 0)), "No Match")</f>
        <v>25906.75</v>
      </c>
      <c r="D77" s="43">
        <f ca="1">IF(C77&lt;&gt;"",(C77-$C$3)/$C$3,"")</f>
        <v>-0.38047325250496211</v>
      </c>
      <c r="E77" s="43">
        <f t="array" aca="1" ref="E77" ca="1">IF(C77&lt;&gt;"",IF(AND(D77&lt;-0.4,C77&lt;&gt;""),IF(MATCH(A77, 'weekly price'!A:A, 0), INDEX('weekly price'!J:J, MATCH(A77, 'weekly price'!A:A, 0)), "No Match")-(2*D77),IF(MATCH(A77, 'weekly price'!A:A, 0), INDEX('weekly price'!J:J, MATCH(A77, 'weekly price'!A:A, 0)), "No Match")-D77),"")</f>
        <v>1.3804732525049621</v>
      </c>
      <c r="F77" s="44" t="str">
        <f t="array" aca="1" ref="F77" ca="1">IF(MATCH(A77, 'weekly price'!A:A, 0), INDEX('weekly price'!K:K, MATCH(A77, 'weekly price'!A:A, 0)), "No Match")</f>
        <v/>
      </c>
      <c r="G77" s="41">
        <f t="shared" ca="1" si="10"/>
        <v>595.11831312624054</v>
      </c>
      <c r="H77" s="59">
        <f t="shared" ca="1" si="1"/>
        <v>2.2971554252318047E-2</v>
      </c>
      <c r="I77" s="41">
        <f ca="1">IF(C77&lt;&gt;"",SUM($G$3:G77),"")</f>
        <v>50102.662287548592</v>
      </c>
      <c r="J77" s="41">
        <f t="shared" ca="1" si="8"/>
        <v>1393.5585215047263</v>
      </c>
      <c r="K77" s="43">
        <f t="shared" ca="1" si="3"/>
        <v>0.10309244427507977</v>
      </c>
      <c r="L77" s="41">
        <f ca="1">IF(C77&lt;&gt;"",I77 / SUM($H$3:H77),"")</f>
        <v>23485.56563364475</v>
      </c>
      <c r="M77" s="59">
        <f t="shared" ca="1" si="5"/>
        <v>9.6499946925029199E-3</v>
      </c>
      <c r="N77" s="41">
        <v>250</v>
      </c>
      <c r="O77" s="41">
        <f ca="1">IF(C77&lt;&gt;"",SUM($N$3:N77) / SUM($M$3:M77),"")</f>
        <v>24644.783409444892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">
      <c r="A78" s="57">
        <v>45096</v>
      </c>
      <c r="B78" s="58">
        <v>76</v>
      </c>
      <c r="C78" s="41">
        <f t="array" aca="1" ref="C78" ca="1">IF(MATCH(A78, 'weekly price'!A:A, 0), INDEX('weekly price'!B:B, MATCH(A78, 'weekly price'!A:A, 0)), "No Match")</f>
        <v>26778.06</v>
      </c>
      <c r="D78" s="43">
        <f ca="1">IF(C78&lt;&gt;"",(C78-$C$3)/$C$3,"")</f>
        <v>-0.35963698974101438</v>
      </c>
      <c r="E78" s="43">
        <f t="array" aca="1" ref="E78" ca="1">IF(C78&lt;&gt;"",IF(AND(D78&lt;-0.4,C78&lt;&gt;""),IF(MATCH(A78, 'weekly price'!A:A, 0), INDEX('weekly price'!J:J, MATCH(A78, 'weekly price'!A:A, 0)), "No Match")-(2*D78),IF(MATCH(A78, 'weekly price'!A:A, 0), INDEX('weekly price'!J:J, MATCH(A78, 'weekly price'!A:A, 0)), "No Match")-D78),"")</f>
        <v>1.3596369897410143</v>
      </c>
      <c r="F78" s="44" t="str">
        <f t="array" aca="1" ref="F78" ca="1">IF(MATCH(A78, 'weekly price'!A:A, 0), INDEX('weekly price'!K:K, MATCH(A78, 'weekly price'!A:A, 0)), "No Match")</f>
        <v/>
      </c>
      <c r="G78" s="41">
        <f t="shared" ca="1" si="10"/>
        <v>589.90924743525363</v>
      </c>
      <c r="H78" s="59">
        <f t="shared" ca="1" si="1"/>
        <v>2.2029573741908622E-2</v>
      </c>
      <c r="I78" s="41">
        <f ca="1">IF(C78&lt;&gt;"",SUM($G$3:G78),"")</f>
        <v>50692.571534983843</v>
      </c>
      <c r="J78" s="41">
        <f t="shared" ca="1" si="8"/>
        <v>798.44020837848575</v>
      </c>
      <c r="K78" s="43">
        <f t="shared" ca="1" si="3"/>
        <v>0.13856083662853869</v>
      </c>
      <c r="L78" s="41">
        <f ca="1">IF(C78&lt;&gt;"",I78 / SUM($H$3:H78),"")</f>
        <v>23519.217540710546</v>
      </c>
      <c r="M78" s="59">
        <f t="shared" ca="1" si="5"/>
        <v>9.3360011890331104E-3</v>
      </c>
      <c r="N78" s="41">
        <v>250</v>
      </c>
      <c r="O78" s="41">
        <f ca="1">IF(C78&lt;&gt;"",SUM($N$3:N78) / SUM($M$3:M78),"")</f>
        <v>24670.643792159095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">
      <c r="A79" s="57">
        <v>45103</v>
      </c>
      <c r="B79" s="58">
        <v>77</v>
      </c>
      <c r="C79" s="41">
        <f t="array" aca="1" ref="C79" ca="1">IF(MATCH(A79, 'weekly price'!A:A, 0), INDEX('weekly price'!B:B, MATCH(A79, 'weekly price'!A:A, 0)), "No Match")</f>
        <v>30255.89</v>
      </c>
      <c r="D79" s="43">
        <f ca="1">IF(C79&lt;&gt;"",(C79-$C$3)/$C$3,"")</f>
        <v>-0.27646913934524237</v>
      </c>
      <c r="E79" s="43">
        <f t="array" aca="1" ref="E79" ca="1">IF(C79&lt;&gt;"",IF(AND(D79&lt;-0.4,C79&lt;&gt;""),IF(MATCH(A79, 'weekly price'!A:A, 0), INDEX('weekly price'!J:J, MATCH(A79, 'weekly price'!A:A, 0)), "No Match")-(2*D79),IF(MATCH(A79, 'weekly price'!A:A, 0), INDEX('weekly price'!J:J, MATCH(A79, 'weekly price'!A:A, 0)), "No Match")-D79),"")</f>
        <v>1.2764691393452423</v>
      </c>
      <c r="F79" s="44" t="str">
        <f t="array" aca="1" ref="F79" ca="1">IF(MATCH(A79, 'weekly price'!A:A, 0), INDEX('weekly price'!K:K, MATCH(A79, 'weekly price'!A:A, 0)), "No Match")</f>
        <v/>
      </c>
      <c r="G79" s="41">
        <f t="shared" ca="1" si="10"/>
        <v>569.11728483631066</v>
      </c>
      <c r="H79" s="59">
        <f t="shared" ca="1" si="1"/>
        <v>1.8810132005249579E-2</v>
      </c>
      <c r="I79" s="41">
        <f ca="1">IF(C79&lt;&gt;"",SUM($G$3:G79),"")</f>
        <v>51261.688819820156</v>
      </c>
      <c r="J79" s="41">
        <f t="shared" ca="1" si="8"/>
        <v>208.53096094323212</v>
      </c>
      <c r="K79" s="43">
        <f t="shared" ca="1" si="3"/>
        <v>0.28325264621994461</v>
      </c>
      <c r="L79" s="41">
        <f ca="1">IF(C79&lt;&gt;"",I79 / SUM($H$3:H79),"")</f>
        <v>23577.500571788616</v>
      </c>
      <c r="M79" s="59">
        <f t="shared" ca="1" si="5"/>
        <v>8.2628539434800967E-3</v>
      </c>
      <c r="N79" s="41">
        <v>250</v>
      </c>
      <c r="O79" s="41">
        <f ca="1">IF(C79&lt;&gt;"",SUM($N$3:N79) / SUM($M$3:M79),"")</f>
        <v>24729.93148876476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">
      <c r="A80" s="57">
        <v>45110</v>
      </c>
      <c r="B80" s="58">
        <v>78</v>
      </c>
      <c r="C80" s="41">
        <f t="array" aca="1" ref="C80" ca="1">IF(MATCH(A80, 'weekly price'!A:A, 0), INDEX('weekly price'!B:B, MATCH(A80, 'weekly price'!A:A, 0)), "No Match")</f>
        <v>31135.360000000001</v>
      </c>
      <c r="D80" s="43">
        <f ca="1">IF(C80&lt;&gt;"",(C80-$C$3)/$C$3,"")</f>
        <v>-0.25543774063180047</v>
      </c>
      <c r="E80" s="43">
        <f t="array" aca="1" ref="E80" ca="1">IF(C80&lt;&gt;"",IF(AND(D80&lt;-0.4,C80&lt;&gt;""),IF(MATCH(A80, 'weekly price'!A:A, 0), INDEX('weekly price'!J:J, MATCH(A80, 'weekly price'!A:A, 0)), "No Match")-(2*D80),IF(MATCH(A80, 'weekly price'!A:A, 0), INDEX('weekly price'!J:J, MATCH(A80, 'weekly price'!A:A, 0)), "No Match")-D80),"")</f>
        <v>4.1092568799444007E-2</v>
      </c>
      <c r="F80" s="44">
        <f t="array" aca="1" ref="F80" ca="1">IF(MATCH(A80, 'weekly price'!A:A, 0), INDEX('weekly price'!K:K, MATCH(A80, 'weekly price'!A:A, 0)), "No Match")</f>
        <v>-2</v>
      </c>
      <c r="G80" s="41">
        <f t="shared" ca="1" si="10"/>
        <v>-489.72685780013904</v>
      </c>
      <c r="H80" s="59">
        <f t="shared" ca="1" si="1"/>
        <v>-1.5728960827822099E-2</v>
      </c>
      <c r="I80" s="41">
        <f ca="1">IF(C80&lt;&gt;"",SUM($G$3:G80),"")</f>
        <v>50771.961962020017</v>
      </c>
      <c r="J80" s="41">
        <f t="shared" ca="1" si="8"/>
        <v>-360.58632389307854</v>
      </c>
      <c r="K80" s="43">
        <f t="shared" ca="1" si="3"/>
        <v>0.32364582565338296</v>
      </c>
      <c r="L80" s="41">
        <f ca="1">IF(C80&lt;&gt;"",I80 / SUM($H$3:H80),"")</f>
        <v>23522.425256492497</v>
      </c>
      <c r="M80" s="59">
        <f t="shared" ca="1" si="5"/>
        <v>8.0294558983740674E-3</v>
      </c>
      <c r="N80" s="41">
        <v>250</v>
      </c>
      <c r="O80" s="41">
        <f ca="1">IF(C80&lt;&gt;"",SUM($N$3:N80) / SUM($M$3:M80),"")</f>
        <v>24795.330260448973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">
      <c r="A81" s="57">
        <v>45117</v>
      </c>
      <c r="B81" s="58">
        <v>79</v>
      </c>
      <c r="C81" s="41">
        <f t="array" aca="1" ref="C81" ca="1">IF(MATCH(A81, 'weekly price'!A:A, 0), INDEX('weekly price'!B:B, MATCH(A81, 'weekly price'!A:A, 0)), "No Match")</f>
        <v>30394.66</v>
      </c>
      <c r="D81" s="43">
        <f ca="1">IF(C81&lt;&gt;"",(C81-$C$3)/$C$3,"")</f>
        <v>-0.27315063251787552</v>
      </c>
      <c r="E81" s="43">
        <f t="array" aca="1" ref="E81" ca="1">IF(C81&lt;&gt;"",IF(AND(D81&lt;-0.4,C81&lt;&gt;""),IF(MATCH(A81, 'weekly price'!A:A, 0), INDEX('weekly price'!J:J, MATCH(A81, 'weekly price'!A:A, 0)), "No Match")-(2*D81),IF(MATCH(A81, 'weekly price'!A:A, 0), INDEX('weekly price'!J:J, MATCH(A81, 'weekly price'!A:A, 0)), "No Match")-D81),"")</f>
        <v>1.2731506325178756</v>
      </c>
      <c r="F81" s="44" t="str">
        <f t="array" aca="1" ref="F81" ca="1">IF(MATCH(A81, 'weekly price'!A:A, 0), INDEX('weekly price'!K:K, MATCH(A81, 'weekly price'!A:A, 0)), "No Match")</f>
        <v/>
      </c>
      <c r="G81" s="41">
        <f t="shared" ca="1" si="10"/>
        <v>568.28765812946892</v>
      </c>
      <c r="H81" s="59">
        <f t="shared" ca="1" si="1"/>
        <v>1.8696957232930682E-2</v>
      </c>
      <c r="I81" s="41">
        <f ca="1">IF(C81&lt;&gt;"",SUM($G$3:G81),"")</f>
        <v>51340.249620149487</v>
      </c>
      <c r="J81" s="41">
        <f t="shared" ca="1" si="8"/>
        <v>129.1405339070605</v>
      </c>
      <c r="K81" s="43">
        <f t="shared" ca="1" si="3"/>
        <v>0.28892282904814631</v>
      </c>
      <c r="L81" s="41">
        <f ca="1">IF(C81&lt;&gt;"",I81 / SUM($H$3:H81),"")</f>
        <v>23581.442825747825</v>
      </c>
      <c r="M81" s="59">
        <f t="shared" ca="1" si="5"/>
        <v>8.2251290193737971E-3</v>
      </c>
      <c r="N81" s="41">
        <v>250</v>
      </c>
      <c r="O81" s="41">
        <f ca="1">IF(C81&lt;&gt;"",SUM($N$3:N81) / SUM($M$3:M81),"")</f>
        <v>24853.285869980446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">
      <c r="A82" s="57">
        <v>45124</v>
      </c>
      <c r="B82" s="58">
        <v>80</v>
      </c>
      <c r="C82" s="41">
        <f t="array" aca="1" ref="C82" ca="1">IF(MATCH(A82, 'weekly price'!A:A, 0), INDEX('weekly price'!B:B, MATCH(A82, 'weekly price'!A:A, 0)), "No Match")</f>
        <v>30143.75</v>
      </c>
      <c r="D82" s="43">
        <f ca="1">IF(C82&lt;&gt;"",(C82-$C$3)/$C$3,"")</f>
        <v>-0.2791508238276299</v>
      </c>
      <c r="E82" s="43">
        <f t="array" aca="1" ref="E82" ca="1">IF(C82&lt;&gt;"",IF(AND(D82&lt;-0.4,C82&lt;&gt;""),IF(MATCH(A82, 'weekly price'!A:A, 0), INDEX('weekly price'!J:J, MATCH(A82, 'weekly price'!A:A, 0)), "No Match")-(2*D82),IF(MATCH(A82, 'weekly price'!A:A, 0), INDEX('weekly price'!J:J, MATCH(A82, 'weekly price'!A:A, 0)), "No Match")-D82),"")</f>
        <v>1.2791508238276299</v>
      </c>
      <c r="F82" s="44" t="str">
        <f t="array" aca="1" ref="F82" ca="1">IF(MATCH(A82, 'weekly price'!A:A, 0), INDEX('weekly price'!K:K, MATCH(A82, 'weekly price'!A:A, 0)), "No Match")</f>
        <v/>
      </c>
      <c r="G82" s="41">
        <f t="shared" ca="1" si="10"/>
        <v>569.78770595690742</v>
      </c>
      <c r="H82" s="59">
        <f t="shared" ca="1" si="1"/>
        <v>1.8902349772570017E-2</v>
      </c>
      <c r="I82" s="41">
        <f ca="1">IF(C82&lt;&gt;"",SUM($G$3:G82),"")</f>
        <v>51910.037326106394</v>
      </c>
      <c r="J82" s="41">
        <f t="shared" ca="1" si="8"/>
        <v>-439.14712422240842</v>
      </c>
      <c r="K82" s="43">
        <f t="shared" ca="1" si="3"/>
        <v>0.27522812806032221</v>
      </c>
      <c r="L82" s="41">
        <f ca="1">IF(C82&lt;&gt;"",I82 / SUM($H$3:H82),"")</f>
        <v>23637.927470945895</v>
      </c>
      <c r="M82" s="59">
        <f t="shared" ca="1" si="5"/>
        <v>8.2935931992535773E-3</v>
      </c>
      <c r="N82" s="41">
        <v>250</v>
      </c>
      <c r="O82" s="41">
        <f ca="1">IF(C82&lt;&gt;"",SUM($N$3:N82) / SUM($M$3:M82),"")</f>
        <v>24907.930079243259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">
      <c r="A83" s="57">
        <v>45131</v>
      </c>
      <c r="B83" s="58">
        <v>81</v>
      </c>
      <c r="C83" s="41">
        <f t="array" aca="1" ref="C83" ca="1">IF(MATCH(A83, 'weekly price'!A:A, 0), INDEX('weekly price'!B:B, MATCH(A83, 'weekly price'!A:A, 0)), "No Match")</f>
        <v>29178.36</v>
      </c>
      <c r="D83" s="43">
        <f ca="1">IF(C83&lt;&gt;"",(C83-$C$3)/$C$3,"")</f>
        <v>-0.30223688930339332</v>
      </c>
      <c r="E83" s="43">
        <f t="array" aca="1" ref="E83" ca="1">IF(C83&lt;&gt;"",IF(AND(D83&lt;-0.4,C83&lt;&gt;""),IF(MATCH(A83, 'weekly price'!A:A, 0), INDEX('weekly price'!J:J, MATCH(A83, 'weekly price'!A:A, 0)), "No Match")-(2*D83),IF(MATCH(A83, 'weekly price'!A:A, 0), INDEX('weekly price'!J:J, MATCH(A83, 'weekly price'!A:A, 0)), "No Match")-D83),"")</f>
        <v>1.3022368893033933</v>
      </c>
      <c r="F83" s="44" t="str">
        <f t="array" aca="1" ref="F83" ca="1">IF(MATCH(A83, 'weekly price'!A:A, 0), INDEX('weekly price'!K:K, MATCH(A83, 'weekly price'!A:A, 0)), "No Match")</f>
        <v/>
      </c>
      <c r="G83" s="41">
        <f t="shared" ca="1" si="10"/>
        <v>575.55922232584828</v>
      </c>
      <c r="H83" s="59">
        <f t="shared" ca="1" si="1"/>
        <v>1.9725550796064216E-2</v>
      </c>
      <c r="I83" s="41">
        <f ca="1">IF(C83&lt;&gt;"",SUM($G$3:G83),"")</f>
        <v>52485.596548432244</v>
      </c>
      <c r="J83" s="41">
        <f t="shared" ca="1" si="8"/>
        <v>-1008.9348301793159</v>
      </c>
      <c r="K83" s="43">
        <f t="shared" ca="1" si="3"/>
        <v>0.23181710509720316</v>
      </c>
      <c r="L83" s="41">
        <f ca="1">IF(C83&lt;&gt;"",I83 / SUM($H$3:H83),"")</f>
        <v>23687.250225103446</v>
      </c>
      <c r="M83" s="59">
        <f t="shared" ca="1" si="5"/>
        <v>8.5679935404183102E-3</v>
      </c>
      <c r="N83" s="41">
        <v>250</v>
      </c>
      <c r="O83" s="41">
        <f ca="1">IF(C83&lt;&gt;"",SUM($N$3:N83) / SUM($M$3:M83),"")</f>
        <v>24953.016811626781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">
      <c r="A84" s="57">
        <v>45138</v>
      </c>
      <c r="B84" s="58">
        <v>82</v>
      </c>
      <c r="C84" s="41">
        <f t="array" aca="1" ref="C84" ca="1">IF(MATCH(A84, 'weekly price'!A:A, 0), INDEX('weekly price'!B:B, MATCH(A84, 'weekly price'!A:A, 0)), "No Match")</f>
        <v>29219.82</v>
      </c>
      <c r="D84" s="43">
        <f ca="1">IF(C84&lt;&gt;"",(C84-$C$3)/$C$3,"")</f>
        <v>-0.30124542650118374</v>
      </c>
      <c r="E84" s="43">
        <f t="array" aca="1" ref="E84" ca="1">IF(C84&lt;&gt;"",IF(AND(D84&lt;-0.4,C84&lt;&gt;""),IF(MATCH(A84, 'weekly price'!A:A, 0), INDEX('weekly price'!J:J, MATCH(A84, 'weekly price'!A:A, 0)), "No Match")-(2*D84),IF(MATCH(A84, 'weekly price'!A:A, 0), INDEX('weekly price'!J:J, MATCH(A84, 'weekly price'!A:A, 0)), "No Match")-D84),"")</f>
        <v>1.3012454265011837</v>
      </c>
      <c r="F84" s="44" t="str">
        <f t="array" aca="1" ref="F84" ca="1">IF(MATCH(A84, 'weekly price'!A:A, 0), INDEX('weekly price'!K:K, MATCH(A84, 'weekly price'!A:A, 0)), "No Match")</f>
        <v/>
      </c>
      <c r="G84" s="41">
        <f t="shared" ca="1" si="10"/>
        <v>575.31135662529584</v>
      </c>
      <c r="H84" s="59">
        <f t="shared" ca="1" si="1"/>
        <v>1.9689079420246114E-2</v>
      </c>
      <c r="I84" s="41">
        <f ca="1">IF(C84&lt;&gt;"",SUM($G$3:G84),"")</f>
        <v>53060.907905057538</v>
      </c>
      <c r="J84" s="41">
        <f t="shared" ca="1" si="8"/>
        <v>-1584.4940525051643</v>
      </c>
      <c r="K84" s="43">
        <f t="shared" ca="1" si="3"/>
        <v>0.23103496587407923</v>
      </c>
      <c r="L84" s="41">
        <f ca="1">IF(C84&lt;&gt;"",I84 / SUM($H$3:H84),"")</f>
        <v>23735.978920186782</v>
      </c>
      <c r="M84" s="59">
        <f t="shared" ca="1" si="5"/>
        <v>8.5558364151456096E-3</v>
      </c>
      <c r="N84" s="41">
        <v>250</v>
      </c>
      <c r="O84" s="41">
        <f ca="1">IF(C84&lt;&gt;"",SUM($N$3:N84) / SUM($M$3:M84),"")</f>
        <v>24997.532014354911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">
      <c r="A85" s="57">
        <v>45145</v>
      </c>
      <c r="B85" s="58">
        <v>83</v>
      </c>
      <c r="C85" s="41">
        <f t="array" aca="1" ref="C85" ca="1">IF(MATCH(A85, 'weekly price'!A:A, 0), INDEX('weekly price'!B:B, MATCH(A85, 'weekly price'!A:A, 0)), "No Match")</f>
        <v>29164.36</v>
      </c>
      <c r="D85" s="43">
        <f ca="1">IF(C85&lt;&gt;"",(C85-$C$3)/$C$3,"")</f>
        <v>-0.30257168137360402</v>
      </c>
      <c r="E85" s="43">
        <f t="array" aca="1" ref="E85" ca="1">IF(C85&lt;&gt;"",IF(AND(D85&lt;-0.4,C85&lt;&gt;""),IF(MATCH(A85, 'weekly price'!A:A, 0), INDEX('weekly price'!J:J, MATCH(A85, 'weekly price'!A:A, 0)), "No Match")-(2*D85),IF(MATCH(A85, 'weekly price'!A:A, 0), INDEX('weekly price'!J:J, MATCH(A85, 'weekly price'!A:A, 0)), "No Match")-D85),"")</f>
        <v>1.3025716813736041</v>
      </c>
      <c r="F85" s="44" t="str">
        <f t="array" aca="1" ref="F85" ca="1">IF(MATCH(A85, 'weekly price'!A:A, 0), INDEX('weekly price'!K:K, MATCH(A85, 'weekly price'!A:A, 0)), "No Match")</f>
        <v/>
      </c>
      <c r="G85" s="41">
        <f t="shared" ca="1" si="10"/>
        <v>575.64292034340099</v>
      </c>
      <c r="H85" s="59">
        <f t="shared" ca="1" si="1"/>
        <v>1.9737889682592075E-2</v>
      </c>
      <c r="I85" s="41">
        <f ca="1">IF(C85&lt;&gt;"",SUM($G$3:G85),"")</f>
        <v>53636.55082540094</v>
      </c>
      <c r="J85" s="41">
        <f t="shared" ca="1" si="8"/>
        <v>-2159.8054091304602</v>
      </c>
      <c r="K85" s="43">
        <f t="shared" ca="1" si="3"/>
        <v>0.22624397113684599</v>
      </c>
      <c r="L85" s="41">
        <f ca="1">IF(C85&lt;&gt;"",I85 / SUM($H$3:H85),"")</f>
        <v>23783.489000938236</v>
      </c>
      <c r="M85" s="59">
        <f t="shared" ca="1" si="5"/>
        <v>8.5721065025942626E-3</v>
      </c>
      <c r="N85" s="41">
        <v>250</v>
      </c>
      <c r="O85" s="41">
        <f ca="1">IF(C85&lt;&gt;"",SUM($N$3:N85) / SUM($M$3:M85),"")</f>
        <v>25040.63629382291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">
      <c r="A86" s="57">
        <v>45152</v>
      </c>
      <c r="B86" s="58">
        <v>84</v>
      </c>
      <c r="C86" s="41">
        <f t="array" aca="1" ref="C86" ca="1">IF(MATCH(A86, 'weekly price'!A:A, 0), INDEX('weekly price'!B:B, MATCH(A86, 'weekly price'!A:A, 0)), "No Match")</f>
        <v>29408.97</v>
      </c>
      <c r="D86" s="43">
        <f ca="1">IF(C86&lt;&gt;"",(C86-$C$3)/$C$3,"")</f>
        <v>-0.29672214649544443</v>
      </c>
      <c r="E86" s="43">
        <f t="array" aca="1" ref="E86" ca="1">IF(C86&lt;&gt;"",IF(AND(D86&lt;-0.4,C86&lt;&gt;""),IF(MATCH(A86, 'weekly price'!A:A, 0), INDEX('weekly price'!J:J, MATCH(A86, 'weekly price'!A:A, 0)), "No Match")-(2*D86),IF(MATCH(A86, 'weekly price'!A:A, 0), INDEX('weekly price'!J:J, MATCH(A86, 'weekly price'!A:A, 0)), "No Match")-D86),"")</f>
        <v>1.2967221464954444</v>
      </c>
      <c r="F86" s="44" t="str">
        <f t="array" aca="1" ref="F86" ca="1">IF(MATCH(A86, 'weekly price'!A:A, 0), INDEX('weekly price'!K:K, MATCH(A86, 'weekly price'!A:A, 0)), "No Match")</f>
        <v/>
      </c>
      <c r="G86" s="41">
        <f t="shared" ca="1" si="10"/>
        <v>574.18053662386103</v>
      </c>
      <c r="H86" s="59">
        <f t="shared" ca="1" si="1"/>
        <v>1.9523993415065572E-2</v>
      </c>
      <c r="I86" s="41">
        <f ca="1">IF(C86&lt;&gt;"",SUM($G$3:G86),"")</f>
        <v>54210.731362024802</v>
      </c>
      <c r="J86" s="41">
        <f t="shared" ca="1" si="8"/>
        <v>-2735.4483294738611</v>
      </c>
      <c r="K86" s="43">
        <f t="shared" ca="1" si="3"/>
        <v>0.23402360901448893</v>
      </c>
      <c r="L86" s="41">
        <f ca="1">IF(C86&lt;&gt;"",I86 / SUM($H$3:H86),"")</f>
        <v>23831.772573205853</v>
      </c>
      <c r="M86" s="59">
        <f t="shared" ca="1" si="5"/>
        <v>8.5008077467520968E-3</v>
      </c>
      <c r="N86" s="41">
        <v>250</v>
      </c>
      <c r="O86" s="41">
        <f ca="1">IF(C86&lt;&gt;"",SUM($N$3:N86) / SUM($M$3:M86),"")</f>
        <v>25084.99416666364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">
      <c r="A87" s="57">
        <v>45159</v>
      </c>
      <c r="B87" s="58">
        <v>85</v>
      </c>
      <c r="C87" s="41">
        <f t="array" aca="1" ref="C87" ca="1">IF(MATCH(A87, 'weekly price'!A:A, 0), INDEX('weekly price'!B:B, MATCH(A87, 'weekly price'!A:A, 0)), "No Match")</f>
        <v>26128.91</v>
      </c>
      <c r="D87" s="43">
        <f ca="1">IF(C87&lt;&gt;"",(C87-$C$3)/$C$3,"")</f>
        <v>-0.3751605806251046</v>
      </c>
      <c r="E87" s="43">
        <f t="array" aca="1" ref="E87" ca="1">IF(C87&lt;&gt;"",IF(AND(D87&lt;-0.4,C87&lt;&gt;""),IF(MATCH(A87, 'weekly price'!A:A, 0), INDEX('weekly price'!J:J, MATCH(A87, 'weekly price'!A:A, 0)), "No Match")-(2*D87),IF(MATCH(A87, 'weekly price'!A:A, 0), INDEX('weekly price'!J:J, MATCH(A87, 'weekly price'!A:A, 0)), "No Match")-D87),"")</f>
        <v>1.3751605806251046</v>
      </c>
      <c r="F87" s="44" t="str">
        <f t="array" aca="1" ref="F87" ca="1">IF(MATCH(A87, 'weekly price'!A:A, 0), INDEX('weekly price'!K:K, MATCH(A87, 'weekly price'!A:A, 0)), "No Match")</f>
        <v/>
      </c>
      <c r="G87" s="41">
        <f t="shared" ca="1" si="10"/>
        <v>593.79014515627614</v>
      </c>
      <c r="H87" s="59">
        <f t="shared" ca="1" si="1"/>
        <v>2.2725408184125405E-2</v>
      </c>
      <c r="I87" s="41">
        <f ca="1">IF(C87&lt;&gt;"",SUM($G$3:G87),"")</f>
        <v>54804.521507181082</v>
      </c>
      <c r="J87" s="41">
        <f t="shared" ca="1" si="8"/>
        <v>-3309.628866097722</v>
      </c>
      <c r="K87" s="43">
        <f t="shared" ca="1" si="3"/>
        <v>9.534534797487948E-2</v>
      </c>
      <c r="L87" s="41">
        <f ca="1">IF(C87&lt;&gt;"",I87 / SUM($H$3:H87),"")</f>
        <v>23854.494884474771</v>
      </c>
      <c r="M87" s="59">
        <f t="shared" ca="1" si="5"/>
        <v>9.5679460031053726E-3</v>
      </c>
      <c r="N87" s="41">
        <v>250</v>
      </c>
      <c r="O87" s="41">
        <f ca="1">IF(C87&lt;&gt;"",SUM($N$3:N87) / SUM($M$3:M87),"")</f>
        <v>25096.790402582883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">
      <c r="A88" s="57">
        <v>45166</v>
      </c>
      <c r="B88" s="58">
        <v>86</v>
      </c>
      <c r="C88" s="41">
        <f t="array" aca="1" ref="C88" ca="1">IF(MATCH(A88, 'weekly price'!A:A, 0), INDEX('weekly price'!B:B, MATCH(A88, 'weekly price'!A:A, 0)), "No Match")</f>
        <v>26103.279999999999</v>
      </c>
      <c r="D88" s="43">
        <f ca="1">IF(C88&lt;&gt;"",(C88-$C$3)/$C$3,"")</f>
        <v>-0.37577348925078319</v>
      </c>
      <c r="E88" s="43">
        <f t="array" aca="1" ref="E88" ca="1">IF(C88&lt;&gt;"",IF(AND(D88&lt;-0.4,C88&lt;&gt;""),IF(MATCH(A88, 'weekly price'!A:A, 0), INDEX('weekly price'!J:J, MATCH(A88, 'weekly price'!A:A, 0)), "No Match")-(2*D88),IF(MATCH(A88, 'weekly price'!A:A, 0), INDEX('weekly price'!J:J, MATCH(A88, 'weekly price'!A:A, 0)), "No Match")-D88),"")</f>
        <v>1.3757734892507831</v>
      </c>
      <c r="F88" s="44" t="str">
        <f t="array" aca="1" ref="F88" ca="1">IF(MATCH(A88, 'weekly price'!A:A, 0), INDEX('weekly price'!K:K, MATCH(A88, 'weekly price'!A:A, 0)), "No Match")</f>
        <v/>
      </c>
      <c r="G88" s="41">
        <f t="shared" ca="1" si="10"/>
        <v>593.94337231269583</v>
      </c>
      <c r="H88" s="59">
        <f t="shared" ca="1" si="1"/>
        <v>2.275359159127496E-2</v>
      </c>
      <c r="I88" s="41">
        <f ca="1">IF(C88&lt;&gt;"",SUM($G$3:G88),"")</f>
        <v>55398.464879493775</v>
      </c>
      <c r="J88" s="41">
        <f t="shared" ca="1" si="8"/>
        <v>-3903.4190112539982</v>
      </c>
      <c r="K88" s="43">
        <f t="shared" ca="1" si="3"/>
        <v>9.326021087934265E-2</v>
      </c>
      <c r="L88" s="41">
        <f ca="1">IF(C88&lt;&gt;"",I88 / SUM($H$3:H88),"")</f>
        <v>23876.54809005107</v>
      </c>
      <c r="M88" s="59">
        <f t="shared" ca="1" si="5"/>
        <v>9.5773404721552231E-3</v>
      </c>
      <c r="N88" s="41">
        <v>250</v>
      </c>
      <c r="O88" s="41">
        <f ca="1">IF(C88&lt;&gt;"",SUM($N$3:N88) / SUM($M$3:M88),"")</f>
        <v>25108.047558985316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">
      <c r="A89" s="57">
        <v>45173</v>
      </c>
      <c r="B89" s="58">
        <v>87</v>
      </c>
      <c r="C89" s="41">
        <f t="array" aca="1" ref="C89" ca="1">IF(MATCH(A89, 'weekly price'!A:A, 0), INDEX('weekly price'!B:B, MATCH(A89, 'weekly price'!A:A, 0)), "No Match")</f>
        <v>25799.53</v>
      </c>
      <c r="D89" s="43">
        <f ca="1">IF(C89&lt;&gt;"",(C89-$C$3)/$C$3,"")</f>
        <v>-0.38303728148838989</v>
      </c>
      <c r="E89" s="43">
        <f t="array" aca="1" ref="E89" ca="1">IF(C89&lt;&gt;"",IF(AND(D89&lt;-0.4,C89&lt;&gt;""),IF(MATCH(A89, 'weekly price'!A:A, 0), INDEX('weekly price'!J:J, MATCH(A89, 'weekly price'!A:A, 0)), "No Match")-(2*D89),IF(MATCH(A89, 'weekly price'!A:A, 0), INDEX('weekly price'!J:J, MATCH(A89, 'weekly price'!A:A, 0)), "No Match")-D89),"")</f>
        <v>1.3830372814883898</v>
      </c>
      <c r="F89" s="44" t="str">
        <f t="array" aca="1" ref="F89" ca="1">IF(MATCH(A89, 'weekly price'!A:A, 0), INDEX('weekly price'!K:K, MATCH(A89, 'weekly price'!A:A, 0)), "No Match")</f>
        <v/>
      </c>
      <c r="G89" s="41">
        <f t="shared" ca="1" si="10"/>
        <v>595.75932037209748</v>
      </c>
      <c r="H89" s="59">
        <f t="shared" ca="1" si="1"/>
        <v>2.309186719184797E-2</v>
      </c>
      <c r="I89" s="41">
        <f ca="1">IF(C89&lt;&gt;"",SUM($G$3:G89),"")</f>
        <v>55994.224199865872</v>
      </c>
      <c r="J89" s="41">
        <f t="shared" ca="1" si="8"/>
        <v>-4497.362383566694</v>
      </c>
      <c r="K89" s="43">
        <f t="shared" ca="1" si="3"/>
        <v>7.968162045410597E-2</v>
      </c>
      <c r="L89" s="41">
        <f ca="1">IF(C89&lt;&gt;"",I89 / SUM($H$3:H89),"")</f>
        <v>23895.497997964354</v>
      </c>
      <c r="M89" s="59">
        <f t="shared" ca="1" si="5"/>
        <v>9.6900990056795616E-3</v>
      </c>
      <c r="N89" s="41">
        <v>250</v>
      </c>
      <c r="O89" s="41">
        <f ca="1">IF(C89&lt;&gt;"",SUM($N$3:N89) / SUM($M$3:M89),"")</f>
        <v>25115.784991355195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">
      <c r="A90" s="57">
        <v>45180</v>
      </c>
      <c r="B90" s="58">
        <v>88</v>
      </c>
      <c r="C90" s="41">
        <f t="array" aca="1" ref="C90" ca="1">IF(MATCH(A90, 'weekly price'!A:A, 0), INDEX('weekly price'!B:B, MATCH(A90, 'weekly price'!A:A, 0)), "No Match")</f>
        <v>25135.040000000001</v>
      </c>
      <c r="D90" s="43">
        <f ca="1">IF(C90&lt;&gt;"",(C90-$C$3)/$C$3,"")</f>
        <v>-0.39892770882655376</v>
      </c>
      <c r="E90" s="43">
        <f t="array" aca="1" ref="E90" ca="1">IF(C90&lt;&gt;"",IF(AND(D90&lt;-0.4,C90&lt;&gt;""),IF(MATCH(A90, 'weekly price'!A:A, 0), INDEX('weekly price'!J:J, MATCH(A90, 'weekly price'!A:A, 0)), "No Match")-(2*D90),IF(MATCH(A90, 'weekly price'!A:A, 0), INDEX('weekly price'!J:J, MATCH(A90, 'weekly price'!A:A, 0)), "No Match")-D90),"")</f>
        <v>2.6065329583984433</v>
      </c>
      <c r="F90" s="44">
        <f t="array" aca="1" ref="F90" ca="1">IF(MATCH(A90, 'weekly price'!A:A, 0), INDEX('weekly price'!K:K, MATCH(A90, 'weekly price'!A:A, 0)), "No Match")</f>
        <v>2</v>
      </c>
      <c r="G90" s="41">
        <f t="shared" ca="1" si="10"/>
        <v>1151.6332395996108</v>
      </c>
      <c r="H90" s="59">
        <f t="shared" ca="1" si="1"/>
        <v>4.5817839939765792E-2</v>
      </c>
      <c r="I90" s="41">
        <f ca="1">IF(C90&lt;&gt;"",SUM($G$3:G90),"")</f>
        <v>57145.857439465486</v>
      </c>
      <c r="J90" s="41">
        <f t="shared" ca="1" si="8"/>
        <v>-5093.1217039387911</v>
      </c>
      <c r="K90" s="43">
        <f t="shared" ca="1" si="3"/>
        <v>5.0828072414041088E-2</v>
      </c>
      <c r="L90" s="41">
        <f ca="1">IF(C90&lt;&gt;"",I90 / SUM($H$3:H90),"")</f>
        <v>23919.269631099502</v>
      </c>
      <c r="M90" s="59">
        <f t="shared" ca="1" si="5"/>
        <v>9.9462742052529064E-3</v>
      </c>
      <c r="N90" s="41">
        <v>250</v>
      </c>
      <c r="O90" s="41">
        <f ca="1">IF(C90&lt;&gt;"",SUM($N$3:N90) / SUM($M$3:M90),"")</f>
        <v>25116.003632555192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">
      <c r="A91" s="57">
        <v>45187</v>
      </c>
      <c r="B91" s="58">
        <v>89</v>
      </c>
      <c r="C91" s="41">
        <f t="array" aca="1" ref="C91" ca="1">IF(MATCH(A91, 'weekly price'!A:A, 0), INDEX('weekly price'!B:B, MATCH(A91, 'weekly price'!A:A, 0)), "No Match")</f>
        <v>26764.63</v>
      </c>
      <c r="D91" s="43">
        <f ca="1">IF(C91&lt;&gt;"",(C91-$C$3)/$C$3,"")</f>
        <v>-0.35995815099122364</v>
      </c>
      <c r="E91" s="43">
        <f t="array" aca="1" ref="E91" ca="1">IF(C91&lt;&gt;"",IF(AND(D91&lt;-0.4,C91&lt;&gt;""),IF(MATCH(A91, 'weekly price'!A:A, 0), INDEX('weekly price'!J:J, MATCH(A91, 'weekly price'!A:A, 0)), "No Match")-(2*D91),IF(MATCH(A91, 'weekly price'!A:A, 0), INDEX('weekly price'!J:J, MATCH(A91, 'weekly price'!A:A, 0)), "No Match")-D91),"")</f>
        <v>1.3599581509912237</v>
      </c>
      <c r="F91" s="44" t="str">
        <f t="array" aca="1" ref="F91" ca="1">IF(MATCH(A91, 'weekly price'!A:A, 0), INDEX('weekly price'!K:K, MATCH(A91, 'weekly price'!A:A, 0)), "No Match")</f>
        <v/>
      </c>
      <c r="G91" s="41">
        <f t="shared" ca="1" si="10"/>
        <v>589.98953774780591</v>
      </c>
      <c r="H91" s="59">
        <f t="shared" ca="1" si="1"/>
        <v>2.2043627643939256E-2</v>
      </c>
      <c r="I91" s="41">
        <f ca="1">IF(C91&lt;&gt;"",SUM($G$3:G91),"")</f>
        <v>57735.846977213288</v>
      </c>
      <c r="J91" s="41">
        <f t="shared" ca="1" si="8"/>
        <v>-6244.7549435384017</v>
      </c>
      <c r="K91" s="43">
        <f t="shared" ca="1" si="3"/>
        <v>0.11774123204692043</v>
      </c>
      <c r="L91" s="41">
        <f ca="1">IF(C91&lt;&gt;"",I91 / SUM($H$3:H91),"")</f>
        <v>23945.282890733048</v>
      </c>
      <c r="M91" s="59">
        <f t="shared" ca="1" si="5"/>
        <v>9.3406858230433223E-3</v>
      </c>
      <c r="N91" s="41">
        <v>250</v>
      </c>
      <c r="O91" s="41">
        <f ca="1">IF(C91&lt;&gt;"",SUM($N$3:N91) / SUM($M$3:M91),"")</f>
        <v>25133.398543465872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">
      <c r="A92" s="57">
        <v>45194</v>
      </c>
      <c r="B92" s="58">
        <v>90</v>
      </c>
      <c r="C92" s="41">
        <f t="array" aca="1" ref="C92" ca="1">IF(MATCH(A92, 'weekly price'!A:A, 0), INDEX('weekly price'!B:B, MATCH(A92, 'weekly price'!A:A, 0)), "No Match")</f>
        <v>26288.81</v>
      </c>
      <c r="D92" s="43">
        <f ca="1">IF(C92&lt;&gt;"",(C92-$C$3)/$C$3,"")</f>
        <v>-0.37133677690891259</v>
      </c>
      <c r="E92" s="43">
        <f t="array" aca="1" ref="E92" ca="1">IF(C92&lt;&gt;"",IF(AND(D92&lt;-0.4,C92&lt;&gt;""),IF(MATCH(A92, 'weekly price'!A:A, 0), INDEX('weekly price'!J:J, MATCH(A92, 'weekly price'!A:A, 0)), "No Match")-(2*D92),IF(MATCH(A92, 'weekly price'!A:A, 0), INDEX('weekly price'!J:J, MATCH(A92, 'weekly price'!A:A, 0)), "No Match")-D92),"")</f>
        <v>1.3713367769089126</v>
      </c>
      <c r="F92" s="44" t="str">
        <f t="array" aca="1" ref="F92" ca="1">IF(MATCH(A92, 'weekly price'!A:A, 0), INDEX('weekly price'!K:K, MATCH(A92, 'weekly price'!A:A, 0)), "No Match")</f>
        <v/>
      </c>
      <c r="G92" s="41">
        <f t="shared" ca="1" si="10"/>
        <v>592.83419422722818</v>
      </c>
      <c r="H92" s="59">
        <f t="shared" ca="1" si="1"/>
        <v>2.2550818931219335E-2</v>
      </c>
      <c r="I92" s="41">
        <f ca="1">IF(C92&lt;&gt;"",SUM($G$3:G92),"")</f>
        <v>58328.681171440519</v>
      </c>
      <c r="J92" s="41">
        <f t="shared" ca="1" si="8"/>
        <v>-6834.7444812862077</v>
      </c>
      <c r="K92" s="43">
        <f t="shared" ca="1" si="3"/>
        <v>9.687537434648584E-2</v>
      </c>
      <c r="L92" s="41">
        <f ca="1">IF(C92&lt;&gt;"",I92 / SUM($H$3:H92),"")</f>
        <v>23966.99808824022</v>
      </c>
      <c r="M92" s="59">
        <f t="shared" ca="1" si="5"/>
        <v>9.5097495854700159E-3</v>
      </c>
      <c r="N92" s="41">
        <v>250</v>
      </c>
      <c r="O92" s="41">
        <f ca="1">IF(C92&lt;&gt;"",SUM($N$3:N92) / SUM($M$3:M92),"")</f>
        <v>25145.678210360296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">
      <c r="A93" s="57">
        <v>45201</v>
      </c>
      <c r="B93" s="58">
        <v>91</v>
      </c>
      <c r="C93" s="41">
        <f t="array" aca="1" ref="C93" ca="1">IF(MATCH(A93, 'weekly price'!A:A, 0), INDEX('weekly price'!B:B, MATCH(A93, 'weekly price'!A:A, 0)), "No Match")</f>
        <v>27565.89</v>
      </c>
      <c r="D93" s="43">
        <f ca="1">IF(C93&lt;&gt;"",(C93-$C$3)/$C$3,"")</f>
        <v>-0.34079704426429441</v>
      </c>
      <c r="E93" s="43">
        <f t="array" aca="1" ref="E93" ca="1">IF(C93&lt;&gt;"",IF(AND(D93&lt;-0.4,C93&lt;&gt;""),IF(MATCH(A93, 'weekly price'!A:A, 0), INDEX('weekly price'!J:J, MATCH(A93, 'weekly price'!A:A, 0)), "No Match")-(2*D93),IF(MATCH(A93, 'weekly price'!A:A, 0), INDEX('weekly price'!J:J, MATCH(A93, 'weekly price'!A:A, 0)), "No Match")-D93),"")</f>
        <v>1.3407970442642945</v>
      </c>
      <c r="F93" s="44" t="str">
        <f t="array" aca="1" ref="F93" ca="1">IF(MATCH(A93, 'weekly price'!A:A, 0), INDEX('weekly price'!K:K, MATCH(A93, 'weekly price'!A:A, 0)), "No Match")</f>
        <v/>
      </c>
      <c r="G93" s="41">
        <f t="shared" ca="1" si="10"/>
        <v>585.19926106607363</v>
      </c>
      <c r="H93" s="59">
        <f t="shared" ca="1" si="1"/>
        <v>2.1229108186460646E-2</v>
      </c>
      <c r="I93" s="41">
        <f ca="1">IF(C93&lt;&gt;"",SUM($G$3:G93),"")</f>
        <v>58913.880432506594</v>
      </c>
      <c r="J93" s="41">
        <f t="shared" ca="1" si="8"/>
        <v>-7427.5786755134359</v>
      </c>
      <c r="K93" s="43">
        <f t="shared" ca="1" si="3"/>
        <v>0.14866875007541042</v>
      </c>
      <c r="L93" s="41">
        <f ca="1">IF(C93&lt;&gt;"",I93 / SUM($H$3:H93),"")</f>
        <v>23998.11956074394</v>
      </c>
      <c r="M93" s="59">
        <f t="shared" ca="1" si="5"/>
        <v>9.0691793372171189E-3</v>
      </c>
      <c r="N93" s="41">
        <v>250</v>
      </c>
      <c r="O93" s="41">
        <f ca="1">IF(C93&lt;&gt;"",SUM($N$3:N93) / SUM($M$3:M93),"")</f>
        <v>25169.962339113441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">
      <c r="A94" s="57">
        <v>45208</v>
      </c>
      <c r="B94" s="58">
        <v>92</v>
      </c>
      <c r="C94" s="41">
        <f t="array" aca="1" ref="C94" ca="1">IF(MATCH(A94, 'weekly price'!A:A, 0), INDEX('weekly price'!B:B, MATCH(A94, 'weekly price'!A:A, 0)), "No Match")</f>
        <v>27591.35</v>
      </c>
      <c r="D94" s="43">
        <f ca="1">IF(C94&lt;&gt;"",(C94-$C$3)/$C$3,"")</f>
        <v>-0.34018820097089703</v>
      </c>
      <c r="E94" s="43">
        <f t="array" aca="1" ref="E94" ca="1">IF(C94&lt;&gt;"",IF(AND(D94&lt;-0.4,C94&lt;&gt;""),IF(MATCH(A94, 'weekly price'!A:A, 0), INDEX('weekly price'!J:J, MATCH(A94, 'weekly price'!A:A, 0)), "No Match")-(2*D94),IF(MATCH(A94, 'weekly price'!A:A, 0), INDEX('weekly price'!J:J, MATCH(A94, 'weekly price'!A:A, 0)), "No Match")-D94),"")</f>
        <v>1.340188200970897</v>
      </c>
      <c r="F94" s="44" t="str">
        <f t="array" aca="1" ref="F94" ca="1">IF(MATCH(A94, 'weekly price'!A:A, 0), INDEX('weekly price'!K:K, MATCH(A94, 'weekly price'!A:A, 0)), "No Match")</f>
        <v/>
      </c>
      <c r="G94" s="41">
        <f t="shared" ca="1" si="10"/>
        <v>585.04705024272425</v>
      </c>
      <c r="H94" s="59">
        <f t="shared" ca="1" si="1"/>
        <v>2.1204002350110607E-2</v>
      </c>
      <c r="I94" s="41">
        <f ca="1">IF(C94&lt;&gt;"",SUM($G$3:G94),"")</f>
        <v>59498.927482749321</v>
      </c>
      <c r="J94" s="41">
        <f t="shared" ca="1" si="8"/>
        <v>-8012.7779365795095</v>
      </c>
      <c r="K94" s="43">
        <f t="shared" ca="1" si="3"/>
        <v>0.14825738957897169</v>
      </c>
      <c r="L94" s="41">
        <f ca="1">IF(C94&lt;&gt;"",I94 / SUM($H$3:H94),"")</f>
        <v>24028.889559436531</v>
      </c>
      <c r="M94" s="59">
        <f t="shared" ca="1" si="5"/>
        <v>9.0608107251004388E-3</v>
      </c>
      <c r="N94" s="41">
        <v>250</v>
      </c>
      <c r="O94" s="41">
        <f ca="1">IF(C94&lt;&gt;"",SUM($N$3:N94) / SUM($M$3:M94),"")</f>
        <v>25193.99492953021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">
      <c r="A95" s="57">
        <v>45215</v>
      </c>
      <c r="B95" s="58">
        <v>93</v>
      </c>
      <c r="C95" s="41">
        <f t="array" aca="1" ref="C95" ca="1">IF(MATCH(A95, 'weekly price'!A:A, 0), INDEX('weekly price'!B:B, MATCH(A95, 'weekly price'!A:A, 0)), "No Match")</f>
        <v>28506.79</v>
      </c>
      <c r="D95" s="43">
        <f ca="1">IF(C95&lt;&gt;"",(C95-$C$3)/$C$3,"")</f>
        <v>-0.31829662577420664</v>
      </c>
      <c r="E95" s="43">
        <f t="array" aca="1" ref="E95" ca="1">IF(C95&lt;&gt;"",IF(AND(D95&lt;-0.4,C95&lt;&gt;""),IF(MATCH(A95, 'weekly price'!A:A, 0), INDEX('weekly price'!J:J, MATCH(A95, 'weekly price'!A:A, 0)), "No Match")-(2*D95),IF(MATCH(A95, 'weekly price'!A:A, 0), INDEX('weekly price'!J:J, MATCH(A95, 'weekly price'!A:A, 0)), "No Match")-D95),"")</f>
        <v>1.3182966257742066</v>
      </c>
      <c r="F95" s="44" t="str">
        <f t="array" aca="1" ref="F95" ca="1">IF(MATCH(A95, 'weekly price'!A:A, 0), INDEX('weekly price'!K:K, MATCH(A95, 'weekly price'!A:A, 0)), "No Match")</f>
        <v/>
      </c>
      <c r="G95" s="41">
        <f t="shared" ca="1" si="10"/>
        <v>579.57415644355171</v>
      </c>
      <c r="H95" s="59">
        <f t="shared" ca="1" si="1"/>
        <v>2.0331091520425545E-2</v>
      </c>
      <c r="I95" s="41">
        <f ca="1">IF(C95&lt;&gt;"",SUM($G$3:G95),"")</f>
        <v>60078.501639192873</v>
      </c>
      <c r="J95" s="41">
        <f t="shared" ca="1" si="8"/>
        <v>-8597.8249868222338</v>
      </c>
      <c r="K95" s="43">
        <f t="shared" ca="1" si="3"/>
        <v>0.18455710817357046</v>
      </c>
      <c r="L95" s="41">
        <f ca="1">IF(C95&lt;&gt;"",I95 / SUM($H$3:H95),"")</f>
        <v>24065.357257408788</v>
      </c>
      <c r="M95" s="59">
        <f t="shared" ca="1" si="5"/>
        <v>8.7698404485387505E-3</v>
      </c>
      <c r="N95" s="41">
        <v>250</v>
      </c>
      <c r="O95" s="41">
        <f ca="1">IF(C95&lt;&gt;"",SUM($N$3:N95) / SUM($M$3:M95),"")</f>
        <v>25225.51617492297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">
      <c r="A96" s="57">
        <v>45222</v>
      </c>
      <c r="B96" s="58">
        <v>94</v>
      </c>
      <c r="C96" s="41">
        <f t="array" aca="1" ref="C96" ca="1">IF(MATCH(A96, 'weekly price'!A:A, 0), INDEX('weekly price'!B:B, MATCH(A96, 'weekly price'!A:A, 0)), "No Match")</f>
        <v>32954.17</v>
      </c>
      <c r="D96" s="43">
        <f ca="1">IF(C96&lt;&gt;"",(C96-$C$3)/$C$3,"")</f>
        <v>-0.21194322883038003</v>
      </c>
      <c r="E96" s="43">
        <f t="array" aca="1" ref="E96" ca="1">IF(C96&lt;&gt;"",IF(AND(D96&lt;-0.4,C96&lt;&gt;""),IF(MATCH(A96, 'weekly price'!A:A, 0), INDEX('weekly price'!J:J, MATCH(A96, 'weekly price'!A:A, 0)), "No Match")-(2*D96),IF(MATCH(A96, 'weekly price'!A:A, 0), INDEX('weekly price'!J:J, MATCH(A96, 'weekly price'!A:A, 0)), "No Match")-D96),"")</f>
        <v>-0.42050308318980129</v>
      </c>
      <c r="F96" s="44">
        <f t="array" aca="1" ref="F96" ca="1">IF(MATCH(A96, 'weekly price'!A:A, 0), INDEX('weekly price'!K:K, MATCH(A96, 'weekly price'!A:A, 0)), "No Match")</f>
        <v>-3</v>
      </c>
      <c r="G96" s="41">
        <f t="shared" ca="1" si="10"/>
        <v>-855.12577079745029</v>
      </c>
      <c r="H96" s="59">
        <f t="shared" ca="1" si="1"/>
        <v>-2.594893971832549E-2</v>
      </c>
      <c r="I96" s="41">
        <f ca="1">IF(C96&lt;&gt;"",SUM($G$3:G96),"")</f>
        <v>59223.375868395422</v>
      </c>
      <c r="J96" s="41">
        <f t="shared" ca="1" si="8"/>
        <v>-9177.3991432657858</v>
      </c>
      <c r="K96" s="43">
        <f t="shared" ca="1" si="3"/>
        <v>0.37469455077177055</v>
      </c>
      <c r="L96" s="41">
        <f ca="1">IF(C96&lt;&gt;"",I96 / SUM($H$3:H96),"")</f>
        <v>23971.994347034488</v>
      </c>
      <c r="M96" s="59">
        <f t="shared" ca="1" si="5"/>
        <v>7.5862933279763995E-3</v>
      </c>
      <c r="N96" s="41">
        <v>250</v>
      </c>
      <c r="O96" s="41">
        <f ca="1">IF(C96&lt;&gt;"",SUM($N$3:N96) / SUM($M$3:M96),"")</f>
        <v>25288.610542556195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">
      <c r="A97" s="57">
        <v>45229</v>
      </c>
      <c r="B97" s="58">
        <v>95</v>
      </c>
      <c r="C97" s="41">
        <f t="array" aca="1" ref="C97" ca="1">IF(MATCH(A97, 'weekly price'!A:A, 0), INDEX('weekly price'!B:B, MATCH(A97, 'weekly price'!A:A, 0)), "No Match")</f>
        <v>34495.11</v>
      </c>
      <c r="D97" s="43">
        <f ca="1">IF(C97&lt;&gt;"",(C97-$C$3)/$C$3,"")</f>
        <v>-0.17509362221106248</v>
      </c>
      <c r="E97" s="43">
        <f t="array" aca="1" ref="E97" ca="1">IF(C97&lt;&gt;"",IF(AND(D97&lt;-0.4,C97&lt;&gt;""),IF(MATCH(A97, 'weekly price'!A:A, 0), INDEX('weekly price'!J:J, MATCH(A97, 'weekly price'!A:A, 0)), "No Match")-(2*D97),IF(MATCH(A97, 'weekly price'!A:A, 0), INDEX('weekly price'!J:J, MATCH(A97, 'weekly price'!A:A, 0)), "No Match")-D97),"")</f>
        <v>-0.1292481133349023</v>
      </c>
      <c r="F97" s="44">
        <f t="array" aca="1" ref="F97" ca="1">IF(MATCH(A97, 'weekly price'!A:A, 0), INDEX('weekly price'!K:K, MATCH(A97, 'weekly price'!A:A, 0)), "No Match")</f>
        <v>-3</v>
      </c>
      <c r="G97" s="41">
        <f t="shared" ca="1" si="10"/>
        <v>-782.31202833372561</v>
      </c>
      <c r="H97" s="59">
        <f t="shared" ca="1" si="1"/>
        <v>-2.2678925457368469E-2</v>
      </c>
      <c r="I97" s="41">
        <f ca="1">IF(C97&lt;&gt;"",SUM($G$3:G97),"")</f>
        <v>58441.063840061695</v>
      </c>
      <c r="J97" s="41">
        <f t="shared" ca="1" si="8"/>
        <v>-8322.2733724683349</v>
      </c>
      <c r="K97" s="43">
        <f t="shared" ca="1" si="3"/>
        <v>0.44485166801673365</v>
      </c>
      <c r="L97" s="41">
        <f ca="1">IF(C97&lt;&gt;"",I97 / SUM($H$3:H97),"")</f>
        <v>23874.499205409433</v>
      </c>
      <c r="M97" s="59">
        <f t="shared" ca="1" si="5"/>
        <v>7.2474040523424913E-3</v>
      </c>
      <c r="N97" s="41">
        <v>250</v>
      </c>
      <c r="O97" s="41">
        <f ca="1">IF(C97&lt;&gt;"",SUM($N$3:N97) / SUM($M$3:M97),"")</f>
        <v>25359.856492929728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">
      <c r="A98" s="57">
        <v>45236</v>
      </c>
      <c r="B98" s="58">
        <v>96</v>
      </c>
      <c r="C98" s="41">
        <f t="array" aca="1" ref="C98" ca="1">IF(MATCH(A98, 'weekly price'!A:A, 0), INDEX('weekly price'!B:B, MATCH(A98, 'weekly price'!A:A, 0)), "No Match")</f>
        <v>35017.72</v>
      </c>
      <c r="D98" s="43">
        <f ca="1">IF(C98&lt;&gt;"",(C98-$C$3)/$C$3,"")</f>
        <v>-0.16259607336729079</v>
      </c>
      <c r="E98" s="43">
        <f t="array" aca="1" ref="E98" ca="1">IF(C98&lt;&gt;"",IF(AND(D98&lt;-0.4,C98&lt;&gt;""),IF(MATCH(A98, 'weekly price'!A:A, 0), INDEX('weekly price'!J:J, MATCH(A98, 'weekly price'!A:A, 0)), "No Match")-(2*D98),IF(MATCH(A98, 'weekly price'!A:A, 0), INDEX('weekly price'!J:J, MATCH(A98, 'weekly price'!A:A, 0)), "No Match")-D98),"")</f>
        <v>-4.6812010835806411E-2</v>
      </c>
      <c r="F98" s="44">
        <f t="array" aca="1" ref="F98" ca="1">IF(MATCH(A98, 'weekly price'!A:A, 0), INDEX('weekly price'!K:K, MATCH(A98, 'weekly price'!A:A, 0)), "No Match")</f>
        <v>-3</v>
      </c>
      <c r="G98" s="41">
        <f t="shared" ca="1" si="10"/>
        <v>-761.70300270895166</v>
      </c>
      <c r="H98" s="59">
        <f t="shared" ca="1" si="1"/>
        <v>-2.1751930243001306E-2</v>
      </c>
      <c r="I98" s="41">
        <f ca="1">IF(C98&lt;&gt;"",SUM($G$3:G98),"")</f>
        <v>57679.360837352746</v>
      </c>
      <c r="J98" s="41">
        <f t="shared" ca="1" si="8"/>
        <v>-7539.9613441346091</v>
      </c>
      <c r="K98" s="43">
        <f t="shared" ca="1" si="3"/>
        <v>0.47290525411112422</v>
      </c>
      <c r="L98" s="41">
        <f ca="1">IF(C98&lt;&gt;"",I98 / SUM($H$3:H98),"")</f>
        <v>23774.59100119285</v>
      </c>
      <c r="M98" s="59">
        <f t="shared" ca="1" si="5"/>
        <v>7.1392426462945045E-3</v>
      </c>
      <c r="N98" s="41">
        <v>250</v>
      </c>
      <c r="O98" s="41">
        <f ca="1">IF(C98&lt;&gt;"",SUM($N$3:N98) / SUM($M$3:M98),"")</f>
        <v>25432.922982180182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">
      <c r="A99" s="57">
        <v>45243</v>
      </c>
      <c r="B99" s="58">
        <v>97</v>
      </c>
      <c r="C99" s="41">
        <f t="array" aca="1" ref="C99" ca="1">IF(MATCH(A99, 'weekly price'!A:A, 0), INDEX('weekly price'!B:B, MATCH(A99, 'weekly price'!A:A, 0)), "No Match")</f>
        <v>36543.269999999997</v>
      </c>
      <c r="D99" s="43">
        <f ca="1">IF(C99&lt;&gt;"",(C99-$C$3)/$C$3,"")</f>
        <v>-0.12611449888801213</v>
      </c>
      <c r="E99" s="43">
        <f t="array" aca="1" ref="E99" ca="1">IF(C99&lt;&gt;"",IF(AND(D99&lt;-0.4,C99&lt;&gt;""),IF(MATCH(A99, 'weekly price'!A:A, 0), INDEX('weekly price'!J:J, MATCH(A99, 'weekly price'!A:A, 0)), "No Match")-(2*D99),IF(MATCH(A99, 'weekly price'!A:A, 0), INDEX('weekly price'!J:J, MATCH(A99, 'weekly price'!A:A, 0)), "No Match")-D99),"")</f>
        <v>-0.16881188847324136</v>
      </c>
      <c r="F99" s="44">
        <f t="array" aca="1" ref="F99" ca="1">IF(MATCH(A99, 'weekly price'!A:A, 0), INDEX('weekly price'!K:K, MATCH(A99, 'weekly price'!A:A, 0)), "No Match")</f>
        <v>-3</v>
      </c>
      <c r="G99" s="41">
        <f t="shared" ca="1" si="10"/>
        <v>-792.20297211831041</v>
      </c>
      <c r="H99" s="59">
        <f t="shared" ca="1" si="1"/>
        <v>-2.1678491610584123E-2</v>
      </c>
      <c r="I99" s="41">
        <f ca="1">IF(C99&lt;&gt;"",SUM($G$3:G99),"")</f>
        <v>56887.157865234432</v>
      </c>
      <c r="J99" s="41">
        <f t="shared" ca="1" si="8"/>
        <v>-6778.2583414256578</v>
      </c>
      <c r="K99" s="43">
        <f t="shared" ca="1" si="3"/>
        <v>0.54455169885574817</v>
      </c>
      <c r="L99" s="41">
        <f ca="1">IF(C99&lt;&gt;"",I99 / SUM($H$3:H99),"")</f>
        <v>23659.467033102475</v>
      </c>
      <c r="M99" s="59">
        <f t="shared" ca="1" si="5"/>
        <v>6.841204960585082E-3</v>
      </c>
      <c r="N99" s="41">
        <v>250</v>
      </c>
      <c r="O99" s="41">
        <f ca="1">IF(C99&lt;&gt;"",SUM($N$3:N99) / SUM($M$3:M99),"")</f>
        <v>25512.889490027785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">
      <c r="A100" s="57">
        <v>45250</v>
      </c>
      <c r="B100" s="58">
        <v>98</v>
      </c>
      <c r="C100" s="41">
        <f t="array" aca="1" ref="C100" ca="1">IF(MATCH(A100, 'weekly price'!A:A, 0), INDEX('weekly price'!B:B, MATCH(A100, 'weekly price'!A:A, 0)), "No Match")</f>
        <v>37516.050000000003</v>
      </c>
      <c r="D100" s="43">
        <f ca="1">IF(C100&lt;&gt;"",(C100-$C$3)/$C$3,"")</f>
        <v>-0.1028517110266159</v>
      </c>
      <c r="E100" s="43">
        <f t="array" aca="1" ref="E100" ca="1">IF(C100&lt;&gt;"",IF(AND(D100&lt;-0.4,C100&lt;&gt;""),IF(MATCH(A100, 'weekly price'!A:A, 0), INDEX('weekly price'!J:J, MATCH(A100, 'weekly price'!A:A, 0)), "No Match")-(2*D100),IF(MATCH(A100, 'weekly price'!A:A, 0), INDEX('weekly price'!J:J, MATCH(A100, 'weekly price'!A:A, 0)), "No Match")-D100),"")</f>
        <v>-0.14121594062601128</v>
      </c>
      <c r="F100" s="44">
        <f t="array" aca="1" ref="F100" ca="1">IF(MATCH(A100, 'weekly price'!A:A, 0), INDEX('weekly price'!K:K, MATCH(A100, 'weekly price'!A:A, 0)), "No Match")</f>
        <v>-3</v>
      </c>
      <c r="G100" s="41">
        <f t="shared" ca="1" si="10"/>
        <v>-785.30398515650279</v>
      </c>
      <c r="H100" s="59">
        <f t="shared" ca="1" si="1"/>
        <v>-2.0932480502518329E-2</v>
      </c>
      <c r="I100" s="41">
        <f ca="1">IF(C100&lt;&gt;"",SUM($G$3:G100),"")</f>
        <v>56101.853880077928</v>
      </c>
      <c r="J100" s="41">
        <f t="shared" ca="1" si="8"/>
        <v>-5986.0553693073471</v>
      </c>
      <c r="K100" s="43">
        <f t="shared" ca="1" si="3"/>
        <v>0.59386565993401186</v>
      </c>
      <c r="L100" s="41">
        <f ca="1">IF(C100&lt;&gt;"",I100 / SUM($H$3:H100),"")</f>
        <v>23537.774194566195</v>
      </c>
      <c r="M100" s="59">
        <f t="shared" ca="1" si="5"/>
        <v>6.6638145540375377E-3</v>
      </c>
      <c r="N100" s="41">
        <v>250</v>
      </c>
      <c r="O100" s="41">
        <f ca="1">IF(C100&lt;&gt;"",SUM($N$3:N100) / SUM($M$3:M100),"")</f>
        <v>25596.456001075981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">
      <c r="A101" s="57">
        <v>45257</v>
      </c>
      <c r="B101" s="58">
        <v>99</v>
      </c>
      <c r="C101" s="41">
        <f t="array" aca="1" ref="C101" ca="1">IF(MATCH(A101, 'weekly price'!A:A, 0), INDEX('weekly price'!B:B, MATCH(A101, 'weekly price'!A:A, 0)), "No Match")</f>
        <v>37229.25</v>
      </c>
      <c r="D101" s="43">
        <f ca="1">IF(C101&lt;&gt;"",(C101-$C$3)/$C$3,"")</f>
        <v>-0.10971016572207476</v>
      </c>
      <c r="E101" s="43">
        <f t="array" aca="1" ref="E101" ca="1">IF(C101&lt;&gt;"",IF(AND(D101&lt;-0.4,C101&lt;&gt;""),IF(MATCH(A101, 'weekly price'!A:A, 0), INDEX('weekly price'!J:J, MATCH(A101, 'weekly price'!A:A, 0)), "No Match")-(2*D101),IF(MATCH(A101, 'weekly price'!A:A, 0), INDEX('weekly price'!J:J, MATCH(A101, 'weekly price'!A:A, 0)), "No Match")-D101),"")</f>
        <v>-6.4979554742632506E-2</v>
      </c>
      <c r="F101" s="44">
        <f t="array" aca="1" ref="F101" ca="1">IF(MATCH(A101, 'weekly price'!A:A, 0), INDEX('weekly price'!K:K, MATCH(A101, 'weekly price'!A:A, 0)), "No Match")</f>
        <v>-3</v>
      </c>
      <c r="G101" s="41">
        <f t="shared" ca="1" si="10"/>
        <v>-766.24488868565811</v>
      </c>
      <c r="H101" s="59">
        <f t="shared" ca="1" si="1"/>
        <v>-2.0581797610364379E-2</v>
      </c>
      <c r="I101" s="41">
        <f ca="1">IF(C101&lt;&gt;"",SUM($G$3:G101),"")</f>
        <v>55335.60899139227</v>
      </c>
      <c r="J101" s="41">
        <f t="shared" ca="1" si="8"/>
        <v>-5200.7513841508444</v>
      </c>
      <c r="K101" s="43">
        <f t="shared" ca="1" si="3"/>
        <v>0.58973566069578731</v>
      </c>
      <c r="L101" s="41">
        <f ca="1">IF(C101&lt;&gt;"",I101 / SUM($H$3:H101),"")</f>
        <v>23418.515996367405</v>
      </c>
      <c r="M101" s="59">
        <f t="shared" ca="1" si="5"/>
        <v>6.7151500500278677E-3</v>
      </c>
      <c r="N101" s="41">
        <v>250</v>
      </c>
      <c r="O101" s="41">
        <f ca="1">IF(C101&lt;&gt;"",SUM($N$3:N101) / SUM($M$3:M101),"")</f>
        <v>25677.499331941253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">
      <c r="A102" s="57">
        <v>45264</v>
      </c>
      <c r="B102" s="58">
        <v>100</v>
      </c>
      <c r="C102" s="41">
        <f t="array" aca="1" ref="C102" ca="1">IF(MATCH(A102, 'weekly price'!A:A, 0), INDEX('weekly price'!B:B, MATCH(A102, 'weekly price'!A:A, 0)), "No Match")</f>
        <v>41910.300000000003</v>
      </c>
      <c r="D102" s="43">
        <f ca="1">IF(C102&lt;&gt;"",(C102-$C$3)/$C$3,"")</f>
        <v>2.2311500107612433E-3</v>
      </c>
      <c r="E102" s="43">
        <f t="array" aca="1" ref="E102" ca="1">IF(C102&lt;&gt;"",IF(AND(D102&lt;-0.4,C102&lt;&gt;""),IF(MATCH(A102, 'weekly price'!A:A, 0), INDEX('weekly price'!J:J, MATCH(A102, 'weekly price'!A:A, 0)), "No Match")-(2*D102),IF(MATCH(A102, 'weekly price'!A:A, 0), INDEX('weekly price'!J:J, MATCH(A102, 'weekly price'!A:A, 0)), "No Match")-D102),"")</f>
        <v>-0.66306174780290061</v>
      </c>
      <c r="F102" s="44">
        <f t="array" aca="1" ref="F102" ca="1">IF(MATCH(A102, 'weekly price'!A:A, 0), INDEX('weekly price'!K:K, MATCH(A102, 'weekly price'!A:A, 0)), "No Match")</f>
        <v>-4</v>
      </c>
      <c r="G102" s="41">
        <f t="shared" ca="1" si="10"/>
        <v>-1165.7654369507252</v>
      </c>
      <c r="H102" s="59">
        <f t="shared" ca="1" si="1"/>
        <v>-2.7815726371577514E-2</v>
      </c>
      <c r="I102" s="41">
        <f ca="1">IF(C102&lt;&gt;"",SUM($G$3:G102),"")</f>
        <v>54169.843554441548</v>
      </c>
      <c r="J102" s="41">
        <f t="shared" ca="1" si="8"/>
        <v>-4434.5064954651862</v>
      </c>
      <c r="K102" s="43">
        <f t="shared" ca="1" si="3"/>
        <v>0.80661548225854696</v>
      </c>
      <c r="L102" s="41">
        <f ca="1">IF(C102&lt;&gt;"",I102 / SUM($H$3:H102),"")</f>
        <v>23198.240251769395</v>
      </c>
      <c r="M102" s="59">
        <f t="shared" ca="1" si="5"/>
        <v>5.9651207459741392E-3</v>
      </c>
      <c r="N102" s="41">
        <v>250</v>
      </c>
      <c r="O102" s="41">
        <f ca="1">IF(C102&lt;&gt;"",SUM($N$3:N102) / SUM($M$3:M102),"")</f>
        <v>25777.340763370863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">
      <c r="A103" s="57">
        <v>45271</v>
      </c>
      <c r="B103" s="58">
        <v>101</v>
      </c>
      <c r="C103" s="41">
        <f t="array" aca="1" ref="C103" ca="1">IF(MATCH(A103, 'weekly price'!A:A, 0), INDEX('weekly price'!B:B, MATCH(A103, 'weekly price'!A:A, 0)), "No Match")</f>
        <v>41209.89</v>
      </c>
      <c r="D103" s="43">
        <f ca="1">IF(C103&lt;&gt;"",(C103-$C$3)/$C$3,"")</f>
        <v>-1.4518258124686146E-2</v>
      </c>
      <c r="E103" s="43">
        <f t="array" aca="1" ref="E103" ca="1">IF(C103&lt;&gt;"",IF(AND(D103&lt;-0.4,C103&lt;&gt;""),IF(MATCH(A103, 'weekly price'!A:A, 0), INDEX('weekly price'!J:J, MATCH(A103, 'weekly price'!A:A, 0)), "No Match")-(2*D103),IF(MATCH(A103, 'weekly price'!A:A, 0), INDEX('weekly price'!J:J, MATCH(A103, 'weekly price'!A:A, 0)), "No Match")-D103),"")</f>
        <v>-0.19387090837491958</v>
      </c>
      <c r="F103" s="44">
        <f t="array" aca="1" ref="F103" ca="1">IF(MATCH(A103, 'weekly price'!A:A, 0), INDEX('weekly price'!K:K, MATCH(A103, 'weekly price'!A:A, 0)), "No Match")</f>
        <v>-3</v>
      </c>
      <c r="G103" s="41">
        <f t="shared" ca="1" si="10"/>
        <v>-798.46772709372988</v>
      </c>
      <c r="H103" s="59">
        <f t="shared" ca="1" si="1"/>
        <v>-1.9375633545581653E-2</v>
      </c>
      <c r="I103" s="41">
        <f ca="1">IF(C103&lt;&gt;"",SUM($G$3:G103),"")</f>
        <v>53371.375827347816</v>
      </c>
      <c r="J103" s="41">
        <f t="shared" ca="1" si="8"/>
        <v>-3268.7410585144607</v>
      </c>
      <c r="K103" s="43">
        <f t="shared" ca="1" si="3"/>
        <v>0.7880388603053472</v>
      </c>
      <c r="L103" s="41">
        <f ca="1">IF(C103&lt;&gt;"",I103 / SUM($H$3:H103),"")</f>
        <v>23047.535998721247</v>
      </c>
      <c r="M103" s="59">
        <f t="shared" ca="1" si="5"/>
        <v>6.0665049093797628E-3</v>
      </c>
      <c r="N103" s="41">
        <v>250</v>
      </c>
      <c r="O103" s="41">
        <f ca="1">IF(C103&lt;&gt;"",SUM($N$3:N103) / SUM($M$3:M103),"")</f>
        <v>25873.273364301265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">
      <c r="A104" s="57">
        <v>45278</v>
      </c>
      <c r="B104" s="58">
        <v>102</v>
      </c>
      <c r="C104" s="41">
        <f t="array" aca="1" ref="C104" ca="1">IF(MATCH(A104, 'weekly price'!A:A, 0), INDEX('weekly price'!B:B, MATCH(A104, 'weekly price'!A:A, 0)), "No Match")</f>
        <v>42635.73</v>
      </c>
      <c r="D104" s="43">
        <f ca="1">IF(C104&lt;&gt;"",(C104-$C$3)/$C$3,"")</f>
        <v>1.9578879403113644E-2</v>
      </c>
      <c r="E104" s="43">
        <f t="array" aca="1" ref="E104" ca="1">IF(C104&lt;&gt;"",IF(AND(D104&lt;-0.4,C104&lt;&gt;""),IF(MATCH(A104, 'weekly price'!A:A, 0), INDEX('weekly price'!J:J, MATCH(A104, 'weekly price'!A:A, 0)), "No Match")-(2*D104),IF(MATCH(A104, 'weekly price'!A:A, 0), INDEX('weekly price'!J:J, MATCH(A104, 'weekly price'!A:A, 0)), "No Match")-D104),"")</f>
        <v>-0.27866802774885102</v>
      </c>
      <c r="F104" s="44">
        <f t="array" aca="1" ref="F104" ca="1">IF(MATCH(A104, 'weekly price'!A:A, 0), INDEX('weekly price'!K:K, MATCH(A104, 'weekly price'!A:A, 0)), "No Match")</f>
        <v>-3</v>
      </c>
      <c r="G104" s="41">
        <f t="shared" ca="1" si="10"/>
        <v>-819.6670069372127</v>
      </c>
      <c r="H104" s="59">
        <f t="shared" ca="1" si="1"/>
        <v>-1.9224885018673601E-2</v>
      </c>
      <c r="I104" s="41">
        <f ca="1">IF(C104&lt;&gt;"",SUM($G$3:G104),"")</f>
        <v>52551.708820410604</v>
      </c>
      <c r="J104" s="41">
        <f t="shared" ca="1" si="8"/>
        <v>-2470.2733314207308</v>
      </c>
      <c r="K104" s="43">
        <f t="shared" ca="1" si="3"/>
        <v>0.86316028642839948</v>
      </c>
      <c r="L104" s="41">
        <f ca="1">IF(C104&lt;&gt;"",I104 / SUM($H$3:H104),"")</f>
        <v>22883.55452322941</v>
      </c>
      <c r="M104" s="59">
        <f t="shared" ca="1" si="5"/>
        <v>5.8636265873716715E-3</v>
      </c>
      <c r="N104" s="41">
        <v>250</v>
      </c>
      <c r="O104" s="41">
        <f ca="1">IF(C104&lt;&gt;"",SUM($N$3:N104) / SUM($M$3:M104),"")</f>
        <v>25973.386802240777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">
      <c r="A105" s="57">
        <v>45285</v>
      </c>
      <c r="B105" s="58">
        <v>103</v>
      </c>
      <c r="C105" s="41">
        <f t="array" aca="1" ref="C105" ca="1">IF(MATCH(A105, 'weekly price'!A:A, 0), INDEX('weekly price'!B:B, MATCH(A105, 'weekly price'!A:A, 0)), "No Match")</f>
        <v>43623.75</v>
      </c>
      <c r="D105" s="43">
        <f ca="1">IF(C105&lt;&gt;"",(C105-$C$3)/$C$3,"")</f>
        <v>4.3206112346653273E-2</v>
      </c>
      <c r="E105" s="43">
        <f t="array" aca="1" ref="E105" ca="1">IF(C105&lt;&gt;"",IF(AND(D105&lt;-0.4,C105&lt;&gt;""),IF(MATCH(A105, 'weekly price'!A:A, 0), INDEX('weekly price'!J:J, MATCH(A105, 'weekly price'!A:A, 0)), "No Match")-(2*D105),IF(MATCH(A105, 'weekly price'!A:A, 0), INDEX('weekly price'!J:J, MATCH(A105, 'weekly price'!A:A, 0)), "No Match")-D105),"")</f>
        <v>-0.26763738878357485</v>
      </c>
      <c r="F105" s="44">
        <f t="array" aca="1" ref="F105" ca="1">IF(MATCH(A105, 'weekly price'!A:A, 0), INDEX('weekly price'!K:K, MATCH(A105, 'weekly price'!A:A, 0)), "No Match")</f>
        <v>-3</v>
      </c>
      <c r="G105" s="41">
        <f t="shared" ca="1" si="10"/>
        <v>-816.9093471958937</v>
      </c>
      <c r="H105" s="59">
        <f t="shared" ca="1" si="1"/>
        <v>-1.872625226386759E-2</v>
      </c>
      <c r="I105" s="41">
        <f ca="1">IF(C105&lt;&gt;"",SUM($G$3:G105),"")</f>
        <v>51734.799473214713</v>
      </c>
      <c r="J105" s="41">
        <f t="shared" ca="1" si="8"/>
        <v>-1650.6063244835182</v>
      </c>
      <c r="K105" s="43">
        <f t="shared" ca="1" si="3"/>
        <v>0.92064761628060399</v>
      </c>
      <c r="L105" s="41">
        <f ca="1">IF(C105&lt;&gt;"",I105 / SUM($H$3:H105),"")</f>
        <v>22713.042012609683</v>
      </c>
      <c r="M105" s="59">
        <f t="shared" ca="1" si="5"/>
        <v>5.7308232327573858E-3</v>
      </c>
      <c r="N105" s="41">
        <v>250</v>
      </c>
      <c r="O105" s="41">
        <f ca="1">IF(C105&lt;&gt;"",SUM($N$3:N105) / SUM($M$3:M105),"")</f>
        <v>26075.817790679052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">
      <c r="A106" s="57">
        <v>45292</v>
      </c>
      <c r="B106" s="58">
        <v>104</v>
      </c>
      <c r="C106" s="41">
        <f t="array" aca="1" ref="C106" ca="1">IF(MATCH(A106, 'weekly price'!A:A, 0), INDEX('weekly price'!B:B, MATCH(A106, 'weekly price'!A:A, 0)), "No Match")</f>
        <v>44049.47</v>
      </c>
      <c r="D106" s="43">
        <f ca="1">IF(C106&lt;&gt;"",(C106-$C$3)/$C$3,"")</f>
        <v>5.3386660927374062E-2</v>
      </c>
      <c r="E106" s="43">
        <f t="array" aca="1" ref="E106" ca="1">IF(C106&lt;&gt;"",IF(AND(D106&lt;-0.4,C106&lt;&gt;""),IF(MATCH(A106, 'weekly price'!A:A, 0), INDEX('weekly price'!J:J, MATCH(A106, 'weekly price'!A:A, 0)), "No Match")-(2*D106),IF(MATCH(A106, 'weekly price'!A:A, 0), INDEX('weekly price'!J:J, MATCH(A106, 'weekly price'!A:A, 0)), "No Match")-D106),"")</f>
        <v>-0.23577438620502725</v>
      </c>
      <c r="F106" s="44">
        <f t="array" aca="1" ref="F106" ca="1">IF(MATCH(A106, 'weekly price'!A:A, 0), INDEX('weekly price'!K:K, MATCH(A106, 'weekly price'!A:A, 0)), "No Match")</f>
        <v>-3</v>
      </c>
      <c r="G106" s="41">
        <f t="shared" ca="1" si="10"/>
        <v>-808.94359655125686</v>
      </c>
      <c r="H106" s="59">
        <f t="shared" ca="1" si="1"/>
        <v>-1.8364434272449971E-2</v>
      </c>
      <c r="I106" s="41">
        <f ca="1">IF(C106&lt;&gt;"",SUM($G$3:G106),"")</f>
        <v>50925.855876663452</v>
      </c>
      <c r="J106" s="41">
        <f t="shared" ca="1" si="8"/>
        <v>-833.69697728762446</v>
      </c>
      <c r="K106" s="43">
        <f t="shared" ca="1" si="3"/>
        <v>0.95431300773636851</v>
      </c>
      <c r="L106" s="41">
        <f ca="1">IF(C106&lt;&gt;"",I106 / SUM($H$3:H106),"")</f>
        <v>22539.618692412732</v>
      </c>
      <c r="M106" s="59">
        <f t="shared" ca="1" si="5"/>
        <v>5.6754371846017672E-3</v>
      </c>
      <c r="N106" s="41">
        <v>250</v>
      </c>
      <c r="O106" s="41">
        <f ca="1">IF(C106&lt;&gt;"",SUM($N$3:N106) / SUM($M$3:M106),"")</f>
        <v>26178.526555405861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">
      <c r="A107" s="57">
        <v>45299</v>
      </c>
      <c r="B107" s="58">
        <v>105</v>
      </c>
      <c r="C107" s="41">
        <f t="array" aca="1" ref="C107" ca="1">IF(MATCH(A107, 'weekly price'!A:A, 0), INDEX('weekly price'!B:B, MATCH(A107, 'weekly price'!A:A, 0)), "No Match")</f>
        <v>46981.32</v>
      </c>
      <c r="D107" s="43">
        <f ca="1">IF(C107&lt;&gt;"",(C107-$C$3)/$C$3,"")</f>
        <v>0.12349809885931558</v>
      </c>
      <c r="E107" s="43">
        <f t="array" aca="1" ref="E107" ca="1">IF(C107&lt;&gt;"",IF(AND(D107&lt;-0.4,C107&lt;&gt;""),IF(MATCH(A107, 'weekly price'!A:A, 0), INDEX('weekly price'!J:J, MATCH(A107, 'weekly price'!A:A, 0)), "No Match")-(2*D107),IF(MATCH(A107, 'weekly price'!A:A, 0), INDEX('weekly price'!J:J, MATCH(A107, 'weekly price'!A:A, 0)), "No Match")-D107),"")</f>
        <v>-0.54336781836498271</v>
      </c>
      <c r="F107" s="44">
        <f t="array" aca="1" ref="F107" ca="1">IF(MATCH(A107, 'weekly price'!A:A, 0), INDEX('weekly price'!K:K, MATCH(A107, 'weekly price'!A:A, 0)), "No Match")</f>
        <v>-4</v>
      </c>
      <c r="G107" s="41">
        <f t="shared" ca="1" si="10"/>
        <v>-1135.8419545912457</v>
      </c>
      <c r="H107" s="59">
        <f t="shared" ca="1" si="1"/>
        <v>-2.4176458954138488E-2</v>
      </c>
      <c r="I107" s="41">
        <f ca="1">IF(C107&lt;&gt;"",SUM($G$3:G107),"")</f>
        <v>49790.013922072205</v>
      </c>
      <c r="J107" s="41">
        <f t="shared" ca="1" si="8"/>
        <v>-24.753380736367603</v>
      </c>
      <c r="K107" s="43">
        <f t="shared" ca="1" si="3"/>
        <v>1.1091261802029999</v>
      </c>
      <c r="L107" s="41">
        <f ca="1">IF(C107&lt;&gt;"",I107 / SUM($H$3:H107),"")</f>
        <v>22275.253344718392</v>
      </c>
      <c r="M107" s="59">
        <f t="shared" ca="1" si="5"/>
        <v>5.3212638555068274E-3</v>
      </c>
      <c r="N107" s="41">
        <v>250</v>
      </c>
      <c r="O107" s="41">
        <f ca="1">IF(C107&lt;&gt;"",SUM($N$3:N107) / SUM($M$3:M107),"")</f>
        <v>26289.389816466981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">
      <c r="A108" s="57">
        <v>45306</v>
      </c>
      <c r="B108" s="58">
        <v>106</v>
      </c>
      <c r="C108" s="41">
        <f t="array" aca="1" ref="C108" ca="1">IF(MATCH(A108, 'weekly price'!A:A, 0), INDEX('weekly price'!B:B, MATCH(A108, 'weekly price'!A:A, 0)), "No Match")</f>
        <v>42528.92</v>
      </c>
      <c r="D108" s="43">
        <f ca="1">IF(C108&lt;&gt;"",(C108-$C$3)/$C$3,"")</f>
        <v>1.7024655044599046E-2</v>
      </c>
      <c r="E108" s="43">
        <f t="array" aca="1" ref="E108" ca="1">IF(C108&lt;&gt;"",IF(AND(D108&lt;-0.4,C108&lt;&gt;""),IF(MATCH(A108, 'weekly price'!A:A, 0), INDEX('weekly price'!J:J, MATCH(A108, 'weekly price'!A:A, 0)), "No Match")-(2*D108),IF(MATCH(A108, 'weekly price'!A:A, 0), INDEX('weekly price'!J:J, MATCH(A108, 'weekly price'!A:A, 0)), "No Match")-D108),"")</f>
        <v>0.98297534495540095</v>
      </c>
      <c r="F108" s="44" t="str">
        <f t="array" aca="1" ref="F108" ca="1">IF(MATCH(A108, 'weekly price'!A:A, 0), INDEX('weekly price'!K:K, MATCH(A108, 'weekly price'!A:A, 0)), "No Match")</f>
        <v/>
      </c>
      <c r="G108" s="41">
        <f t="shared" ca="1" si="10"/>
        <v>495.74383623885024</v>
      </c>
      <c r="H108" s="59">
        <f t="shared" ca="1" si="1"/>
        <v>1.165662885958191E-2</v>
      </c>
      <c r="I108" s="41">
        <f ca="1">IF(C108&lt;&gt;"",SUM($G$3:G108),"")</f>
        <v>50285.757758311054</v>
      </c>
      <c r="J108" s="41">
        <f t="shared" ca="1" si="8"/>
        <v>1111.0885738548782</v>
      </c>
      <c r="K108" s="43">
        <f t="shared" ca="1" si="3"/>
        <v>0.90028135214322702</v>
      </c>
      <c r="L108" s="41">
        <f ca="1">IF(C108&lt;&gt;"",I108 / SUM($H$3:H108),"")</f>
        <v>22380.328024602186</v>
      </c>
      <c r="M108" s="59">
        <f t="shared" ca="1" si="5"/>
        <v>5.8783528949242075E-3</v>
      </c>
      <c r="N108" s="41">
        <v>250</v>
      </c>
      <c r="O108" s="41">
        <f ca="1">IF(C108&lt;&gt;"",SUM($N$3:N108) / SUM($M$3:M108),"")</f>
        <v>26384.435203443027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">
      <c r="A109" s="57">
        <v>45313</v>
      </c>
      <c r="B109" s="58">
        <v>107</v>
      </c>
      <c r="C109" s="41">
        <f t="array" aca="1" ref="C109" ca="1">IF(MATCH(A109, 'weekly price'!A:A, 0), INDEX('weekly price'!B:B, MATCH(A109, 'weekly price'!A:A, 0)), "No Match")</f>
        <v>39577.1</v>
      </c>
      <c r="D109" s="43">
        <f ca="1">IF(C109&lt;&gt;"",(C109-$C$3)/$C$3,"")</f>
        <v>-5.3564339861778734E-2</v>
      </c>
      <c r="E109" s="43">
        <f t="array" aca="1" ref="E109" ca="1">IF(C109&lt;&gt;"",IF(AND(D109&lt;-0.4,C109&lt;&gt;""),IF(MATCH(A109, 'weekly price'!A:A, 0), INDEX('weekly price'!J:J, MATCH(A109, 'weekly price'!A:A, 0)), "No Match")-(2*D109),IF(MATCH(A109, 'weekly price'!A:A, 0), INDEX('weekly price'!J:J, MATCH(A109, 'weekly price'!A:A, 0)), "No Match")-D109),"")</f>
        <v>1.0535643398617787</v>
      </c>
      <c r="F109" s="44" t="str">
        <f t="array" aca="1" ref="F109" ca="1">IF(MATCH(A109, 'weekly price'!A:A, 0), INDEX('weekly price'!K:K, MATCH(A109, 'weekly price'!A:A, 0)), "No Match")</f>
        <v/>
      </c>
      <c r="G109" s="41">
        <f t="shared" ca="1" si="10"/>
        <v>513.39108496544463</v>
      </c>
      <c r="H109" s="59">
        <f t="shared" ca="1" si="1"/>
        <v>1.2971922777703385E-2</v>
      </c>
      <c r="I109" s="41">
        <f ca="1">IF(C109&lt;&gt;"",SUM($G$3:G109),"")</f>
        <v>50799.148843276496</v>
      </c>
      <c r="J109" s="41">
        <f t="shared" ca="1" si="8"/>
        <v>615.34473761602794</v>
      </c>
      <c r="K109" s="43">
        <f t="shared" ca="1" si="3"/>
        <v>0.76062229023477834</v>
      </c>
      <c r="L109" s="41">
        <f ca="1">IF(C109&lt;&gt;"",I109 / SUM($H$3:H109),"")</f>
        <v>22479.040632117867</v>
      </c>
      <c r="M109" s="59">
        <f t="shared" ca="1" si="5"/>
        <v>6.3167842009646995E-3</v>
      </c>
      <c r="N109" s="41">
        <v>250</v>
      </c>
      <c r="O109" s="41">
        <f ca="1">IF(C109&lt;&gt;"",SUM($N$3:N109) / SUM($M$3:M109),"")</f>
        <v>26466.888432567466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">
      <c r="A110" s="57">
        <v>45320</v>
      </c>
      <c r="B110" s="58">
        <v>108</v>
      </c>
      <c r="C110" s="41">
        <f t="array" aca="1" ref="C110" ca="1">IF(MATCH(A110, 'weekly price'!A:A, 0), INDEX('weekly price'!B:B, MATCH(A110, 'weekly price'!A:A, 0)), "No Match")</f>
        <v>43218.35</v>
      </c>
      <c r="D110" s="43">
        <f ca="1">IF(C110&lt;&gt;"",(C110-$C$3)/$C$3,"")</f>
        <v>3.3511490542123983E-2</v>
      </c>
      <c r="E110" s="43">
        <f t="array" aca="1" ref="E110" ca="1">IF(C110&lt;&gt;"",IF(AND(D110&lt;-0.4,C110&lt;&gt;""),IF(MATCH(A110, 'weekly price'!A:A, 0), INDEX('weekly price'!J:J, MATCH(A110, 'weekly price'!A:A, 0)), "No Match")-(2*D110),IF(MATCH(A110, 'weekly price'!A:A, 0), INDEX('weekly price'!J:J, MATCH(A110, 'weekly price'!A:A, 0)), "No Match")-D110),"")</f>
        <v>0.96648850945787601</v>
      </c>
      <c r="F110" s="44" t="str">
        <f t="array" aca="1" ref="F110" ca="1">IF(MATCH(A110, 'weekly price'!A:A, 0), INDEX('weekly price'!K:K, MATCH(A110, 'weekly price'!A:A, 0)), "No Match")</f>
        <v/>
      </c>
      <c r="G110" s="41">
        <f t="shared" ca="1" si="10"/>
        <v>491.62212736446895</v>
      </c>
      <c r="H110" s="59">
        <f t="shared" ca="1" si="1"/>
        <v>1.1375309963579567E-2</v>
      </c>
      <c r="I110" s="41">
        <f ca="1">IF(C110&lt;&gt;"",SUM($G$3:G110),"")</f>
        <v>51290.770970640966</v>
      </c>
      <c r="J110" s="41">
        <f t="shared" ca="1" si="8"/>
        <v>101.95365265058331</v>
      </c>
      <c r="K110" s="43">
        <f t="shared" ca="1" si="3"/>
        <v>0.91376333128815057</v>
      </c>
      <c r="L110" s="41">
        <f ca="1">IF(C110&lt;&gt;"",I110 / SUM($H$3:H110),"")</f>
        <v>22582.91257514575</v>
      </c>
      <c r="M110" s="59">
        <f t="shared" ca="1" si="5"/>
        <v>5.784579929590093E-3</v>
      </c>
      <c r="N110" s="41">
        <v>250</v>
      </c>
      <c r="O110" s="41">
        <f ca="1">IF(C110&lt;&gt;"",SUM($N$3:N110) / SUM($M$3:M110),"")</f>
        <v>26562.217445265251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">
      <c r="A111" s="57">
        <v>45327</v>
      </c>
      <c r="B111" s="58">
        <v>109</v>
      </c>
      <c r="C111" s="41">
        <f t="array" aca="1" ref="C111" ca="1">IF(MATCH(A111, 'weekly price'!A:A, 0), INDEX('weekly price'!B:B, MATCH(A111, 'weekly price'!A:A, 0)), "No Match")</f>
        <v>42619.27</v>
      </c>
      <c r="D111" s="43">
        <f ca="1">IF(C111&lt;&gt;"",(C111-$C$3)/$C$3,"")</f>
        <v>1.9185259583422935E-2</v>
      </c>
      <c r="E111" s="43">
        <f t="array" aca="1" ref="E111" ca="1">IF(C111&lt;&gt;"",IF(AND(D111&lt;-0.4,C111&lt;&gt;""),IF(MATCH(A111, 'weekly price'!A:A, 0), INDEX('weekly price'!J:J, MATCH(A111, 'weekly price'!A:A, 0)), "No Match")-(2*D111),IF(MATCH(A111, 'weekly price'!A:A, 0), INDEX('weekly price'!J:J, MATCH(A111, 'weekly price'!A:A, 0)), "No Match")-D111),"")</f>
        <v>0.98081474041657701</v>
      </c>
      <c r="F111" s="44" t="str">
        <f t="array" aca="1" ref="F111" ca="1">IF(MATCH(A111, 'weekly price'!A:A, 0), INDEX('weekly price'!K:K, MATCH(A111, 'weekly price'!A:A, 0)), "No Match")</f>
        <v/>
      </c>
      <c r="G111" s="41">
        <f t="shared" ca="1" si="10"/>
        <v>495.20368510414426</v>
      </c>
      <c r="H111" s="59">
        <f t="shared" ca="1" si="1"/>
        <v>1.1619243715440089E-2</v>
      </c>
      <c r="I111" s="41">
        <f ca="1">IF(C111&lt;&gt;"",SUM($G$3:G111),"")</f>
        <v>51785.974655745107</v>
      </c>
      <c r="J111" s="41">
        <f t="shared" ca="1" si="8"/>
        <v>-389.66847471388564</v>
      </c>
      <c r="K111" s="43">
        <f t="shared" ca="1" si="3"/>
        <v>0.87875111653208215</v>
      </c>
      <c r="L111" s="41">
        <f ca="1">IF(C111&lt;&gt;"",I111 / SUM($H$3:H111),"")</f>
        <v>22684.894036773399</v>
      </c>
      <c r="M111" s="59">
        <f t="shared" ca="1" si="5"/>
        <v>5.8658911802102667E-3</v>
      </c>
      <c r="N111" s="41">
        <v>250</v>
      </c>
      <c r="O111" s="41">
        <f ca="1">IF(C111&lt;&gt;"",SUM($N$3:N111) / SUM($M$3:M111),"")</f>
        <v>26654.347510742857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">
      <c r="A112" s="57">
        <v>45334</v>
      </c>
      <c r="B112" s="58">
        <v>110</v>
      </c>
      <c r="C112" s="41">
        <f t="array" aca="1" ref="C112" ca="1">IF(MATCH(A112, 'weekly price'!A:A, 0), INDEX('weekly price'!B:B, MATCH(A112, 'weekly price'!A:A, 0)), "No Match")</f>
        <v>49989.8</v>
      </c>
      <c r="D112" s="43">
        <f ca="1">IF(C112&lt;&gt;"",(C112-$C$3)/$C$3,"")</f>
        <v>0.19544204510127466</v>
      </c>
      <c r="E112" s="43">
        <f t="array" aca="1" ref="E112" ca="1">IF(C112&lt;&gt;"",IF(AND(D112&lt;-0.4,C112&lt;&gt;""),IF(MATCH(A112, 'weekly price'!A:A, 0), INDEX('weekly price'!J:J, MATCH(A112, 'weekly price'!A:A, 0)), "No Match")-(2*D112),IF(MATCH(A112, 'weekly price'!A:A, 0), INDEX('weekly price'!J:J, MATCH(A112, 'weekly price'!A:A, 0)), "No Match")-D112),"")</f>
        <v>-0.71784803945947928</v>
      </c>
      <c r="F112" s="44">
        <f t="array" aca="1" ref="F112" ca="1">IF(MATCH(A112, 'weekly price'!A:A, 0), INDEX('weekly price'!K:K, MATCH(A112, 'weekly price'!A:A, 0)), "No Match")</f>
        <v>-2</v>
      </c>
      <c r="G112" s="41">
        <f t="shared" ca="1" si="10"/>
        <v>-679.46200986486986</v>
      </c>
      <c r="H112" s="59">
        <f t="shared" ca="1" si="1"/>
        <v>-1.3592012967942857E-2</v>
      </c>
      <c r="I112" s="41">
        <f ca="1">IF(C112&lt;&gt;"",SUM($G$3:G112),"")</f>
        <v>51106.512645880241</v>
      </c>
      <c r="J112" s="41">
        <f t="shared" ca="1" si="8"/>
        <v>-884.8721598180299</v>
      </c>
      <c r="K112" s="43">
        <f t="shared" ca="1" si="3"/>
        <v>1.2196629676538613</v>
      </c>
      <c r="L112" s="41">
        <f ca="1">IF(C112&lt;&gt;"",I112 / SUM($H$3:H112),"")</f>
        <v>22521.34703713069</v>
      </c>
      <c r="M112" s="59">
        <f t="shared" ca="1" si="5"/>
        <v>5.0010202081224569E-3</v>
      </c>
      <c r="N112" s="41">
        <v>250</v>
      </c>
      <c r="O112" s="41">
        <f ca="1">IF(C112&lt;&gt;"",SUM($N$3:N112) / SUM($M$3:M112),"")</f>
        <v>26767.941963634443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">
      <c r="A113" s="57">
        <v>45341</v>
      </c>
      <c r="B113" s="58">
        <v>111</v>
      </c>
      <c r="C113" s="41">
        <f t="array" aca="1" ref="C113" ca="1">IF(MATCH(A113, 'weekly price'!A:A, 0), INDEX('weekly price'!B:B, MATCH(A113, 'weekly price'!A:A, 0)), "No Match")</f>
        <v>51804.81</v>
      </c>
      <c r="D113" s="43">
        <f ca="1">IF(C113&lt;&gt;"",(C113-$C$3)/$C$3,"")</f>
        <v>0.23884568476935211</v>
      </c>
      <c r="E113" s="43">
        <f t="array" aca="1" ref="E113" ca="1">IF(C113&lt;&gt;"",IF(AND(D113&lt;-0.4,C113&lt;&gt;""),IF(MATCH(A113, 'weekly price'!A:A, 0), INDEX('weekly price'!J:J, MATCH(A113, 'weekly price'!A:A, 0)), "No Match")-(2*D113),IF(MATCH(A113, 'weekly price'!A:A, 0), INDEX('weekly price'!J:J, MATCH(A113, 'weekly price'!A:A, 0)), "No Match")-D113),"")</f>
        <v>-0.48789403899967193</v>
      </c>
      <c r="F113" s="44">
        <f t="array" aca="1" ref="F113" ca="1">IF(MATCH(A113, 'weekly price'!A:A, 0), INDEX('weekly price'!K:K, MATCH(A113, 'weekly price'!A:A, 0)), "No Match")</f>
        <v>-2</v>
      </c>
      <c r="G113" s="41">
        <f t="shared" ca="1" si="10"/>
        <v>-621.97350974991798</v>
      </c>
      <c r="H113" s="59">
        <f t="shared" ca="1" si="1"/>
        <v>-1.2006095761183527E-2</v>
      </c>
      <c r="I113" s="41">
        <f ca="1">IF(C113&lt;&gt;"",SUM($G$3:G113),"")</f>
        <v>50484.539136130319</v>
      </c>
      <c r="J113" s="41">
        <f t="shared" ca="1" si="8"/>
        <v>-205.41014995316004</v>
      </c>
      <c r="K113" s="43">
        <f t="shared" ca="1" si="3"/>
        <v>1.3162728450786501</v>
      </c>
      <c r="L113" s="41">
        <f ca="1">IF(C113&lt;&gt;"",I113 / SUM($H$3:H113),"")</f>
        <v>22365.590526206313</v>
      </c>
      <c r="M113" s="59">
        <f t="shared" ca="1" si="5"/>
        <v>4.8258067156312324E-3</v>
      </c>
      <c r="N113" s="41">
        <v>250</v>
      </c>
      <c r="O113" s="41">
        <f ca="1">IF(C113&lt;&gt;"",SUM($N$3:N113) / SUM($M$3:M113),"")</f>
        <v>26884.998847432169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">
      <c r="A114" s="57">
        <v>45348</v>
      </c>
      <c r="B114" s="58">
        <v>112</v>
      </c>
      <c r="C114" s="41">
        <f t="array" aca="1" ref="C114" ca="1">IF(MATCH(A114, 'weekly price'!A:A, 0), INDEX('weekly price'!B:B, MATCH(A114, 'weekly price'!A:A, 0)), "No Match")</f>
        <v>54551.83</v>
      </c>
      <c r="D114" s="43">
        <f ca="1">IF(C114&lt;&gt;"",(C114-$C$3)/$C$3,"")</f>
        <v>0.3045371499629338</v>
      </c>
      <c r="E114" s="43">
        <f t="array" aca="1" ref="E114" ca="1">IF(C114&lt;&gt;"",IF(AND(D114&lt;-0.4,C114&lt;&gt;""),IF(MATCH(A114, 'weekly price'!A:A, 0), INDEX('weekly price'!J:J, MATCH(A114, 'weekly price'!A:A, 0)), "No Match")-(2*D114),IF(MATCH(A114, 'weekly price'!A:A, 0), INDEX('weekly price'!J:J, MATCH(A114, 'weekly price'!A:A, 0)), "No Match")-D114),"")</f>
        <v>-0.64037194983069989</v>
      </c>
      <c r="F114" s="44">
        <f t="array" aca="1" ref="F114" ca="1">IF(MATCH(A114, 'weekly price'!A:A, 0), INDEX('weekly price'!K:K, MATCH(A114, 'weekly price'!A:A, 0)), "No Match")</f>
        <v>-3</v>
      </c>
      <c r="G114" s="41">
        <f t="shared" ca="1" si="10"/>
        <v>-910.09298745767501</v>
      </c>
      <c r="H114" s="59">
        <f t="shared" ca="1" si="1"/>
        <v>-1.6683088128439962E-2</v>
      </c>
      <c r="I114" s="41">
        <f ca="1">IF(C114&lt;&gt;"",SUM($G$3:G114),"")</f>
        <v>49574.446148672643</v>
      </c>
      <c r="J114" s="41">
        <f t="shared" ca="1" si="8"/>
        <v>416.56335979675794</v>
      </c>
      <c r="K114" s="43">
        <f t="shared" ca="1" si="3"/>
        <v>1.4655154248648838</v>
      </c>
      <c r="L114" s="41">
        <f ca="1">IF(C114&lt;&gt;"",I114 / SUM($H$3:H114),"")</f>
        <v>22125.933364618708</v>
      </c>
      <c r="M114" s="59">
        <f t="shared" ca="1" si="5"/>
        <v>4.5827976806644246E-3</v>
      </c>
      <c r="N114" s="41">
        <v>250</v>
      </c>
      <c r="O114" s="41">
        <f ca="1">IF(C114&lt;&gt;"",SUM($N$3:N114) / SUM($M$3:M114),"")</f>
        <v>27007.29510376363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">
      <c r="A115" s="57">
        <v>45355</v>
      </c>
      <c r="B115" s="58">
        <v>113</v>
      </c>
      <c r="C115" s="41">
        <f t="array" aca="1" ref="C115" ca="1">IF(MATCH(A115, 'weekly price'!A:A, 0), INDEX('weekly price'!B:B, MATCH(A115, 'weekly price'!A:A, 0)), "No Match")</f>
        <v>68091.839999999997</v>
      </c>
      <c r="D115" s="43">
        <f ca="1">IF(C115&lt;&gt;"",(C115-$C$3)/$C$3,"")</f>
        <v>0.62832914843245558</v>
      </c>
      <c r="E115" s="43">
        <f t="array" aca="1" ref="E115" ca="1">IF(C115&lt;&gt;"",IF(AND(D115&lt;-0.4,C115&lt;&gt;""),IF(MATCH(A115, 'weekly price'!A:A, 0), INDEX('weekly price'!J:J, MATCH(A115, 'weekly price'!A:A, 0)), "No Match")-(2*D115),IF(MATCH(A115, 'weekly price'!A:A, 0), INDEX('weekly price'!J:J, MATCH(A115, 'weekly price'!A:A, 0)), "No Match")-D115),"")</f>
        <v>-1.8176299929219741</v>
      </c>
      <c r="F115" s="44">
        <f t="array" aca="1" ref="F115" ca="1">IF(MATCH(A115, 'weekly price'!A:A, 0), INDEX('weekly price'!K:K, MATCH(A115, 'weekly price'!A:A, 0)), "No Match")</f>
        <v>-4</v>
      </c>
      <c r="G115" s="41">
        <f t="shared" ca="1" si="10"/>
        <v>-1454.4074982304935</v>
      </c>
      <c r="H115" s="59">
        <f t="shared" ca="1" si="1"/>
        <v>-2.1359497675940226E-2</v>
      </c>
      <c r="I115" s="41">
        <f ca="1">IF(C115&lt;&gt;"",SUM($G$3:G115),"")</f>
        <v>48120.038650442148</v>
      </c>
      <c r="J115" s="41">
        <f t="shared" ca="1" si="8"/>
        <v>1326.6563472544331</v>
      </c>
      <c r="K115" s="43">
        <f t="shared" ca="1" si="3"/>
        <v>2.1402580238486029</v>
      </c>
      <c r="L115" s="41">
        <f ca="1">IF(C115&lt;&gt;"",I115 / SUM($H$3:H115),"")</f>
        <v>21683.517559028078</v>
      </c>
      <c r="M115" s="59">
        <f t="shared" ca="1" si="5"/>
        <v>3.671511887474329E-3</v>
      </c>
      <c r="N115" s="41">
        <v>250</v>
      </c>
      <c r="O115" s="41">
        <f ca="1">IF(C115&lt;&gt;"",SUM($N$3:N115) / SUM($M$3:M115),"")</f>
        <v>27152.276143145438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">
      <c r="A116" s="57">
        <v>45362</v>
      </c>
      <c r="B116" s="58">
        <v>114</v>
      </c>
      <c r="C116" s="41">
        <f t="array" aca="1" ref="C116" ca="1">IF(MATCH(A116, 'weekly price'!A:A, 0), INDEX('weekly price'!B:B, MATCH(A116, 'weekly price'!A:A, 0)), "No Match")</f>
        <v>72198.09</v>
      </c>
      <c r="D116" s="43">
        <f ca="1">IF(C116&lt;&gt;"",(C116-$C$3)/$C$3,"")</f>
        <v>0.72652485831121305</v>
      </c>
      <c r="E116" s="43">
        <f t="array" aca="1" ref="E116" ca="1">IF(C116&lt;&gt;"",IF(AND(D116&lt;-0.4,C116&lt;&gt;""),IF(MATCH(A116, 'weekly price'!A:A, 0), INDEX('weekly price'!J:J, MATCH(A116, 'weekly price'!A:A, 0)), "No Match")-(2*D116),IF(MATCH(A116, 'weekly price'!A:A, 0), INDEX('weekly price'!J:J, MATCH(A116, 'weekly price'!A:A, 0)), "No Match")-D116),"")</f>
        <v>-1.1615620573621683</v>
      </c>
      <c r="F116" s="44">
        <f t="array" aca="1" ref="F116" ca="1">IF(MATCH(A116, 'weekly price'!A:A, 0), INDEX('weekly price'!K:K, MATCH(A116, 'weekly price'!A:A, 0)), "No Match")</f>
        <v>-4</v>
      </c>
      <c r="G116" s="41">
        <f t="shared" ca="1" si="10"/>
        <v>-1290.390514340542</v>
      </c>
      <c r="H116" s="59">
        <f t="shared" ca="1" si="1"/>
        <v>-1.7872917612370937E-2</v>
      </c>
      <c r="I116" s="41">
        <f ca="1">IF(C116&lt;&gt;"",SUM($G$3:G116),"")</f>
        <v>46829.648136101605</v>
      </c>
      <c r="J116" s="41">
        <f t="shared" ca="1" si="8"/>
        <v>2781.0638454849268</v>
      </c>
      <c r="K116" s="43">
        <f t="shared" ca="1" si="3"/>
        <v>2.3938229057441363</v>
      </c>
      <c r="L116" s="41">
        <f ca="1">IF(C116&lt;&gt;"",I116 / SUM($H$3:H116),"")</f>
        <v>21273.381671684398</v>
      </c>
      <c r="M116" s="59">
        <f t="shared" ca="1" si="5"/>
        <v>3.4626954812793528E-3</v>
      </c>
      <c r="N116" s="41">
        <v>250</v>
      </c>
      <c r="O116" s="41">
        <f ca="1">IF(C116&lt;&gt;"",SUM($N$3:N116) / SUM($M$3:M116),"")</f>
        <v>27301.697794979918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">
      <c r="A117" s="57">
        <v>45369</v>
      </c>
      <c r="B117" s="58">
        <v>115</v>
      </c>
      <c r="C117" s="41">
        <f t="array" aca="1" ref="C117" ca="1">IF(MATCH(A117, 'weekly price'!A:A, 0), INDEX('weekly price'!B:B, MATCH(A117, 'weekly price'!A:A, 0)), "No Match")</f>
        <v>67770.89</v>
      </c>
      <c r="D117" s="43">
        <f ca="1">IF(C117&lt;&gt;"",(C117-$C$3)/$C$3,"")</f>
        <v>0.62065404022287585</v>
      </c>
      <c r="E117" s="43">
        <f t="array" aca="1" ref="E117" ca="1">IF(C117&lt;&gt;"",IF(AND(D117&lt;-0.4,C117&lt;&gt;""),IF(MATCH(A117, 'weekly price'!A:A, 0), INDEX('weekly price'!J:J, MATCH(A117, 'weekly price'!A:A, 0)), "No Match")-(2*D117),IF(MATCH(A117, 'weekly price'!A:A, 0), INDEX('weekly price'!J:J, MATCH(A117, 'weekly price'!A:A, 0)), "No Match")-D117),"")</f>
        <v>-0.94017065984977433</v>
      </c>
      <c r="F117" s="44">
        <f t="array" aca="1" ref="F117" ca="1">IF(MATCH(A117, 'weekly price'!A:A, 0), INDEX('weekly price'!K:K, MATCH(A117, 'weekly price'!A:A, 0)), "No Match")</f>
        <v>-2</v>
      </c>
      <c r="G117" s="41">
        <f t="shared" ca="1" si="10"/>
        <v>-735.0426649624435</v>
      </c>
      <c r="H117" s="59">
        <f t="shared" ca="1" si="1"/>
        <v>-1.0845993980047238E-2</v>
      </c>
      <c r="I117" s="41">
        <f ca="1">IF(C117&lt;&gt;"",SUM($G$3:G117),"")</f>
        <v>46094.605471139163</v>
      </c>
      <c r="J117" s="41">
        <f t="shared" ca="1" si="8"/>
        <v>4071.4543598254686</v>
      </c>
      <c r="K117" s="43">
        <f t="shared" ca="1" si="3"/>
        <v>2.2205673065698854</v>
      </c>
      <c r="L117" s="41">
        <f ca="1">IF(C117&lt;&gt;"",I117 / SUM($H$3:H117),"")</f>
        <v>21043.152820234154</v>
      </c>
      <c r="M117" s="59">
        <f t="shared" ca="1" si="5"/>
        <v>3.6888994670130496E-3</v>
      </c>
      <c r="N117" s="41">
        <v>250</v>
      </c>
      <c r="O117" s="41">
        <f ca="1">IF(C117&lt;&gt;"",SUM($N$3:N117) / SUM($M$3:M117),"")</f>
        <v>27444.204122136347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">
      <c r="A118" s="57">
        <v>45376</v>
      </c>
      <c r="B118" s="58">
        <v>116</v>
      </c>
      <c r="C118" s="41">
        <f t="array" aca="1" ref="C118" ca="1">IF(MATCH(A118, 'weekly price'!A:A, 0), INDEX('weekly price'!B:B, MATCH(A118, 'weekly price'!A:A, 0)), "No Match")</f>
        <v>70042.02</v>
      </c>
      <c r="D118" s="43">
        <f ca="1">IF(C118&lt;&gt;"",(C118-$C$3)/$C$3,"")</f>
        <v>0.67496520553841743</v>
      </c>
      <c r="E118" s="43">
        <f t="array" aca="1" ref="E118" ca="1">IF(C118&lt;&gt;"",IF(AND(D118&lt;-0.4,C118&lt;&gt;""),IF(MATCH(A118, 'weekly price'!A:A, 0), INDEX('weekly price'!J:J, MATCH(A118, 'weekly price'!A:A, 0)), "No Match")-(2*D118),IF(MATCH(A118, 'weekly price'!A:A, 0), INDEX('weekly price'!J:J, MATCH(A118, 'weekly price'!A:A, 0)), "No Match")-D118),"")</f>
        <v>-0.9388704437506612</v>
      </c>
      <c r="F118" s="44">
        <f t="array" aca="1" ref="F118" ca="1">IF(MATCH(A118, 'weekly price'!A:A, 0), INDEX('weekly price'!K:K, MATCH(A118, 'weekly price'!A:A, 0)), "No Match")</f>
        <v>-2</v>
      </c>
      <c r="G118" s="41">
        <f t="shared" ca="1" si="10"/>
        <v>-734.71761093766531</v>
      </c>
      <c r="H118" s="59">
        <f t="shared" ca="1" si="1"/>
        <v>-1.0489669072046541E-2</v>
      </c>
      <c r="I118" s="41">
        <f ca="1">IF(C118&lt;&gt;"",SUM($G$3:G118),"")</f>
        <v>45359.887860201496</v>
      </c>
      <c r="J118" s="41">
        <f t="shared" ca="1" si="8"/>
        <v>4806.4970247879119</v>
      </c>
      <c r="K118" s="43">
        <f t="shared" ca="1" si="3"/>
        <v>2.3662104082010695</v>
      </c>
      <c r="L118" s="41">
        <f ca="1">IF(C118&lt;&gt;"",I118 / SUM($H$3:H118),"")</f>
        <v>20807.380260413083</v>
      </c>
      <c r="M118" s="59">
        <f t="shared" ca="1" si="5"/>
        <v>3.56928598004455E-3</v>
      </c>
      <c r="N118" s="41">
        <v>250</v>
      </c>
      <c r="O118" s="41">
        <f ca="1">IF(C118&lt;&gt;"",SUM($N$3:N118) / SUM($M$3:M118),"")</f>
        <v>27588.849402895183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">
      <c r="A119" s="57">
        <v>45383</v>
      </c>
      <c r="B119" s="58">
        <v>117</v>
      </c>
      <c r="C119" s="41">
        <f t="array" aca="1" ref="C119" ca="1">IF(MATCH(A119, 'weekly price'!A:A, 0), INDEX('weekly price'!B:B, MATCH(A119, 'weekly price'!A:A, 0)), "No Match")</f>
        <v>69791.63</v>
      </c>
      <c r="D119" s="43">
        <f ca="1">IF(C119&lt;&gt;"",(C119-$C$3)/$C$3,"")</f>
        <v>0.66897744936269954</v>
      </c>
      <c r="E119" s="43">
        <f t="array" aca="1" ref="E119" ca="1">IF(C119&lt;&gt;"",IF(AND(D119&lt;-0.4,C119&lt;&gt;""),IF(MATCH(A119, 'weekly price'!A:A, 0), INDEX('weekly price'!J:J, MATCH(A119, 'weekly price'!A:A, 0)), "No Match")-(2*D119),IF(MATCH(A119, 'weekly price'!A:A, 0), INDEX('weekly price'!J:J, MATCH(A119, 'weekly price'!A:A, 0)), "No Match")-D119),"")</f>
        <v>-0.87365609356636642</v>
      </c>
      <c r="F119" s="44">
        <f t="array" aca="1" ref="F119" ca="1">IF(MATCH(A119, 'weekly price'!A:A, 0), INDEX('weekly price'!K:K, MATCH(A119, 'weekly price'!A:A, 0)), "No Match")</f>
        <v>-2</v>
      </c>
      <c r="G119" s="41">
        <f t="shared" ca="1" si="10"/>
        <v>-718.41402339159163</v>
      </c>
      <c r="H119" s="59">
        <f t="shared" ca="1" si="1"/>
        <v>-1.0293698877524305E-2</v>
      </c>
      <c r="I119" s="41">
        <f ca="1">IF(C119&lt;&gt;"",SUM($G$3:G119),"")</f>
        <v>44641.473836809906</v>
      </c>
      <c r="J119" s="41">
        <f t="shared" ca="1" si="8"/>
        <v>5541.214635725577</v>
      </c>
      <c r="K119" s="43">
        <f t="shared" ca="1" si="3"/>
        <v>2.3920623987476879</v>
      </c>
      <c r="L119" s="41">
        <f ca="1">IF(C119&lt;&gt;"",I119 / SUM($H$3:H119),"")</f>
        <v>20574.984123454306</v>
      </c>
      <c r="M119" s="59">
        <f t="shared" ca="1" si="5"/>
        <v>3.5820914341734098E-3</v>
      </c>
      <c r="N119" s="41">
        <v>250</v>
      </c>
      <c r="O119" s="41">
        <f ca="1">IF(C119&lt;&gt;"",SUM($N$3:N119) / SUM($M$3:M119),"")</f>
        <v>27732.178992532896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">
      <c r="A120" s="57">
        <v>45390</v>
      </c>
      <c r="B120" s="58">
        <v>118</v>
      </c>
      <c r="C120" s="41">
        <f t="array" aca="1" ref="C120" ca="1">IF(MATCH(A120, 'weekly price'!A:A, 0), INDEX('weekly price'!B:B, MATCH(A120, 'weekly price'!A:A, 0)), "No Match")</f>
        <v>71712.800000000003</v>
      </c>
      <c r="D120" s="43">
        <f ca="1">IF(C120&lt;&gt;"",(C120-$C$3)/$C$3,"")</f>
        <v>0.71491976947174596</v>
      </c>
      <c r="E120" s="43">
        <f t="array" aca="1" ref="E120" ca="1">IF(C120&lt;&gt;"",IF(AND(D120&lt;-0.4,C120&lt;&gt;""),IF(MATCH(A120, 'weekly price'!A:A, 0), INDEX('weekly price'!J:J, MATCH(A120, 'weekly price'!A:A, 0)), "No Match")-(2*D120),IF(MATCH(A120, 'weekly price'!A:A, 0), INDEX('weekly price'!J:J, MATCH(A120, 'weekly price'!A:A, 0)), "No Match")-D120),"")</f>
        <v>-0.96720959090213066</v>
      </c>
      <c r="F120" s="44">
        <f t="array" aca="1" ref="F120" ca="1">IF(MATCH(A120, 'weekly price'!A:A, 0), INDEX('weekly price'!K:K, MATCH(A120, 'weekly price'!A:A, 0)), "No Match")</f>
        <v>-2</v>
      </c>
      <c r="G120" s="41">
        <f t="shared" ca="1" si="10"/>
        <v>-741.80239772553273</v>
      </c>
      <c r="H120" s="59">
        <f t="shared" ca="1" si="1"/>
        <v>-1.0344072435123614E-2</v>
      </c>
      <c r="I120" s="41">
        <f ca="1">IF(C120&lt;&gt;"",SUM($G$3:G120),"")</f>
        <v>43899.67143908437</v>
      </c>
      <c r="J120" s="41">
        <f t="shared" ca="1" si="8"/>
        <v>6259.6286591171684</v>
      </c>
      <c r="K120" s="43">
        <f t="shared" ca="1" si="3"/>
        <v>2.5274345670150726</v>
      </c>
      <c r="L120" s="41">
        <f ca="1">IF(C120&lt;&gt;"",I120 / SUM($H$3:H120),"")</f>
        <v>20330.015663673563</v>
      </c>
      <c r="M120" s="59">
        <f t="shared" ca="1" si="5"/>
        <v>3.4861279994645306E-3</v>
      </c>
      <c r="N120" s="41">
        <v>250</v>
      </c>
      <c r="O120" s="41">
        <f ca="1">IF(C120&lt;&gt;"",SUM($N$3:N120) / SUM($M$3:M120),"")</f>
        <v>27877.066097626663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">
      <c r="A121" s="57">
        <v>45397</v>
      </c>
      <c r="B121" s="58">
        <v>119</v>
      </c>
      <c r="C121" s="41">
        <f t="array" aca="1" ref="C121" ca="1">IF(MATCH(A121, 'weekly price'!A:A, 0), INDEX('weekly price'!B:B, MATCH(A121, 'weekly price'!A:A, 0)), "No Match")</f>
        <v>63393.33</v>
      </c>
      <c r="D121" s="43">
        <f ca="1">IF(C121&lt;&gt;"",(C121-$C$3)/$C$3,"")</f>
        <v>0.51597029916062853</v>
      </c>
      <c r="E121" s="43">
        <f t="array" aca="1" ref="E121" ca="1">IF(C121&lt;&gt;"",IF(AND(D121&lt;-0.4,C121&lt;&gt;""),IF(MATCH(A121, 'weekly price'!A:A, 0), INDEX('weekly price'!J:J, MATCH(A121, 'weekly price'!A:A, 0)), "No Match")-(2*D121),IF(MATCH(A121, 'weekly price'!A:A, 0), INDEX('weekly price'!J:J, MATCH(A121, 'weekly price'!A:A, 0)), "No Match")-D121),"")</f>
        <v>0.48402970083937147</v>
      </c>
      <c r="F121" s="44" t="str">
        <f t="array" aca="1" ref="F121" ca="1">IF(MATCH(A121, 'weekly price'!A:A, 0), INDEX('weekly price'!K:K, MATCH(A121, 'weekly price'!A:A, 0)), "No Match")</f>
        <v/>
      </c>
      <c r="G121" s="41">
        <f t="shared" ca="1" si="10"/>
        <v>371.00742520984289</v>
      </c>
      <c r="H121" s="59">
        <f t="shared" ca="1" si="1"/>
        <v>5.8524678418035913E-3</v>
      </c>
      <c r="I121" s="41">
        <f ca="1">IF(C121&lt;&gt;"",SUM($G$3:G121),"")</f>
        <v>44270.678864294212</v>
      </c>
      <c r="J121" s="41">
        <f t="shared" ca="1" si="8"/>
        <v>7001.4310568427009</v>
      </c>
      <c r="K121" s="43">
        <f t="shared" ca="1" si="3"/>
        <v>2.1004619895131453</v>
      </c>
      <c r="L121" s="41">
        <f ca="1">IF(C121&lt;&gt;"",I121 / SUM($H$3:H121),"")</f>
        <v>20446.414184214667</v>
      </c>
      <c r="M121" s="59">
        <f t="shared" ca="1" si="5"/>
        <v>3.9436325556647675E-3</v>
      </c>
      <c r="N121" s="41">
        <v>250</v>
      </c>
      <c r="O121" s="41">
        <f ca="1">IF(C121&lt;&gt;"",SUM($N$3:N121) / SUM($M$3:M121),"")</f>
        <v>28008.932239656755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">
      <c r="A122" s="57">
        <v>45404</v>
      </c>
      <c r="B122" s="58">
        <v>120</v>
      </c>
      <c r="C122" s="41">
        <f t="array" aca="1" ref="C122" ca="1">IF(MATCH(A122, 'weekly price'!A:A, 0), INDEX('weekly price'!B:B, MATCH(A122, 'weekly price'!A:A, 0)), "No Match")</f>
        <v>66944.600000000006</v>
      </c>
      <c r="D122" s="43">
        <f ca="1">IF(C122&lt;&gt;"",(C122-$C$3)/$C$3,"")</f>
        <v>0.60089437310184868</v>
      </c>
      <c r="E122" s="43">
        <f t="array" aca="1" ref="E122" ca="1">IF(C122&lt;&gt;"",IF(AND(D122&lt;-0.4,C122&lt;&gt;""),IF(MATCH(A122, 'weekly price'!A:A, 0), INDEX('weekly price'!J:J, MATCH(A122, 'weekly price'!A:A, 0)), "No Match")-(2*D122),IF(MATCH(A122, 'weekly price'!A:A, 0), INDEX('weekly price'!J:J, MATCH(A122, 'weekly price'!A:A, 0)), "No Match")-D122),"")</f>
        <v>0.39910562689815132</v>
      </c>
      <c r="F122" s="44" t="str">
        <f t="array" aca="1" ref="F122" ca="1">IF(MATCH(A122, 'weekly price'!A:A, 0), INDEX('weekly price'!K:K, MATCH(A122, 'weekly price'!A:A, 0)), "No Match")</f>
        <v/>
      </c>
      <c r="G122" s="41">
        <f t="shared" ca="1" si="10"/>
        <v>349.77640672453782</v>
      </c>
      <c r="H122" s="59">
        <f t="shared" ca="1" si="1"/>
        <v>5.2248636443348352E-3</v>
      </c>
      <c r="I122" s="41">
        <f ca="1">IF(C122&lt;&gt;"",SUM($G$3:G122),"")</f>
        <v>44620.455271018749</v>
      </c>
      <c r="J122" s="41">
        <f t="shared" ca="1" si="8"/>
        <v>6630.4236316328579</v>
      </c>
      <c r="K122" s="43">
        <f t="shared" ca="1" si="3"/>
        <v>2.2563217982536146</v>
      </c>
      <c r="L122" s="41">
        <f ca="1">IF(C122&lt;&gt;"",I122 / SUM($H$3:H122),"")</f>
        <v>20558.349004666186</v>
      </c>
      <c r="M122" s="59">
        <f t="shared" ca="1" si="5"/>
        <v>3.7344311565085156E-3</v>
      </c>
      <c r="N122" s="41">
        <v>250</v>
      </c>
      <c r="O122" s="41">
        <f ca="1">IF(C122&lt;&gt;"",SUM($N$3:N122) / SUM($M$3:M122),"")</f>
        <v>28145.3457606298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">
      <c r="A123" s="57">
        <v>45411</v>
      </c>
      <c r="B123" s="58">
        <v>121</v>
      </c>
      <c r="C123" s="41">
        <f t="array" aca="1" ref="C123" ca="1">IF(MATCH(A123, 'weekly price'!A:A, 0), INDEX('weekly price'!B:B, MATCH(A123, 'weekly price'!A:A, 0)), "No Match")</f>
        <v>63908.39</v>
      </c>
      <c r="D123" s="43">
        <f ca="1">IF(C123&lt;&gt;"",(C123-$C$3)/$C$3,"")</f>
        <v>0.52828729942367936</v>
      </c>
      <c r="E123" s="43">
        <f t="array" aca="1" ref="E123" ca="1">IF(C123&lt;&gt;"",IF(AND(D123&lt;-0.4,C123&lt;&gt;""),IF(MATCH(A123, 'weekly price'!A:A, 0), INDEX('weekly price'!J:J, MATCH(A123, 'weekly price'!A:A, 0)), "No Match")-(2*D123),IF(MATCH(A123, 'weekly price'!A:A, 0), INDEX('weekly price'!J:J, MATCH(A123, 'weekly price'!A:A, 0)), "No Match")-D123),"")</f>
        <v>0.47171270057632064</v>
      </c>
      <c r="F123" s="44" t="str">
        <f t="array" aca="1" ref="F123" ca="1">IF(MATCH(A123, 'weekly price'!A:A, 0), INDEX('weekly price'!K:K, MATCH(A123, 'weekly price'!A:A, 0)), "No Match")</f>
        <v/>
      </c>
      <c r="G123" s="41">
        <f t="shared" ca="1" si="10"/>
        <v>367.92817514408017</v>
      </c>
      <c r="H123" s="59">
        <f t="shared" ca="1" si="1"/>
        <v>5.7571185120463865E-3</v>
      </c>
      <c r="I123" s="41">
        <f ca="1">IF(C123&lt;&gt;"",SUM($G$3:G123),"")</f>
        <v>44988.383446162828</v>
      </c>
      <c r="J123" s="41">
        <f t="shared" ca="1" si="8"/>
        <v>6280.6472249083199</v>
      </c>
      <c r="K123" s="43">
        <f t="shared" ca="1" si="3"/>
        <v>2.0913893258062513</v>
      </c>
      <c r="L123" s="41">
        <f ca="1">IF(C123&lt;&gt;"",I123 / SUM($H$3:H123),"")</f>
        <v>20673.031852218206</v>
      </c>
      <c r="M123" s="59">
        <f t="shared" ca="1" si="5"/>
        <v>3.9118494457456993E-3</v>
      </c>
      <c r="N123" s="41">
        <v>250</v>
      </c>
      <c r="O123" s="41">
        <f ca="1">IF(C123&lt;&gt;"",SUM($N$3:N123) / SUM($M$3:M123),"")</f>
        <v>28276.116625815848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">
      <c r="A124" s="57">
        <v>45418</v>
      </c>
      <c r="B124" s="58">
        <v>122</v>
      </c>
      <c r="C124" s="41">
        <f t="array" aca="1" ref="C124" ca="1">IF(MATCH(A124, 'weekly price'!A:A, 0), INDEX('weekly price'!B:B, MATCH(A124, 'weekly price'!A:A, 0)), "No Match")</f>
        <v>63228.1</v>
      </c>
      <c r="D124" s="43">
        <f ca="1">IF(C124&lt;&gt;"",(C124-$C$3)/$C$3,"")</f>
        <v>0.51201903532056336</v>
      </c>
      <c r="E124" s="43">
        <f t="array" aca="1" ref="E124" ca="1">IF(C124&lt;&gt;"",IF(AND(D124&lt;-0.4,C124&lt;&gt;""),IF(MATCH(A124, 'weekly price'!A:A, 0), INDEX('weekly price'!J:J, MATCH(A124, 'weekly price'!A:A, 0)), "No Match")-(2*D124),IF(MATCH(A124, 'weekly price'!A:A, 0), INDEX('weekly price'!J:J, MATCH(A124, 'weekly price'!A:A, 0)), "No Match")-D124),"")</f>
        <v>0.48798096467943664</v>
      </c>
      <c r="F124" s="44" t="str">
        <f t="array" aca="1" ref="F124" ca="1">IF(MATCH(A124, 'weekly price'!A:A, 0), INDEX('weekly price'!K:K, MATCH(A124, 'weekly price'!A:A, 0)), "No Match")</f>
        <v/>
      </c>
      <c r="G124" s="41">
        <f t="shared" ca="1" si="10"/>
        <v>371.99524116985918</v>
      </c>
      <c r="H124" s="59">
        <f t="shared" ca="1" si="1"/>
        <v>5.8833847793917449E-3</v>
      </c>
      <c r="I124" s="41">
        <f ca="1">IF(C124&lt;&gt;"",SUM($G$3:G124),"")</f>
        <v>45360.37868733269</v>
      </c>
      <c r="J124" s="41">
        <f t="shared" ca="1" si="8"/>
        <v>5912.7190497642396</v>
      </c>
      <c r="K124" s="43">
        <f t="shared" ca="1" si="3"/>
        <v>2.0416008274428572</v>
      </c>
      <c r="L124" s="41">
        <f ca="1">IF(C124&lt;&gt;"",I124 / SUM($H$3:H124),"")</f>
        <v>20787.770515290558</v>
      </c>
      <c r="M124" s="59">
        <f t="shared" ca="1" si="5"/>
        <v>3.9539382015274854E-3</v>
      </c>
      <c r="N124" s="41">
        <v>250</v>
      </c>
      <c r="O124" s="41">
        <f ca="1">IF(C124&lt;&gt;"",SUM($N$3:N124) / SUM($M$3:M124),"")</f>
        <v>28404.821182356583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">
      <c r="A125" s="57">
        <v>45425</v>
      </c>
      <c r="B125" s="58">
        <v>123</v>
      </c>
      <c r="C125" s="41">
        <f t="array" aca="1" ref="C125" ca="1">IF(MATCH(A125, 'weekly price'!A:A, 0), INDEX('weekly price'!B:B, MATCH(A125, 'weekly price'!A:A, 0)), "No Match")</f>
        <v>62886.94</v>
      </c>
      <c r="D125" s="43">
        <f ca="1">IF(C125&lt;&gt;"",(C125-$C$3)/$C$3,"")</f>
        <v>0.50386063084391519</v>
      </c>
      <c r="E125" s="43">
        <f t="array" aca="1" ref="E125" ca="1">IF(C125&lt;&gt;"",IF(AND(D125&lt;-0.4,C125&lt;&gt;""),IF(MATCH(A125, 'weekly price'!A:A, 0), INDEX('weekly price'!J:J, MATCH(A125, 'weekly price'!A:A, 0)), "No Match")-(2*D125),IF(MATCH(A125, 'weekly price'!A:A, 0), INDEX('weekly price'!J:J, MATCH(A125, 'weekly price'!A:A, 0)), "No Match")-D125),"")</f>
        <v>0.49613936915608481</v>
      </c>
      <c r="F125" s="44" t="str">
        <f t="array" aca="1" ref="F125" ca="1">IF(MATCH(A125, 'weekly price'!A:A, 0), INDEX('weekly price'!K:K, MATCH(A125, 'weekly price'!A:A, 0)), "No Match")</f>
        <v/>
      </c>
      <c r="G125" s="41">
        <f t="shared" ca="1" si="10"/>
        <v>374.03484228902119</v>
      </c>
      <c r="H125" s="59">
        <f t="shared" ca="1" si="1"/>
        <v>5.9477348124908156E-3</v>
      </c>
      <c r="I125" s="41">
        <f ca="1">IF(C125&lt;&gt;"",SUM($G$3:G125),"")</f>
        <v>45734.413529621714</v>
      </c>
      <c r="J125" s="41">
        <f t="shared" ca="1" si="8"/>
        <v>5540.72380859438</v>
      </c>
      <c r="K125" s="43">
        <f t="shared" ca="1" si="3"/>
        <v>2.0086264244890528</v>
      </c>
      <c r="L125" s="41">
        <f ca="1">IF(C125&lt;&gt;"",I125 / SUM($H$3:H125),"")</f>
        <v>20902.209555870642</v>
      </c>
      <c r="M125" s="59">
        <f t="shared" ca="1" si="5"/>
        <v>3.975388212560509E-3</v>
      </c>
      <c r="N125" s="41">
        <v>250</v>
      </c>
      <c r="O125" s="41">
        <f ca="1">IF(C125&lt;&gt;"",SUM($N$3:N125) / SUM($M$3:M125),"")</f>
        <v>28532.013473365358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">
      <c r="A126" s="57">
        <v>45432</v>
      </c>
      <c r="B126" s="58">
        <v>124</v>
      </c>
      <c r="C126" s="41">
        <f t="array" aca="1" ref="C126" ca="1">IF(MATCH(A126, 'weekly price'!A:A, 0), INDEX('weekly price'!B:B, MATCH(A126, 'weekly price'!A:A, 0)), "No Match")</f>
        <v>71202.2</v>
      </c>
      <c r="D126" s="43">
        <f ca="1">IF(C126&lt;&gt;"",(C126-$C$3)/$C$3,"")</f>
        <v>0.70270942439677642</v>
      </c>
      <c r="E126" s="43">
        <f t="array" aca="1" ref="E126" ca="1">IF(C126&lt;&gt;"",IF(AND(D126&lt;-0.4,C126&lt;&gt;""),IF(MATCH(A126, 'weekly price'!A:A, 0), INDEX('weekly price'!J:J, MATCH(A126, 'weekly price'!A:A, 0)), "No Match")-(2*D126),IF(MATCH(A126, 'weekly price'!A:A, 0), INDEX('weekly price'!J:J, MATCH(A126, 'weekly price'!A:A, 0)), "No Match")-D126),"")</f>
        <v>0.29729057560322358</v>
      </c>
      <c r="F126" s="44" t="str">
        <f t="array" aca="1" ref="F126" ca="1">IF(MATCH(A126, 'weekly price'!A:A, 0), INDEX('weekly price'!K:K, MATCH(A126, 'weekly price'!A:A, 0)), "No Match")</f>
        <v/>
      </c>
      <c r="G126" s="41">
        <f t="shared" ca="1" si="10"/>
        <v>324.32264390080587</v>
      </c>
      <c r="H126" s="59">
        <f t="shared" ca="1" si="1"/>
        <v>4.5549525702970675E-3</v>
      </c>
      <c r="I126" s="41">
        <f ca="1">IF(C126&lt;&gt;"",SUM($G$3:G126),"")</f>
        <v>46058.73617352252</v>
      </c>
      <c r="J126" s="41">
        <f t="shared" ca="1" si="8"/>
        <v>5166.6889663053589</v>
      </c>
      <c r="K126" s="43">
        <f t="shared" ca="1" si="3"/>
        <v>2.3894987211704284</v>
      </c>
      <c r="L126" s="41">
        <f ca="1">IF(C126&lt;&gt;"",I126 / SUM($H$3:H126),"")</f>
        <v>21006.705078623883</v>
      </c>
      <c r="M126" s="59">
        <f t="shared" ca="1" si="5"/>
        <v>3.5111274651625935E-3</v>
      </c>
      <c r="N126" s="41">
        <v>250</v>
      </c>
      <c r="O126" s="41">
        <f ca="1">IF(C126&lt;&gt;"",SUM($N$3:N126) / SUM($M$3:M126),"")</f>
        <v>28670.576021708184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">
      <c r="A127" s="57">
        <v>45439</v>
      </c>
      <c r="B127" s="58">
        <v>125</v>
      </c>
      <c r="C127" s="41">
        <f t="array" aca="1" ref="C127" ca="1">IF(MATCH(A127, 'weekly price'!A:A, 0), INDEX('weekly price'!B:B, MATCH(A127, 'weekly price'!A:A, 0)), "No Match")</f>
        <v>69347.820000000007</v>
      </c>
      <c r="D127" s="43">
        <f ca="1">IF(C127&lt;&gt;"",(C127-$C$3)/$C$3,"")</f>
        <v>0.65836430159982795</v>
      </c>
      <c r="E127" s="43">
        <f t="array" aca="1" ref="E127" ca="1">IF(C127&lt;&gt;"",IF(AND(D127&lt;-0.4,C127&lt;&gt;""),IF(MATCH(A127, 'weekly price'!A:A, 0), INDEX('weekly price'!J:J, MATCH(A127, 'weekly price'!A:A, 0)), "No Match")-(2*D127),IF(MATCH(A127, 'weekly price'!A:A, 0), INDEX('weekly price'!J:J, MATCH(A127, 'weekly price'!A:A, 0)), "No Match")-D127),"")</f>
        <v>0.34163569840017205</v>
      </c>
      <c r="F127" s="44" t="str">
        <f t="array" aca="1" ref="F127" ca="1">IF(MATCH(A127, 'weekly price'!A:A, 0), INDEX('weekly price'!K:K, MATCH(A127, 'weekly price'!A:A, 0)), "No Match")</f>
        <v/>
      </c>
      <c r="G127" s="41">
        <f t="shared" ca="1" si="10"/>
        <v>335.40892460004301</v>
      </c>
      <c r="H127" s="59">
        <f t="shared" ca="1" si="1"/>
        <v>4.8366181460360686E-3</v>
      </c>
      <c r="I127" s="41">
        <f ca="1">IF(C127&lt;&gt;"",SUM($G$3:G127),"")</f>
        <v>46394.145098122564</v>
      </c>
      <c r="J127" s="41">
        <f t="shared" ca="1" si="8"/>
        <v>4842.3663224045531</v>
      </c>
      <c r="K127" s="43">
        <f t="shared" ca="1" si="3"/>
        <v>2.2845862830886534</v>
      </c>
      <c r="L127" s="41">
        <f ca="1">IF(C127&lt;&gt;"",I127 / SUM($H$3:H127),"")</f>
        <v>21113.10649899839</v>
      </c>
      <c r="M127" s="59">
        <f t="shared" ca="1" si="5"/>
        <v>3.6050159904089268E-3</v>
      </c>
      <c r="N127" s="41">
        <v>250</v>
      </c>
      <c r="O127" s="41">
        <f ca="1">IF(C127&lt;&gt;"",SUM($N$3:N127) / SUM($M$3:M127),"")</f>
        <v>28805.74836937806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">
      <c r="A128" s="57">
        <v>45446</v>
      </c>
      <c r="B128" s="58">
        <v>126</v>
      </c>
      <c r="C128" s="41">
        <f t="array" aca="1" ref="C128" ca="1">IF(MATCH(A128, 'weekly price'!A:A, 0), INDEX('weekly price'!B:B, MATCH(A128, 'weekly price'!A:A, 0)), "No Match")</f>
        <v>68833.3</v>
      </c>
      <c r="D128" s="43">
        <f ca="1">IF(C128&lt;&gt;"",(C128-$C$3)/$C$3,"")</f>
        <v>0.64606021474519937</v>
      </c>
      <c r="E128" s="43">
        <f t="array" aca="1" ref="E128" ca="1">IF(C128&lt;&gt;"",IF(AND(D128&lt;-0.4,C128&lt;&gt;""),IF(MATCH(A128, 'weekly price'!A:A, 0), INDEX('weekly price'!J:J, MATCH(A128, 'weekly price'!A:A, 0)), "No Match")-(2*D128),IF(MATCH(A128, 'weekly price'!A:A, 0), INDEX('weekly price'!J:J, MATCH(A128, 'weekly price'!A:A, 0)), "No Match")-D128),"")</f>
        <v>0.35393978525480063</v>
      </c>
      <c r="F128" s="44" t="str">
        <f t="array" aca="1" ref="F128" ca="1">IF(MATCH(A128, 'weekly price'!A:A, 0), INDEX('weekly price'!K:K, MATCH(A128, 'weekly price'!A:A, 0)), "No Match")</f>
        <v/>
      </c>
      <c r="G128" s="41">
        <f t="shared" ca="1" si="10"/>
        <v>338.48494631370016</v>
      </c>
      <c r="H128" s="59">
        <f t="shared" ca="1" si="1"/>
        <v>4.9174592285085878E-3</v>
      </c>
      <c r="I128" s="41">
        <f ca="1">IF(C128&lt;&gt;"",SUM($G$3:G128),"")</f>
        <v>46732.630044436264</v>
      </c>
      <c r="J128" s="41">
        <f t="shared" ca="1" si="8"/>
        <v>4506.95739780451</v>
      </c>
      <c r="K128" s="43">
        <f t="shared" ca="1" si="3"/>
        <v>2.2438458132206889</v>
      </c>
      <c r="L128" s="41">
        <f ca="1">IF(C128&lt;&gt;"",I128 / SUM($H$3:H128),"")</f>
        <v>21219.658381869292</v>
      </c>
      <c r="M128" s="59">
        <f t="shared" ca="1" si="5"/>
        <v>3.6319630178997665E-3</v>
      </c>
      <c r="N128" s="41">
        <v>250</v>
      </c>
      <c r="O128" s="41">
        <f ca="1">IF(C128&lt;&gt;"",SUM($N$3:N128) / SUM($M$3:M128),"")</f>
        <v>28939.308872201844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">
      <c r="A129" s="57">
        <v>45453</v>
      </c>
      <c r="B129" s="58">
        <v>127</v>
      </c>
      <c r="C129" s="41">
        <f t="array" aca="1" ref="C129" ca="1">IF(MATCH(A129, 'weekly price'!A:A, 0), INDEX('weekly price'!B:B, MATCH(A129, 'weekly price'!A:A, 0)), "No Match")</f>
        <v>69465.94</v>
      </c>
      <c r="D129" s="43">
        <f ca="1">IF(C129&lt;&gt;"",(C129-$C$3)/$C$3,"")</f>
        <v>0.66118899012363397</v>
      </c>
      <c r="E129" s="43">
        <f t="array" aca="1" ref="E129" ca="1">IF(C129&lt;&gt;"",IF(AND(D129&lt;-0.4,C129&lt;&gt;""),IF(MATCH(A129, 'weekly price'!A:A, 0), INDEX('weekly price'!J:J, MATCH(A129, 'weekly price'!A:A, 0)), "No Match")-(2*D129),IF(MATCH(A129, 'weekly price'!A:A, 0), INDEX('weekly price'!J:J, MATCH(A129, 'weekly price'!A:A, 0)), "No Match")-D129),"")</f>
        <v>0.33881100987636603</v>
      </c>
      <c r="F129" s="44" t="str">
        <f t="array" aca="1" ref="F129" ca="1">IF(MATCH(A129, 'weekly price'!A:A, 0), INDEX('weekly price'!K:K, MATCH(A129, 'weekly price'!A:A, 0)), "No Match")</f>
        <v/>
      </c>
      <c r="G129" s="41">
        <f t="shared" ca="1" si="10"/>
        <v>334.70275246909154</v>
      </c>
      <c r="H129" s="59">
        <f t="shared" ca="1" si="1"/>
        <v>4.8182282204644687E-3</v>
      </c>
      <c r="I129" s="41">
        <f ca="1">IF(C129&lt;&gt;"",SUM($G$3:G129),"")</f>
        <v>47067.332796905357</v>
      </c>
      <c r="J129" s="41">
        <f t="shared" ca="1" si="8"/>
        <v>4168.4724514908103</v>
      </c>
      <c r="K129" s="43">
        <f t="shared" ca="1" si="3"/>
        <v>2.2574913471493758</v>
      </c>
      <c r="L129" s="41">
        <f ca="1">IF(C129&lt;&gt;"",I129 / SUM($H$3:H129),"")</f>
        <v>21324.980666729785</v>
      </c>
      <c r="M129" s="59">
        <f t="shared" ca="1" si="5"/>
        <v>3.5988860152183933E-3</v>
      </c>
      <c r="N129" s="41">
        <v>250</v>
      </c>
      <c r="O129" s="41">
        <f ca="1">IF(C129&lt;&gt;"",SUM($N$3:N129) / SUM($M$3:M129),"")</f>
        <v>29072.861564053754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">
      <c r="A130" s="57">
        <v>45460</v>
      </c>
      <c r="B130" s="58">
        <v>128</v>
      </c>
      <c r="C130" s="41">
        <f t="array" aca="1" ref="C130" ca="1">IF(MATCH(A130, 'weekly price'!A:A, 0), INDEX('weekly price'!B:B, MATCH(A130, 'weekly price'!A:A, 0)), "No Match")</f>
        <v>66483.88</v>
      </c>
      <c r="D130" s="43">
        <f ca="1">IF(C130&lt;&gt;"",(C130-$C$3)/$C$3,"")</f>
        <v>0.58987684434560117</v>
      </c>
      <c r="E130" s="43">
        <f t="array" aca="1" ref="E130" ca="1">IF(C130&lt;&gt;"",IF(AND(D130&lt;-0.4,C130&lt;&gt;""),IF(MATCH(A130, 'weekly price'!A:A, 0), INDEX('weekly price'!J:J, MATCH(A130, 'weekly price'!A:A, 0)), "No Match")-(2*D130),IF(MATCH(A130, 'weekly price'!A:A, 0), INDEX('weekly price'!J:J, MATCH(A130, 'weekly price'!A:A, 0)), "No Match")-D130),"")</f>
        <v>0.41012315565439883</v>
      </c>
      <c r="F130" s="44" t="str">
        <f t="array" aca="1" ref="F130" ca="1">IF(MATCH(A130, 'weekly price'!A:A, 0), INDEX('weekly price'!K:K, MATCH(A130, 'weekly price'!A:A, 0)), "No Match")</f>
        <v/>
      </c>
      <c r="G130" s="41">
        <f t="shared" ca="1" si="10"/>
        <v>352.53078891359968</v>
      </c>
      <c r="H130" s="59">
        <f t="shared" ca="1" si="1"/>
        <v>5.3025002288314051E-3</v>
      </c>
      <c r="I130" s="41">
        <f ca="1">IF(C130&lt;&gt;"",SUM($G$3:G130),"")</f>
        <v>47419.863585818959</v>
      </c>
      <c r="J130" s="41">
        <f t="shared" ca="1" si="8"/>
        <v>3833.7696990217187</v>
      </c>
      <c r="K130" s="43">
        <f t="shared" ca="1" si="3"/>
        <v>2.1019093898619507</v>
      </c>
      <c r="L130" s="41">
        <f ca="1">IF(C130&lt;&gt;"",I130 / SUM($H$3:H130),"")</f>
        <v>21433.211497824843</v>
      </c>
      <c r="M130" s="59">
        <f t="shared" ca="1" si="5"/>
        <v>3.7603100180073723E-3</v>
      </c>
      <c r="N130" s="41">
        <v>250</v>
      </c>
      <c r="O130" s="41">
        <f ca="1">IF(C130&lt;&gt;"",SUM($N$3:N130) / SUM($M$3:M130),"")</f>
        <v>29201.234779850267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">
      <c r="A131" s="57">
        <v>45467</v>
      </c>
      <c r="B131" s="58">
        <v>129</v>
      </c>
      <c r="C131" s="41">
        <f t="array" aca="1" ref="C131" ca="1">IF(MATCH(A131, 'weekly price'!A:A, 0), INDEX('weekly price'!B:B, MATCH(A131, 'weekly price'!A:A, 0)), "No Match")</f>
        <v>60258.96</v>
      </c>
      <c r="D131" s="43">
        <f ca="1">IF(C131&lt;&gt;"",(C131-$C$3)/$C$3,"")</f>
        <v>0.44101585479589639</v>
      </c>
      <c r="E131" s="43">
        <f t="array" aca="1" ref="E131" ca="1">IF(C131&lt;&gt;"",IF(AND(D131&lt;-0.4,C131&lt;&gt;""),IF(MATCH(A131, 'weekly price'!A:A, 0), INDEX('weekly price'!J:J, MATCH(A131, 'weekly price'!A:A, 0)), "No Match")-(2*D131),IF(MATCH(A131, 'weekly price'!A:A, 0), INDEX('weekly price'!J:J, MATCH(A131, 'weekly price'!A:A, 0)), "No Match")-D131),"")</f>
        <v>0.55898414520410356</v>
      </c>
      <c r="F131" s="44" t="str">
        <f t="array" aca="1" ref="F131" ca="1">IF(MATCH(A131, 'weekly price'!A:A, 0), INDEX('weekly price'!K:K, MATCH(A131, 'weekly price'!A:A, 0)), "No Match")</f>
        <v/>
      </c>
      <c r="G131" s="41">
        <f t="shared" ca="1" si="10"/>
        <v>389.74603630102587</v>
      </c>
      <c r="H131" s="59">
        <f t="shared" ca="1" si="1"/>
        <v>6.4678520223552796E-3</v>
      </c>
      <c r="I131" s="41">
        <f ca="1">IF(C131&lt;&gt;"",SUM($G$3:G131),"")</f>
        <v>47809.609622119984</v>
      </c>
      <c r="J131" s="41">
        <f t="shared" ca="1" si="8"/>
        <v>3481.2389101081189</v>
      </c>
      <c r="K131" s="43">
        <f t="shared" ca="1" si="3"/>
        <v>1.7967087806691804</v>
      </c>
      <c r="L131" s="41">
        <f ca="1">IF(C131&lt;&gt;"",I131 / SUM($H$3:H131),"")</f>
        <v>21546.383526418358</v>
      </c>
      <c r="M131" s="59">
        <f t="shared" ca="1" si="5"/>
        <v>4.1487606158486642E-3</v>
      </c>
      <c r="N131" s="41">
        <v>250</v>
      </c>
      <c r="O131" s="41">
        <f ca="1">IF(C131&lt;&gt;"",SUM($N$3:N131) / SUM($M$3:M131),"")</f>
        <v>29318.372877031714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">
      <c r="A132" s="57">
        <v>45474</v>
      </c>
      <c r="B132" s="58">
        <v>130</v>
      </c>
      <c r="C132" s="41">
        <f t="array" aca="1" ref="C132" ca="1">IF(MATCH(A132, 'weekly price'!A:A, 0), INDEX('weekly price'!B:B, MATCH(A132, 'weekly price'!A:A, 0)), "No Match")</f>
        <v>62835.4</v>
      </c>
      <c r="D132" s="43">
        <f ca="1">IF(C132&lt;&gt;"",(C132-$C$3)/$C$3,"")</f>
        <v>0.5026281177511539</v>
      </c>
      <c r="E132" s="43">
        <f t="array" aca="1" ref="E132" ca="1">IF(C132&lt;&gt;"",IF(AND(D132&lt;-0.4,C132&lt;&gt;""),IF(MATCH(A132, 'weekly price'!A:A, 0), INDEX('weekly price'!J:J, MATCH(A132, 'weekly price'!A:A, 0)), "No Match")-(2*D132),IF(MATCH(A132, 'weekly price'!A:A, 0), INDEX('weekly price'!J:J, MATCH(A132, 'weekly price'!A:A, 0)), "No Match")-D132),"")</f>
        <v>0.4973718822488461</v>
      </c>
      <c r="F132" s="44" t="str">
        <f t="array" aca="1" ref="F132" ca="1">IF(MATCH(A132, 'weekly price'!A:A, 0), INDEX('weekly price'!K:K, MATCH(A132, 'weekly price'!A:A, 0)), "No Match")</f>
        <v/>
      </c>
      <c r="G132" s="41">
        <f t="shared" ca="1" si="10"/>
        <v>374.34297056221158</v>
      </c>
      <c r="H132" s="59">
        <f t="shared" ca="1" si="1"/>
        <v>5.9575171091806782E-3</v>
      </c>
      <c r="I132" s="41">
        <f ca="1">IF(C132&lt;&gt;"",SUM($G$3:G132),"")</f>
        <v>48183.952592682195</v>
      </c>
      <c r="J132" s="41">
        <f t="shared" ca="1" si="8"/>
        <v>3091.492873807093</v>
      </c>
      <c r="K132" s="43">
        <f t="shared" ca="1" si="3"/>
        <v>1.9013975350064856</v>
      </c>
      <c r="L132" s="41">
        <f ca="1">IF(C132&lt;&gt;"",I132 / SUM($H$3:H132),"")</f>
        <v>21656.942642938982</v>
      </c>
      <c r="M132" s="59">
        <f t="shared" ca="1" si="5"/>
        <v>3.9786489781237968E-3</v>
      </c>
      <c r="N132" s="41">
        <v>250</v>
      </c>
      <c r="O132" s="41">
        <f ca="1">IF(C132&lt;&gt;"",SUM($N$3:N132) / SUM($M$3:M132),"")</f>
        <v>29439.166292490441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">
      <c r="A133" s="57">
        <v>45481</v>
      </c>
      <c r="B133" s="58">
        <v>131</v>
      </c>
      <c r="C133" s="41">
        <f t="array" aca="1" ref="C133" ca="1">IF(MATCH(A133, 'weekly price'!A:A, 0), INDEX('weekly price'!B:B, MATCH(A133, 'weekly price'!A:A, 0)), "No Match")</f>
        <v>56691.91</v>
      </c>
      <c r="D133" s="43">
        <f ca="1">IF(C133&lt;&gt;"",(C133-$C$3)/$C$3,"")</f>
        <v>0.35571442236411038</v>
      </c>
      <c r="E133" s="43">
        <f t="array" aca="1" ref="E133" ca="1">IF(C133&lt;&gt;"",IF(AND(D133&lt;-0.4,C133&lt;&gt;""),IF(MATCH(A133, 'weekly price'!A:A, 0), INDEX('weekly price'!J:J, MATCH(A133, 'weekly price'!A:A, 0)), "No Match")-(2*D133),IF(MATCH(A133, 'weekly price'!A:A, 0), INDEX('weekly price'!J:J, MATCH(A133, 'weekly price'!A:A, 0)), "No Match")-D133),"")</f>
        <v>2.0114697987754444</v>
      </c>
      <c r="F133" s="44">
        <f t="array" aca="1" ref="F133" ca="1">IF(MATCH(A133, 'weekly price'!A:A, 0), INDEX('weekly price'!K:K, MATCH(A133, 'weekly price'!A:A, 0)), "No Match")</f>
        <v>2</v>
      </c>
      <c r="G133" s="41">
        <f t="shared" ca="1" si="10"/>
        <v>1002.867449693861</v>
      </c>
      <c r="H133" s="59">
        <f t="shared" ca="1" si="1"/>
        <v>1.7689780599980859E-2</v>
      </c>
      <c r="I133" s="41">
        <f ca="1">IF(C133&lt;&gt;"",SUM($G$3:G133),"")</f>
        <v>49186.820042376057</v>
      </c>
      <c r="J133" s="41">
        <f t="shared" ca="1" si="8"/>
        <v>2717.1499032448814</v>
      </c>
      <c r="K133" s="43">
        <f t="shared" ca="1" si="3"/>
        <v>1.5847408308091455</v>
      </c>
      <c r="L133" s="41">
        <f ca="1">IF(C133&lt;&gt;"",I133 / SUM($H$3:H133),"")</f>
        <v>21933.30539149365</v>
      </c>
      <c r="M133" s="59">
        <f t="shared" ca="1" si="5"/>
        <v>4.4098002695622703E-3</v>
      </c>
      <c r="N133" s="41">
        <v>250</v>
      </c>
      <c r="O133" s="41">
        <f ca="1">IF(C133&lt;&gt;"",SUM($N$3:N133) / SUM($M$3:M133),"")</f>
        <v>29547.593923505417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">
      <c r="A134" s="57">
        <v>45488</v>
      </c>
      <c r="B134" s="58">
        <v>132</v>
      </c>
      <c r="C134" s="41">
        <f t="array" aca="1" ref="C134" ca="1">IF(MATCH(A134, 'weekly price'!A:A, 0), INDEX('weekly price'!B:B, MATCH(A134, 'weekly price'!A:A, 0)), "No Match")</f>
        <v>64734.76</v>
      </c>
      <c r="D134" s="43">
        <f ca="1">IF(C134&lt;&gt;"",(C134-$C$3)/$C$3,"")</f>
        <v>0.5480488796422508</v>
      </c>
      <c r="E134" s="43">
        <f t="array" aca="1" ref="E134" ca="1">IF(C134&lt;&gt;"",IF(AND(D134&lt;-0.4,C134&lt;&gt;""),IF(MATCH(A134, 'weekly price'!A:A, 0), INDEX('weekly price'!J:J, MATCH(A134, 'weekly price'!A:A, 0)), "No Match")-(2*D134),IF(MATCH(A134, 'weekly price'!A:A, 0), INDEX('weekly price'!J:J, MATCH(A134, 'weekly price'!A:A, 0)), "No Match")-D134),"")</f>
        <v>0.4519511203577492</v>
      </c>
      <c r="F134" s="44" t="str">
        <f t="array" aca="1" ref="F134" ca="1">IF(MATCH(A134, 'weekly price'!A:A, 0), INDEX('weekly price'!K:K, MATCH(A134, 'weekly price'!A:A, 0)), "No Match")</f>
        <v/>
      </c>
      <c r="G134" s="41">
        <f t="shared" ca="1" si="10"/>
        <v>362.98778008943731</v>
      </c>
      <c r="H134" s="59">
        <f t="shared" ca="1" si="1"/>
        <v>5.6073086559591369E-3</v>
      </c>
      <c r="I134" s="41">
        <f ca="1">IF(C134&lt;&gt;"",SUM($G$3:G134),"")</f>
        <v>49549.807822465496</v>
      </c>
      <c r="J134" s="41">
        <f t="shared" ca="1" si="8"/>
        <v>1714.2824535510204</v>
      </c>
      <c r="K134" s="43">
        <f t="shared" ca="1" si="3"/>
        <v>1.9371409180568688</v>
      </c>
      <c r="L134" s="41">
        <f ca="1">IF(C134&lt;&gt;"",I134 / SUM($H$3:H134),"")</f>
        <v>22040.059297810854</v>
      </c>
      <c r="M134" s="59">
        <f t="shared" ca="1" si="5"/>
        <v>3.8619128270499497E-3</v>
      </c>
      <c r="N134" s="41">
        <v>250</v>
      </c>
      <c r="O134" s="41">
        <f ca="1">IF(C134&lt;&gt;"",SUM($N$3:N134) / SUM($M$3:M134),"")</f>
        <v>29669.770232415747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">
      <c r="A135" s="57">
        <v>45495</v>
      </c>
      <c r="B135" s="58">
        <v>133</v>
      </c>
      <c r="C135" s="41">
        <f t="array" aca="1" ref="C135" ca="1">IF(MATCH(A135, 'weekly price'!A:A, 0), INDEX('weekly price'!B:B, MATCH(A135, 'weekly price'!A:A, 0)), "No Match")</f>
        <v>67535.199999999997</v>
      </c>
      <c r="D135" s="43">
        <f ca="1">IF(C135&lt;&gt;"",(C135-$C$3)/$C$3,"")</f>
        <v>0.61501781572087899</v>
      </c>
      <c r="E135" s="43">
        <f t="array" aca="1" ref="E135" ca="1">IF(C135&lt;&gt;"",IF(AND(D135&lt;-0.4,C135&lt;&gt;""),IF(MATCH(A135, 'weekly price'!A:A, 0), INDEX('weekly price'!J:J, MATCH(A135, 'weekly price'!A:A, 0)), "No Match")-(2*D135),IF(MATCH(A135, 'weekly price'!A:A, 0), INDEX('weekly price'!J:J, MATCH(A135, 'weekly price'!A:A, 0)), "No Match")-D135),"")</f>
        <v>0.38498218427912101</v>
      </c>
      <c r="F135" s="44" t="str">
        <f t="array" aca="1" ref="F135" ca="1">IF(MATCH(A135, 'weekly price'!A:A, 0), INDEX('weekly price'!K:K, MATCH(A135, 'weekly price'!A:A, 0)), "No Match")</f>
        <v/>
      </c>
      <c r="G135" s="41">
        <f t="shared" ca="1" si="10"/>
        <v>346.24554606978023</v>
      </c>
      <c r="H135" s="59">
        <f t="shared" ca="1" si="1"/>
        <v>5.126890067250563E-3</v>
      </c>
      <c r="I135" s="41">
        <f ca="1">IF(C135&lt;&gt;"",SUM($G$3:G135),"")</f>
        <v>49896.053368535278</v>
      </c>
      <c r="J135" s="41">
        <f t="shared" ca="1" si="8"/>
        <v>1351.294673461583</v>
      </c>
      <c r="K135" s="43">
        <f t="shared" ca="1" si="3"/>
        <v>2.04987808622574</v>
      </c>
      <c r="L135" s="41">
        <f ca="1">IF(C135&lt;&gt;"",I135 / SUM($H$3:H135),"")</f>
        <v>22143.573641520736</v>
      </c>
      <c r="M135" s="59">
        <f t="shared" ca="1" si="5"/>
        <v>3.7017732974804251E-3</v>
      </c>
      <c r="N135" s="41">
        <v>250</v>
      </c>
      <c r="O135" s="41">
        <f ca="1">IF(C135&lt;&gt;"",SUM($N$3:N135) / SUM($M$3:M135),"")</f>
        <v>29795.376100944286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">
      <c r="A136" s="57">
        <v>45502</v>
      </c>
      <c r="B136" s="58">
        <v>134</v>
      </c>
      <c r="C136" s="41">
        <f t="array" aca="1" ref="C136" ca="1">IF(MATCH(A136, 'weekly price'!A:A, 0), INDEX('weekly price'!B:B, MATCH(A136, 'weekly price'!A:A, 0)), "No Match")</f>
        <v>66867.17</v>
      </c>
      <c r="D136" s="43">
        <f ca="1">IF(C136&lt;&gt;"",(C136-$C$3)/$C$3,"")</f>
        <v>0.59904273381639039</v>
      </c>
      <c r="E136" s="43">
        <f t="array" aca="1" ref="E136" ca="1">IF(C136&lt;&gt;"",IF(AND(D136&lt;-0.4,C136&lt;&gt;""),IF(MATCH(A136, 'weekly price'!A:A, 0), INDEX('weekly price'!J:J, MATCH(A136, 'weekly price'!A:A, 0)), "No Match")-(2*D136),IF(MATCH(A136, 'weekly price'!A:A, 0), INDEX('weekly price'!J:J, MATCH(A136, 'weekly price'!A:A, 0)), "No Match")-D136),"")</f>
        <v>0.40095726618360961</v>
      </c>
      <c r="F136" s="44" t="str">
        <f t="array" aca="1" ref="F136" ca="1">IF(MATCH(A136, 'weekly price'!A:A, 0), INDEX('weekly price'!K:K, MATCH(A136, 'weekly price'!A:A, 0)), "No Match")</f>
        <v/>
      </c>
      <c r="G136" s="41">
        <f t="shared" ref="G136:G196" ca="1" si="11">IF(C136&lt;&gt;"",(E136 + IF(LEN(TRIM(F136))=0,1,F136)) * $P$11,"")</f>
        <v>350.2393165459024</v>
      </c>
      <c r="H136" s="59">
        <f t="shared" ca="1" si="1"/>
        <v>5.2378366924441758E-3</v>
      </c>
      <c r="I136" s="41">
        <f ca="1">IF(C136&lt;&gt;"",SUM($G$3:G136),"")</f>
        <v>50246.292685081178</v>
      </c>
      <c r="J136" s="41">
        <f t="shared" ca="1" si="8"/>
        <v>1005.0491273918028</v>
      </c>
      <c r="K136" s="43">
        <f t="shared" ca="1" si="3"/>
        <v>2.0056316764648479</v>
      </c>
      <c r="L136" s="41">
        <f ca="1">IF(C136&lt;&gt;"",I136 / SUM($H$3:H136),"")</f>
        <v>22247.293480300144</v>
      </c>
      <c r="M136" s="59">
        <f t="shared" ca="1" si="5"/>
        <v>3.7387555058782957E-3</v>
      </c>
      <c r="N136" s="41">
        <v>250</v>
      </c>
      <c r="O136" s="41">
        <f ca="1">IF(C136&lt;&gt;"",SUM($N$3:N136) / SUM($M$3:M136),"")</f>
        <v>29919.163176495873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">
      <c r="A137" s="57">
        <v>45509</v>
      </c>
      <c r="B137" s="58">
        <v>135</v>
      </c>
      <c r="C137" s="41">
        <f t="array" aca="1" ref="C137" ca="1">IF(MATCH(A137, 'weekly price'!A:A, 0), INDEX('weekly price'!B:B, MATCH(A137, 'weekly price'!A:A, 0)), "No Match")</f>
        <v>54343.63</v>
      </c>
      <c r="D137" s="43">
        <f ca="1">IF(C137&lt;&gt;"",(C137-$C$3)/$C$3,"")</f>
        <v>0.29955831360451485</v>
      </c>
      <c r="E137" s="43">
        <f t="array" aca="1" ref="E137" ca="1">IF(C137&lt;&gt;"",IF(AND(D137&lt;-0.4,C137&lt;&gt;""),IF(MATCH(A137, 'weekly price'!A:A, 0), INDEX('weekly price'!J:J, MATCH(A137, 'weekly price'!A:A, 0)), "No Match")-(2*D137),IF(MATCH(A137, 'weekly price'!A:A, 0), INDEX('weekly price'!J:J, MATCH(A137, 'weekly price'!A:A, 0)), "No Match")-D137),"")</f>
        <v>0.70044168639548521</v>
      </c>
      <c r="F137" s="44" t="str">
        <f t="array" aca="1" ref="F137" ca="1">IF(MATCH(A137, 'weekly price'!A:A, 0), INDEX('weekly price'!K:K, MATCH(A137, 'weekly price'!A:A, 0)), "No Match")</f>
        <v/>
      </c>
      <c r="G137" s="41">
        <f t="shared" ca="1" si="11"/>
        <v>425.11042159887131</v>
      </c>
      <c r="H137" s="59">
        <f t="shared" ca="1" si="1"/>
        <v>7.8226357274784799E-3</v>
      </c>
      <c r="I137" s="41">
        <f ca="1">IF(C137&lt;&gt;"",SUM($G$3:G137),"")</f>
        <v>50671.403106680053</v>
      </c>
      <c r="J137" s="41">
        <f t="shared" ca="1" si="8"/>
        <v>654.80981084590042</v>
      </c>
      <c r="K137" s="43">
        <f t="shared" ca="1" si="3"/>
        <v>1.4306038004922146</v>
      </c>
      <c r="L137" s="41">
        <f ca="1">IF(C137&lt;&gt;"",I137 / SUM($H$3:H137),"")</f>
        <v>22358.078263925625</v>
      </c>
      <c r="M137" s="59">
        <f t="shared" ca="1" si="5"/>
        <v>4.6003551842230634E-3</v>
      </c>
      <c r="N137" s="41">
        <v>250</v>
      </c>
      <c r="O137" s="41">
        <f ca="1">IF(C137&lt;&gt;"",SUM($N$3:N137) / SUM($M$3:M137),"")</f>
        <v>30019.103418292507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">
      <c r="A138" s="57">
        <v>45516</v>
      </c>
      <c r="B138" s="58">
        <v>136</v>
      </c>
      <c r="C138" s="41">
        <f t="array" aca="1" ref="C138" ca="1">IF(MATCH(A138, 'weekly price'!A:A, 0), INDEX('weekly price'!B:B, MATCH(A138, 'weekly price'!A:A, 0)), "No Match")</f>
        <v>59394.16</v>
      </c>
      <c r="D138" s="43">
        <f ca="1">IF(C138&lt;&gt;"",(C138-$C$3)/$C$3,"")</f>
        <v>0.42033527034459678</v>
      </c>
      <c r="E138" s="43">
        <f t="array" aca="1" ref="E138" ca="1">IF(C138&lt;&gt;"",IF(AND(D138&lt;-0.4,C138&lt;&gt;""),IF(MATCH(A138, 'weekly price'!A:A, 0), INDEX('weekly price'!J:J, MATCH(A138, 'weekly price'!A:A, 0)), "No Match")-(2*D138),IF(MATCH(A138, 'weekly price'!A:A, 0), INDEX('weekly price'!J:J, MATCH(A138, 'weekly price'!A:A, 0)), "No Match")-D138),"")</f>
        <v>0.57966472965540317</v>
      </c>
      <c r="F138" s="44" t="str">
        <f t="array" aca="1" ref="F138" ca="1">IF(MATCH(A138, 'weekly price'!A:A, 0), INDEX('weekly price'!K:K, MATCH(A138, 'weekly price'!A:A, 0)), "No Match")</f>
        <v/>
      </c>
      <c r="G138" s="41">
        <f t="shared" ca="1" si="11"/>
        <v>394.91618241385078</v>
      </c>
      <c r="H138" s="59">
        <f t="shared" ca="1" si="1"/>
        <v>6.6490742930592969E-3</v>
      </c>
      <c r="I138" s="41">
        <f ca="1">IF(C138&lt;&gt;"",SUM($G$3:G138),"")</f>
        <v>51066.319289093903</v>
      </c>
      <c r="J138" s="41">
        <f t="shared" ca="1" si="8"/>
        <v>229.6993892470291</v>
      </c>
      <c r="K138" s="43">
        <f t="shared" ca="1" si="3"/>
        <v>1.6436863013847527</v>
      </c>
      <c r="L138" s="41">
        <f ca="1">IF(C138&lt;&gt;"",I138 / SUM($H$3:H138),"")</f>
        <v>22466.417429666133</v>
      </c>
      <c r="M138" s="59">
        <f t="shared" ca="1" si="5"/>
        <v>4.2091680394166697E-3</v>
      </c>
      <c r="N138" s="41">
        <v>250</v>
      </c>
      <c r="O138" s="41">
        <f ca="1">IF(C138&lt;&gt;"",SUM($N$3:N138) / SUM($M$3:M138),"")</f>
        <v>30128.669470004959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">
      <c r="A139" s="57">
        <v>45523</v>
      </c>
      <c r="B139" s="58">
        <v>137</v>
      </c>
      <c r="C139" s="41">
        <f t="array" aca="1" ref="C139" ca="1">IF(MATCH(A139, 'weekly price'!A:A, 0), INDEX('weekly price'!B:B, MATCH(A139, 'weekly price'!A:A, 0)), "No Match")</f>
        <v>59411.519999999997</v>
      </c>
      <c r="D139" s="43">
        <f ca="1">IF(C139&lt;&gt;"",(C139-$C$3)/$C$3,"")</f>
        <v>0.42075041251165785</v>
      </c>
      <c r="E139" s="43">
        <f t="array" aca="1" ref="E139" ca="1">IF(C139&lt;&gt;"",IF(AND(D139&lt;-0.4,C139&lt;&gt;""),IF(MATCH(A139, 'weekly price'!A:A, 0), INDEX('weekly price'!J:J, MATCH(A139, 'weekly price'!A:A, 0)), "No Match")-(2*D139),IF(MATCH(A139, 'weekly price'!A:A, 0), INDEX('weekly price'!J:J, MATCH(A139, 'weekly price'!A:A, 0)), "No Match")-D139),"")</f>
        <v>0.5792495874883421</v>
      </c>
      <c r="F139" s="44" t="str">
        <f t="array" aca="1" ref="F139" ca="1">IF(MATCH(A139, 'weekly price'!A:A, 0), INDEX('weekly price'!K:K, MATCH(A139, 'weekly price'!A:A, 0)), "No Match")</f>
        <v/>
      </c>
      <c r="G139" s="41">
        <f t="shared" ca="1" si="11"/>
        <v>394.81239687208551</v>
      </c>
      <c r="H139" s="59">
        <f t="shared" ca="1" si="1"/>
        <v>6.6453845461635309E-3</v>
      </c>
      <c r="I139" s="41">
        <f ca="1">IF(C139&lt;&gt;"",SUM($G$3:G139),"")</f>
        <v>51461.131685965986</v>
      </c>
      <c r="J139" s="41">
        <f t="shared" ca="1" si="8"/>
        <v>-165.21679316682167</v>
      </c>
      <c r="K139" s="43">
        <f t="shared" ca="1" si="3"/>
        <v>1.6318426378163182</v>
      </c>
      <c r="L139" s="41">
        <f ca="1">IF(C139&lt;&gt;"",I139 / SUM($H$3:H139),"")</f>
        <v>22574.115620109675</v>
      </c>
      <c r="M139" s="59">
        <f t="shared" ca="1" si="5"/>
        <v>4.2079381237847477E-3</v>
      </c>
      <c r="N139" s="41">
        <v>250</v>
      </c>
      <c r="O139" s="41">
        <f ca="1">IF(C139&lt;&gt;"",SUM($N$3:N139) / SUM($M$3:M139),"")</f>
        <v>30237.454050504872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">
      <c r="A140" s="57">
        <v>45530</v>
      </c>
      <c r="B140" s="58">
        <v>138</v>
      </c>
      <c r="C140" s="41">
        <f t="array" aca="1" ref="C140" ca="1">IF(MATCH(A140, 'weekly price'!A:A, 0), INDEX('weekly price'!B:B, MATCH(A140, 'weekly price'!A:A, 0)), "No Match")</f>
        <v>62983.44</v>
      </c>
      <c r="D140" s="43">
        <f ca="1">IF(C140&lt;&gt;"",(C140-$C$3)/$C$3,"")</f>
        <v>0.50616830475643881</v>
      </c>
      <c r="E140" s="43">
        <f t="array" aca="1" ref="E140" ca="1">IF(C140&lt;&gt;"",IF(AND(D140&lt;-0.4,C140&lt;&gt;""),IF(MATCH(A140, 'weekly price'!A:A, 0), INDEX('weekly price'!J:J, MATCH(A140, 'weekly price'!A:A, 0)), "No Match")-(2*D140),IF(MATCH(A140, 'weekly price'!A:A, 0), INDEX('weekly price'!J:J, MATCH(A140, 'weekly price'!A:A, 0)), "No Match")-D140),"")</f>
        <v>0.49383169524356119</v>
      </c>
      <c r="F140" s="44" t="str">
        <f t="array" aca="1" ref="F140" ca="1">IF(MATCH(A140, 'weekly price'!A:A, 0), INDEX('weekly price'!K:K, MATCH(A140, 'weekly price'!A:A, 0)), "No Match")</f>
        <v/>
      </c>
      <c r="G140" s="41">
        <f t="shared" ca="1" si="11"/>
        <v>373.45792381089029</v>
      </c>
      <c r="H140" s="59">
        <f t="shared" ca="1" si="1"/>
        <v>5.9294621540343026E-3</v>
      </c>
      <c r="I140" s="41">
        <f ca="1">IF(C140&lt;&gt;"",SUM($G$3:G140),"")</f>
        <v>51834.589609776878</v>
      </c>
      <c r="J140" s="41">
        <f t="shared" ca="1" si="8"/>
        <v>-560.02919003890725</v>
      </c>
      <c r="K140" s="43">
        <f t="shared" ca="1" si="3"/>
        <v>1.7771762977624463</v>
      </c>
      <c r="L140" s="41">
        <f ca="1">IF(C140&lt;&gt;"",I140 / SUM($H$3:H140),"")</f>
        <v>22678.949136482752</v>
      </c>
      <c r="M140" s="59">
        <f t="shared" ca="1" si="5"/>
        <v>3.969297326408338E-3</v>
      </c>
      <c r="N140" s="41">
        <v>250</v>
      </c>
      <c r="O140" s="41">
        <f ca="1">IF(C140&lt;&gt;"",SUM($N$3:N140) / SUM($M$3:M140),"")</f>
        <v>30351.80430119843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">
      <c r="A141" s="57">
        <v>45537</v>
      </c>
      <c r="B141" s="58">
        <v>139</v>
      </c>
      <c r="C141" s="41">
        <f t="array" aca="1" ref="C141" ca="1">IF(MATCH(A141, 'weekly price'!A:A, 0), INDEX('weekly price'!B:B, MATCH(A141, 'weekly price'!A:A, 0)), "No Match")</f>
        <v>59159.02</v>
      </c>
      <c r="D141" s="43">
        <f ca="1">IF(C141&lt;&gt;"",(C141-$C$3)/$C$3,"")</f>
        <v>0.41471219838821527</v>
      </c>
      <c r="E141" s="43">
        <f t="array" aca="1" ref="E141" ca="1">IF(C141&lt;&gt;"",IF(AND(D141&lt;-0.4,C141&lt;&gt;""),IF(MATCH(A141, 'weekly price'!A:A, 0), INDEX('weekly price'!J:J, MATCH(A141, 'weekly price'!A:A, 0)), "No Match")-(2*D141),IF(MATCH(A141, 'weekly price'!A:A, 0), INDEX('weekly price'!J:J, MATCH(A141, 'weekly price'!A:A, 0)), "No Match")-D141),"")</f>
        <v>0.58528780161178473</v>
      </c>
      <c r="F141" s="44" t="str">
        <f t="array" aca="1" ref="F141" ca="1">IF(MATCH(A141, 'weekly price'!A:A, 0), INDEX('weekly price'!K:K, MATCH(A141, 'weekly price'!A:A, 0)), "No Match")</f>
        <v/>
      </c>
      <c r="G141" s="41">
        <f t="shared" ca="1" si="11"/>
        <v>396.32195040294613</v>
      </c>
      <c r="H141" s="59">
        <f t="shared" ca="1" si="1"/>
        <v>6.6992649709705495E-3</v>
      </c>
      <c r="I141" s="41">
        <f ca="1">IF(C141&lt;&gt;"",SUM($G$3:G141),"")</f>
        <v>52230.911560179826</v>
      </c>
      <c r="J141" s="41">
        <f t="shared" ca="1" si="8"/>
        <v>-933.48711384979754</v>
      </c>
      <c r="K141" s="43">
        <f t="shared" ca="1" si="3"/>
        <v>1.5963378286533818</v>
      </c>
      <c r="L141" s="41">
        <f ca="1">IF(C141&lt;&gt;"",I141 / SUM($H$3:H141),"")</f>
        <v>22785.563321967024</v>
      </c>
      <c r="M141" s="59">
        <f t="shared" ca="1" si="5"/>
        <v>4.2258982653870878E-3</v>
      </c>
      <c r="N141" s="41">
        <v>250</v>
      </c>
      <c r="O141" s="41">
        <f ca="1">IF(C141&lt;&gt;"",SUM($N$3:N141) / SUM($M$3:M141),"")</f>
        <v>30458.506684556334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">
      <c r="A142" s="57">
        <v>45544</v>
      </c>
      <c r="B142" s="58">
        <v>140</v>
      </c>
      <c r="C142" s="41">
        <f t="array" aca="1" ref="C142" ca="1">IF(MATCH(A142, 'weekly price'!A:A, 0), INDEX('weekly price'!B:B, MATCH(A142, 'weekly price'!A:A, 0)), "No Match")</f>
        <v>57135.78</v>
      </c>
      <c r="D142" s="43">
        <f ca="1">IF(C142&lt;&gt;"",(C142-$C$3)/$C$3,"")</f>
        <v>0.36632900495013987</v>
      </c>
      <c r="E142" s="43">
        <f t="array" aca="1" ref="E142" ca="1">IF(C142&lt;&gt;"",IF(AND(D142&lt;-0.4,C142&lt;&gt;""),IF(MATCH(A142, 'weekly price'!A:A, 0), INDEX('weekly price'!J:J, MATCH(A142, 'weekly price'!A:A, 0)), "No Match")-(2*D142),IF(MATCH(A142, 'weekly price'!A:A, 0), INDEX('weekly price'!J:J, MATCH(A142, 'weekly price'!A:A, 0)), "No Match")-D142),"")</f>
        <v>0.63367099504986013</v>
      </c>
      <c r="F142" s="44" t="str">
        <f t="array" aca="1" ref="F142" ca="1">IF(MATCH(A142, 'weekly price'!A:A, 0), INDEX('weekly price'!K:K, MATCH(A142, 'weekly price'!A:A, 0)), "No Match")</f>
        <v/>
      </c>
      <c r="G142" s="41">
        <f t="shared" ca="1" si="11"/>
        <v>408.41774876246507</v>
      </c>
      <c r="H142" s="59">
        <f t="shared" ca="1" si="1"/>
        <v>7.1481959074062712E-3</v>
      </c>
      <c r="I142" s="41">
        <f ca="1">IF(C142&lt;&gt;"",SUM($G$3:G142),"")</f>
        <v>52639.329308942288</v>
      </c>
      <c r="J142" s="41">
        <f t="shared" ca="1" si="8"/>
        <v>-1329.8090642527436</v>
      </c>
      <c r="K142" s="43">
        <f t="shared" ca="1" si="3"/>
        <v>1.4958462916907096</v>
      </c>
      <c r="L142" s="41">
        <f ca="1">IF(C142&lt;&gt;"",I142 / SUM($H$3:H142),"")</f>
        <v>22892.347253201915</v>
      </c>
      <c r="M142" s="59">
        <f t="shared" ca="1" si="5"/>
        <v>4.3755419108656608E-3</v>
      </c>
      <c r="N142" s="41">
        <v>250</v>
      </c>
      <c r="O142" s="41">
        <f ca="1">IF(C142&lt;&gt;"",SUM($N$3:N142) / SUM($M$3:M142),"")</f>
        <v>30560.4279185286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">
      <c r="A143" s="57">
        <v>45551</v>
      </c>
      <c r="B143" s="58">
        <v>141</v>
      </c>
      <c r="C143" s="41">
        <f t="array" aca="1" ref="C143" ca="1">IF(MATCH(A143, 'weekly price'!A:A, 0), INDEX('weekly price'!B:B, MATCH(A143, 'weekly price'!A:A, 0)), "No Match")</f>
        <v>58227.46</v>
      </c>
      <c r="D143" s="43">
        <f ca="1">IF(C143&lt;&gt;"",(C143-$C$3)/$C$3,"")</f>
        <v>0.39243513403639668</v>
      </c>
      <c r="E143" s="43">
        <f t="array" aca="1" ref="E143" ca="1">IF(C143&lt;&gt;"",IF(AND(D143&lt;-0.4,C143&lt;&gt;""),IF(MATCH(A143, 'weekly price'!A:A, 0), INDEX('weekly price'!J:J, MATCH(A143, 'weekly price'!A:A, 0)), "No Match")-(2*D143),IF(MATCH(A143, 'weekly price'!A:A, 0), INDEX('weekly price'!J:J, MATCH(A143, 'weekly price'!A:A, 0)), "No Match")-D143),"")</f>
        <v>0.60756486596360326</v>
      </c>
      <c r="F143" s="44" t="str">
        <f t="array" aca="1" ref="F143" ca="1">IF(MATCH(A143, 'weekly price'!A:A, 0), INDEX('weekly price'!K:K, MATCH(A143, 'weekly price'!A:A, 0)), "No Match")</f>
        <v/>
      </c>
      <c r="G143" s="41">
        <f t="shared" ca="1" si="11"/>
        <v>401.89121649090083</v>
      </c>
      <c r="H143" s="59">
        <f t="shared" ca="1" si="1"/>
        <v>6.9020908088881228E-3</v>
      </c>
      <c r="I143" s="41">
        <f ca="1">IF(C143&lt;&gt;"",SUM($G$3:G143),"")</f>
        <v>53041.220525433186</v>
      </c>
      <c r="J143" s="41">
        <f t="shared" ca="1" si="8"/>
        <v>-1738.2268130152088</v>
      </c>
      <c r="K143" s="43">
        <f t="shared" ca="1" si="3"/>
        <v>1.5318385491993571</v>
      </c>
      <c r="L143" s="41">
        <f ca="1">IF(C143&lt;&gt;"",I143 / SUM($H$3:H143),"")</f>
        <v>22998.093625840895</v>
      </c>
      <c r="M143" s="59">
        <f t="shared" ca="1" si="5"/>
        <v>4.2935068780262783E-3</v>
      </c>
      <c r="N143" s="41">
        <v>250</v>
      </c>
      <c r="O143" s="41">
        <f ca="1">IF(C143&lt;&gt;"",SUM($N$3:N143) / SUM($M$3:M143),"")</f>
        <v>30663.761395352001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">
      <c r="A144" s="57">
        <v>45558</v>
      </c>
      <c r="B144" s="58">
        <v>142</v>
      </c>
      <c r="C144" s="41">
        <f t="array" aca="1" ref="C144" ca="1">IF(MATCH(A144, 'weekly price'!A:A, 0), INDEX('weekly price'!B:B, MATCH(A144, 'weekly price'!A:A, 0)), "No Match")</f>
        <v>63336.01</v>
      </c>
      <c r="D144" s="43">
        <f ca="1">IF(C144&lt;&gt;"",(C144-$C$3)/$C$3,"")</f>
        <v>0.51459956477030877</v>
      </c>
      <c r="E144" s="43">
        <f t="array" aca="1" ref="E144" ca="1">IF(C144&lt;&gt;"",IF(AND(D144&lt;-0.4,C144&lt;&gt;""),IF(MATCH(A144, 'weekly price'!A:A, 0), INDEX('weekly price'!J:J, MATCH(A144, 'weekly price'!A:A, 0)), "No Match")-(2*D144),IF(MATCH(A144, 'weekly price'!A:A, 0), INDEX('weekly price'!J:J, MATCH(A144, 'weekly price'!A:A, 0)), "No Match")-D144),"")</f>
        <v>0.48540043522969123</v>
      </c>
      <c r="F144" s="44" t="str">
        <f t="array" aca="1" ref="F144" ca="1">IF(MATCH(A144, 'weekly price'!A:A, 0), INDEX('weekly price'!K:K, MATCH(A144, 'weekly price'!A:A, 0)), "No Match")</f>
        <v/>
      </c>
      <c r="G144" s="41">
        <f t="shared" ca="1" si="11"/>
        <v>371.35010880742283</v>
      </c>
      <c r="H144" s="59">
        <f t="shared" ca="1" si="1"/>
        <v>5.8631749743538126E-3</v>
      </c>
      <c r="I144" s="41">
        <f ca="1">IF(C144&lt;&gt;"",SUM($G$3:G144),"")</f>
        <v>53412.570634240612</v>
      </c>
      <c r="J144" s="41">
        <f t="shared" ca="1" si="8"/>
        <v>-2140.1180295061095</v>
      </c>
      <c r="K144" s="43">
        <f t="shared" ca="1" si="3"/>
        <v>1.7417733946897862</v>
      </c>
      <c r="L144" s="41">
        <f ca="1">IF(C144&lt;&gt;"",I144 / SUM($H$3:H144),"")</f>
        <v>23100.380987964931</v>
      </c>
      <c r="M144" s="59">
        <f t="shared" ca="1" si="5"/>
        <v>3.9472015998481746E-3</v>
      </c>
      <c r="N144" s="41">
        <v>250</v>
      </c>
      <c r="O144" s="41">
        <f ca="1">IF(C144&lt;&gt;"",SUM($N$3:N144) / SUM($M$3:M144),"")</f>
        <v>30775.562470282959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">
      <c r="A145" s="57">
        <v>45565</v>
      </c>
      <c r="B145" s="58">
        <v>143</v>
      </c>
      <c r="C145" s="41">
        <f t="array" aca="1" ref="C145" ca="1">IF(MATCH(A145, 'weekly price'!A:A, 0), INDEX('weekly price'!B:B, MATCH(A145, 'weekly price'!A:A, 0)), "No Match")</f>
        <v>63260.04</v>
      </c>
      <c r="D145" s="43">
        <f ca="1">IF(C145&lt;&gt;"",(C145-$C$3)/$C$3,"")</f>
        <v>0.51278283951502979</v>
      </c>
      <c r="E145" s="43">
        <f t="array" aca="1" ref="E145" ca="1">IF(C145&lt;&gt;"",IF(AND(D145&lt;-0.4,C145&lt;&gt;""),IF(MATCH(A145, 'weekly price'!A:A, 0), INDEX('weekly price'!J:J, MATCH(A145, 'weekly price'!A:A, 0)), "No Match")-(2*D145),IF(MATCH(A145, 'weekly price'!A:A, 0), INDEX('weekly price'!J:J, MATCH(A145, 'weekly price'!A:A, 0)), "No Match")-D145),"")</f>
        <v>0.48721716048497021</v>
      </c>
      <c r="F145" s="44" t="str">
        <f t="array" aca="1" ref="F145" ca="1">IF(MATCH(A145, 'weekly price'!A:A, 0), INDEX('weekly price'!K:K, MATCH(A145, 'weekly price'!A:A, 0)), "No Match")</f>
        <v/>
      </c>
      <c r="G145" s="41">
        <f t="shared" ca="1" si="11"/>
        <v>371.80429012124256</v>
      </c>
      <c r="H145" s="59">
        <f t="shared" ca="1" si="1"/>
        <v>5.8773957481095896E-3</v>
      </c>
      <c r="I145" s="41">
        <f ca="1">IF(C145&lt;&gt;"",SUM($G$3:G145),"")</f>
        <v>53784.374924361851</v>
      </c>
      <c r="J145" s="41">
        <f t="shared" ca="1" si="8"/>
        <v>-2511.4681383135321</v>
      </c>
      <c r="K145" s="43">
        <f t="shared" ca="1" si="3"/>
        <v>1.7264667888725442</v>
      </c>
      <c r="L145" s="41">
        <f ca="1">IF(C145&lt;&gt;"",I145 / SUM($H$3:H145),"")</f>
        <v>23202.204500777894</v>
      </c>
      <c r="M145" s="59">
        <f t="shared" ca="1" si="5"/>
        <v>3.951941857766767E-3</v>
      </c>
      <c r="N145" s="41">
        <v>250</v>
      </c>
      <c r="O145" s="41">
        <f ca="1">IF(C145&lt;&gt;"",SUM($N$3:N145) / SUM($M$3:M145),"")</f>
        <v>30886.474518578929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">
      <c r="A146" s="57">
        <v>45572</v>
      </c>
      <c r="B146" s="58">
        <v>144</v>
      </c>
      <c r="C146" s="41">
        <f t="array" aca="1" ref="C146" ca="1">IF(MATCH(A146, 'weekly price'!A:A, 0), INDEX('weekly price'!B:B, MATCH(A146, 'weekly price'!A:A, 0)), "No Match")</f>
        <v>62416.51</v>
      </c>
      <c r="D146" s="43">
        <f ca="1">IF(C146&lt;&gt;"",(C146-$C$3)/$C$3,"")</f>
        <v>0.49261089987325735</v>
      </c>
      <c r="E146" s="43">
        <f t="array" aca="1" ref="E146" ca="1">IF(C146&lt;&gt;"",IF(AND(D146&lt;-0.4,C146&lt;&gt;""),IF(MATCH(A146, 'weekly price'!A:A, 0), INDEX('weekly price'!J:J, MATCH(A146, 'weekly price'!A:A, 0)), "No Match")-(2*D146),IF(MATCH(A146, 'weekly price'!A:A, 0), INDEX('weekly price'!J:J, MATCH(A146, 'weekly price'!A:A, 0)), "No Match")-D146),"")</f>
        <v>0.50738910012674265</v>
      </c>
      <c r="F146" s="44" t="str">
        <f t="array" aca="1" ref="F146" ca="1">IF(MATCH(A146, 'weekly price'!A:A, 0), INDEX('weekly price'!K:K, MATCH(A146, 'weekly price'!A:A, 0)), "No Match")</f>
        <v/>
      </c>
      <c r="G146" s="41">
        <f t="shared" ca="1" si="11"/>
        <v>376.84727503168568</v>
      </c>
      <c r="H146" s="59">
        <f t="shared" ca="1" si="1"/>
        <v>6.0376216970747911E-3</v>
      </c>
      <c r="I146" s="41">
        <f ca="1">IF(C146&lt;&gt;"",SUM($G$3:G146),"")</f>
        <v>54161.222199393538</v>
      </c>
      <c r="J146" s="41">
        <f t="shared" ca="1" si="8"/>
        <v>-2883.2724284347746</v>
      </c>
      <c r="K146" s="43">
        <f t="shared" ca="1" si="3"/>
        <v>1.6783516011584954</v>
      </c>
      <c r="L146" s="41">
        <f ca="1">IF(C146&lt;&gt;"",I146 / SUM($H$3:H146),"")</f>
        <v>23304.076273257902</v>
      </c>
      <c r="M146" s="59">
        <f t="shared" ca="1" si="5"/>
        <v>4.0053505074218341E-3</v>
      </c>
      <c r="N146" s="41">
        <v>250</v>
      </c>
      <c r="O146" s="41">
        <f ca="1">IF(C146&lt;&gt;"",SUM($N$3:N146) / SUM($M$3:M146),"")</f>
        <v>30995.206429065616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">
      <c r="A147" s="57">
        <v>45579</v>
      </c>
      <c r="B147" s="58">
        <v>145</v>
      </c>
      <c r="C147" s="41">
        <f t="array" aca="1" ref="C147" ca="1">IF(MATCH(A147, 'weekly price'!A:A, 0), INDEX('weekly price'!B:B, MATCH(A147, 'weekly price'!A:A, 0)), "No Match")</f>
        <v>66089.759999999995</v>
      </c>
      <c r="D147" s="43">
        <f ca="1">IF(C147&lt;&gt;"",(C147-$C$3)/$C$3,"")</f>
        <v>0.58045196929478426</v>
      </c>
      <c r="E147" s="43">
        <f t="array" aca="1" ref="E147" ca="1">IF(C147&lt;&gt;"",IF(AND(D147&lt;-0.4,C147&lt;&gt;""),IF(MATCH(A147, 'weekly price'!A:A, 0), INDEX('weekly price'!J:J, MATCH(A147, 'weekly price'!A:A, 0)), "No Match")-(2*D147),IF(MATCH(A147, 'weekly price'!A:A, 0), INDEX('weekly price'!J:J, MATCH(A147, 'weekly price'!A:A, 0)), "No Match")-D147),"")</f>
        <v>0.41954803070521574</v>
      </c>
      <c r="F147" s="44" t="str">
        <f t="array" aca="1" ref="F147" ca="1">IF(MATCH(A147, 'weekly price'!A:A, 0), INDEX('weekly price'!K:K, MATCH(A147, 'weekly price'!A:A, 0)), "No Match")</f>
        <v/>
      </c>
      <c r="G147" s="41">
        <f t="shared" ca="1" si="11"/>
        <v>354.88700767630394</v>
      </c>
      <c r="H147" s="59">
        <f t="shared" ca="1" si="1"/>
        <v>5.3697729826270206E-3</v>
      </c>
      <c r="I147" s="41">
        <f ca="1">IF(C147&lt;&gt;"",SUM($G$3:G147),"")</f>
        <v>54516.109207069843</v>
      </c>
      <c r="J147" s="41">
        <f t="shared" ca="1" si="8"/>
        <v>-3260.1197034664601</v>
      </c>
      <c r="K147" s="43">
        <f t="shared" ca="1" si="3"/>
        <v>1.8240224809891759</v>
      </c>
      <c r="L147" s="41">
        <f ca="1">IF(C147&lt;&gt;"",I147 / SUM($H$3:H147),"")</f>
        <v>23402.703216743022</v>
      </c>
      <c r="M147" s="59">
        <f t="shared" ca="1" si="5"/>
        <v>3.7827342692725776E-3</v>
      </c>
      <c r="N147" s="41">
        <v>250</v>
      </c>
      <c r="O147" s="41">
        <f ca="1">IF(C147&lt;&gt;"",SUM($N$3:N147) / SUM($M$3:M147),"")</f>
        <v>31109.133112450214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">
      <c r="A148" s="57">
        <v>45586</v>
      </c>
      <c r="B148" s="58">
        <v>146</v>
      </c>
      <c r="C148" s="41">
        <f t="array" aca="1" ref="C148" ca="1">IF(MATCH(A148, 'weekly price'!A:A, 0), INDEX('weekly price'!B:B, MATCH(A148, 'weekly price'!A:A, 0)), "No Match")</f>
        <v>67440.460000000006</v>
      </c>
      <c r="D148" s="43">
        <f ca="1">IF(C148&lt;&gt;"",(C148-$C$3)/$C$3,"")</f>
        <v>0.61275222995432499</v>
      </c>
      <c r="E148" s="43">
        <f t="array" aca="1" ref="E148" ca="1">IF(C148&lt;&gt;"",IF(AND(D148&lt;-0.4,C148&lt;&gt;""),IF(MATCH(A148, 'weekly price'!A:A, 0), INDEX('weekly price'!J:J, MATCH(A148, 'weekly price'!A:A, 0)), "No Match")-(2*D148),IF(MATCH(A148, 'weekly price'!A:A, 0), INDEX('weekly price'!J:J, MATCH(A148, 'weekly price'!A:A, 0)), "No Match")-D148),"")</f>
        <v>0.38724777004567501</v>
      </c>
      <c r="F148" s="44" t="str">
        <f t="array" aca="1" ref="F148" ca="1">IF(MATCH(A148, 'weekly price'!A:A, 0), INDEX('weekly price'!K:K, MATCH(A148, 'weekly price'!A:A, 0)), "No Match")</f>
        <v/>
      </c>
      <c r="G148" s="41">
        <f t="shared" ca="1" si="11"/>
        <v>346.81194251141881</v>
      </c>
      <c r="H148" s="59">
        <f t="shared" ca="1" si="1"/>
        <v>5.1424907616498877E-3</v>
      </c>
      <c r="I148" s="41">
        <f ca="1">IF(C148&lt;&gt;"",SUM($G$3:G148),"")</f>
        <v>54862.921149581263</v>
      </c>
      <c r="J148" s="41">
        <f t="shared" ca="1" si="8"/>
        <v>-3615.0067111427643</v>
      </c>
      <c r="K148" s="43">
        <f t="shared" ca="1" si="3"/>
        <v>1.8698427664569084</v>
      </c>
      <c r="L148" s="41">
        <f ca="1">IF(C148&lt;&gt;"",I148 / SUM($H$3:H148),"")</f>
        <v>23499.70555469198</v>
      </c>
      <c r="M148" s="59">
        <f t="shared" ca="1" si="5"/>
        <v>3.7069735289468665E-3</v>
      </c>
      <c r="N148" s="41">
        <v>250</v>
      </c>
      <c r="O148" s="41">
        <f ca="1">IF(C148&lt;&gt;"",SUM($N$3:N148) / SUM($M$3:M148),"")</f>
        <v>31224.346045032755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">
      <c r="A149" s="57">
        <v>45593</v>
      </c>
      <c r="B149" s="58">
        <v>147</v>
      </c>
      <c r="C149" s="41">
        <f t="array" aca="1" ref="C149" ca="1">IF(MATCH(A149, 'weekly price'!A:A, 0), INDEX('weekly price'!B:B, MATCH(A149, 'weekly price'!A:A, 0)), "No Match")</f>
        <v>69862.52</v>
      </c>
      <c r="D149" s="43">
        <f ca="1">IF(C149&lt;&gt;"",(C149-$C$3)/$C$3,"")</f>
        <v>0.6706726929239305</v>
      </c>
      <c r="E149" s="43">
        <f t="array" aca="1" ref="E149" ca="1">IF(C149&lt;&gt;"",IF(AND(D149&lt;-0.4,C149&lt;&gt;""),IF(MATCH(A149, 'weekly price'!A:A, 0), INDEX('weekly price'!J:J, MATCH(A149, 'weekly price'!A:A, 0)), "No Match")-(2*D149),IF(MATCH(A149, 'weekly price'!A:A, 0), INDEX('weekly price'!J:J, MATCH(A149, 'weekly price'!A:A, 0)), "No Match")-D149),"")</f>
        <v>0.3293273070760695</v>
      </c>
      <c r="F149" s="44" t="str">
        <f t="array" aca="1" ref="F149" ca="1">IF(MATCH(A149, 'weekly price'!A:A, 0), INDEX('weekly price'!K:K, MATCH(A149, 'weekly price'!A:A, 0)), "No Match")</f>
        <v/>
      </c>
      <c r="G149" s="41">
        <f t="shared" ca="1" si="11"/>
        <v>332.33182676901743</v>
      </c>
      <c r="H149" s="59">
        <f t="shared" ca="1" si="1"/>
        <v>4.7569401557375456E-3</v>
      </c>
      <c r="I149" s="41">
        <f ca="1">IF(C149&lt;&gt;"",SUM($G$3:G149),"")</f>
        <v>55195.252976350283</v>
      </c>
      <c r="J149" s="41">
        <f t="shared" ca="1" si="8"/>
        <v>-3961.818653654183</v>
      </c>
      <c r="K149" s="43">
        <f t="shared" ca="1" si="3"/>
        <v>1.9610315038664503</v>
      </c>
      <c r="L149" s="41">
        <f ca="1">IF(C149&lt;&gt;"",I149 / SUM($H$3:H149),"")</f>
        <v>23593.98064788404</v>
      </c>
      <c r="M149" s="59">
        <f t="shared" ca="1" si="5"/>
        <v>3.5784566603094189E-3</v>
      </c>
      <c r="N149" s="41">
        <v>250</v>
      </c>
      <c r="O149" s="41">
        <f ca="1">IF(C149&lt;&gt;"",SUM($N$3:N149) / SUM($M$3:M149),"")</f>
        <v>31342.26548193939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">
      <c r="A150" s="57">
        <v>45600</v>
      </c>
      <c r="B150" s="58">
        <v>148</v>
      </c>
      <c r="C150" s="41">
        <f t="array" aca="1" ref="C150" ca="1">IF(MATCH(A150, 'weekly price'!A:A, 0), INDEX('weekly price'!B:B, MATCH(A150, 'weekly price'!A:A, 0)), "No Match")</f>
        <v>67779.100000000006</v>
      </c>
      <c r="D150" s="43">
        <f ca="1">IF(C150&lt;&gt;"",(C150-$C$3)/$C$3,"")</f>
        <v>0.62085037185833525</v>
      </c>
      <c r="E150" s="43">
        <f t="array" aca="1" ref="E150" ca="1">IF(C150&lt;&gt;"",IF(AND(D150&lt;-0.4,C150&lt;&gt;""),IF(MATCH(A150, 'weekly price'!A:A, 0), INDEX('weekly price'!J:J, MATCH(A150, 'weekly price'!A:A, 0)), "No Match")-(2*D150),IF(MATCH(A150, 'weekly price'!A:A, 0), INDEX('weekly price'!J:J, MATCH(A150, 'weekly price'!A:A, 0)), "No Match")-D150),"")</f>
        <v>0.37914962814166475</v>
      </c>
      <c r="F150" s="44" t="str">
        <f t="array" aca="1" ref="F150" ca="1">IF(MATCH(A150, 'weekly price'!A:A, 0), INDEX('weekly price'!K:K, MATCH(A150, 'weekly price'!A:A, 0)), "No Match")</f>
        <v/>
      </c>
      <c r="G150" s="41">
        <f t="shared" ca="1" si="11"/>
        <v>344.78740703541621</v>
      </c>
      <c r="H150" s="59">
        <f t="shared" ca="1" si="1"/>
        <v>5.0869280801222822E-3</v>
      </c>
      <c r="I150" s="41">
        <f ca="1">IF(C150&lt;&gt;"",SUM($G$3:G150),"")</f>
        <v>55540.040383385698</v>
      </c>
      <c r="J150" s="41">
        <f t="shared" ca="1" si="8"/>
        <v>-4294.1504804232009</v>
      </c>
      <c r="K150" s="43">
        <f t="shared" ca="1" si="3"/>
        <v>1.86110274881029</v>
      </c>
      <c r="L150" s="41">
        <f ca="1">IF(C150&lt;&gt;"",I150 / SUM($H$3:H150),"")</f>
        <v>23689.851763689388</v>
      </c>
      <c r="M150" s="59">
        <f t="shared" ca="1" si="5"/>
        <v>3.6884526351043312E-3</v>
      </c>
      <c r="N150" s="41">
        <v>250</v>
      </c>
      <c r="O150" s="41">
        <f ca="1">IF(C150&lt;&gt;"",SUM($N$3:N150) / SUM($M$3:M150),"")</f>
        <v>31456.525391746174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">
      <c r="A151" s="57">
        <v>45607</v>
      </c>
      <c r="B151" s="58">
        <v>149</v>
      </c>
      <c r="C151" s="41">
        <f t="array" aca="1" ref="C151" ca="1">IF(MATCH(A151, 'weekly price'!A:A, 0), INDEX('weekly price'!B:B, MATCH(A151, 'weekly price'!A:A, 0)), "No Match")</f>
        <v>88860</v>
      </c>
      <c r="D151" s="43">
        <f ca="1">IF(C151&lt;&gt;"",(C151-$C$3)/$C$3,"")</f>
        <v>1.1249730970657867</v>
      </c>
      <c r="E151" s="43">
        <f t="array" aca="1" ref="E151" ca="1">IF(C151&lt;&gt;"",IF(AND(D151&lt;-0.4,C151&lt;&gt;""),IF(MATCH(A151, 'weekly price'!A:A, 0), INDEX('weekly price'!J:J, MATCH(A151, 'weekly price'!A:A, 0)), "No Match")-(2*D151),IF(MATCH(A151, 'weekly price'!A:A, 0), INDEX('weekly price'!J:J, MATCH(A151, 'weekly price'!A:A, 0)), "No Match")-D151),"")</f>
        <v>-2.2537436307784571</v>
      </c>
      <c r="F151" s="44">
        <f t="array" aca="1" ref="F151" ca="1">IF(MATCH(A151, 'weekly price'!A:A, 0), INDEX('weekly price'!K:K, MATCH(A151, 'weekly price'!A:A, 0)), "No Match")</f>
        <v>-3</v>
      </c>
      <c r="G151" s="41">
        <f t="shared" ca="1" si="11"/>
        <v>-1313.4359076946143</v>
      </c>
      <c r="H151" s="59">
        <f t="shared" ca="1" si="1"/>
        <v>-1.4780957772840584E-2</v>
      </c>
      <c r="I151" s="41">
        <f ca="1">IF(C151&lt;&gt;"",SUM($G$3:G151),"")</f>
        <v>54226.604475691085</v>
      </c>
      <c r="J151" s="41">
        <f t="shared" ca="1" si="8"/>
        <v>-4638.9378874586173</v>
      </c>
      <c r="K151" s="43">
        <f t="shared" ca="1" si="3"/>
        <v>2.8176052375307066</v>
      </c>
      <c r="L151" s="41">
        <f ca="1">IF(C151&lt;&gt;"",I151 / SUM($H$3:H151),"")</f>
        <v>23276.372089607721</v>
      </c>
      <c r="M151" s="59">
        <f t="shared" ca="1" si="5"/>
        <v>2.8134143596668919E-3</v>
      </c>
      <c r="N151" s="41">
        <v>250</v>
      </c>
      <c r="O151" s="41">
        <f ca="1">IF(C151&lt;&gt;"",SUM($N$3:N151) / SUM($M$3:M151),"")</f>
        <v>31593.50103812361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">
      <c r="A152" s="57">
        <v>45614</v>
      </c>
      <c r="B152" s="58">
        <v>150</v>
      </c>
      <c r="C152" s="41">
        <f t="array" aca="1" ref="C152" ca="1">IF(MATCH(A152, 'weekly price'!A:A, 0), INDEX('weekly price'!B:B, MATCH(A152, 'weekly price'!A:A, 0)), "No Match")</f>
        <v>90587.7</v>
      </c>
      <c r="D152" s="43">
        <f ca="1">IF(C152&lt;&gt;"",(C152-$C$3)/$C$3,"")</f>
        <v>1.1662888299017145</v>
      </c>
      <c r="E152" s="43">
        <f t="array" aca="1" ref="E152" ca="1">IF(C152&lt;&gt;"",IF(AND(D152&lt;-0.4,C152&lt;&gt;""),IF(MATCH(A152, 'weekly price'!A:A, 0), INDEX('weekly price'!J:J, MATCH(A152, 'weekly price'!A:A, 0)), "No Match")-(2*D152),IF(MATCH(A152, 'weekly price'!A:A, 0), INDEX('weekly price'!J:J, MATCH(A152, 'weekly price'!A:A, 0)), "No Match")-D152),"")</f>
        <v>-1.4190778785598588</v>
      </c>
      <c r="F152" s="44">
        <f t="array" aca="1" ref="F152" ca="1">IF(MATCH(A152, 'weekly price'!A:A, 0), INDEX('weekly price'!K:K, MATCH(A152, 'weekly price'!A:A, 0)), "No Match")</f>
        <v>-3</v>
      </c>
      <c r="G152" s="41">
        <f t="shared" ca="1" si="11"/>
        <v>-1104.7694696399649</v>
      </c>
      <c r="H152" s="59">
        <f t="shared" ca="1" si="1"/>
        <v>-1.2195579197175389E-2</v>
      </c>
      <c r="I152" s="41">
        <f ca="1">IF(C152&lt;&gt;"",SUM($G$3:G152),"")</f>
        <v>53121.835006051122</v>
      </c>
      <c r="J152" s="41">
        <f t="shared" ca="1" si="8"/>
        <v>-3325.501979764003</v>
      </c>
      <c r="K152" s="43">
        <f t="shared" ca="1" si="3"/>
        <v>2.951971835427782</v>
      </c>
      <c r="L152" s="41">
        <f ca="1">IF(C152&lt;&gt;"",I152 / SUM($H$3:H152),"")</f>
        <v>22922.152224851146</v>
      </c>
      <c r="M152" s="59">
        <f t="shared" ca="1" si="5"/>
        <v>2.7597565673927035E-3</v>
      </c>
      <c r="N152" s="41">
        <v>250</v>
      </c>
      <c r="O152" s="41">
        <f ca="1">IF(C152&lt;&gt;"",SUM($N$3:N152) / SUM($M$3:M152),"")</f>
        <v>31731.265184293145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">
      <c r="A153" s="57">
        <v>45621</v>
      </c>
      <c r="B153" s="58">
        <v>151</v>
      </c>
      <c r="C153" s="41">
        <f t="array" aca="1" ref="C153" ca="1">IF(MATCH(A153, 'weekly price'!A:A, 0), INDEX('weekly price'!B:B, MATCH(A153, 'weekly price'!A:A, 0)), "No Match")</f>
        <v>93343.03</v>
      </c>
      <c r="D153" s="43">
        <f ca="1">IF(C153&lt;&gt;"",(C153-$C$3)/$C$3,"")</f>
        <v>1.2321790181026855</v>
      </c>
      <c r="E153" s="43">
        <f t="array" aca="1" ref="E153" ca="1">IF(C153&lt;&gt;"",IF(AND(D153&lt;-0.4,C153&lt;&gt;""),IF(MATCH(A153, 'weekly price'!A:A, 0), INDEX('weekly price'!J:J, MATCH(A153, 'weekly price'!A:A, 0)), "No Match")-(2*D153),IF(MATCH(A153, 'weekly price'!A:A, 0), INDEX('weekly price'!J:J, MATCH(A153, 'weekly price'!A:A, 0)), "No Match")-D153),"")</f>
        <v>-1.4869631942284229</v>
      </c>
      <c r="F153" s="44">
        <f t="array" aca="1" ref="F153" ca="1">IF(MATCH(A153, 'weekly price'!A:A, 0), INDEX('weekly price'!K:K, MATCH(A153, 'weekly price'!A:A, 0)), "No Match")</f>
        <v>-2</v>
      </c>
      <c r="G153" s="41">
        <f t="shared" ca="1" si="11"/>
        <v>-871.74079855710579</v>
      </c>
      <c r="H153" s="59">
        <f t="shared" ca="1" si="1"/>
        <v>-9.3391097177486712E-3</v>
      </c>
      <c r="I153" s="41">
        <f ca="1">IF(C153&lt;&gt;"",SUM($G$3:G153),"")</f>
        <v>52250.094207494018</v>
      </c>
      <c r="J153" s="41">
        <f t="shared" ca="1" si="8"/>
        <v>-2220.7325101240381</v>
      </c>
      <c r="K153" s="43">
        <f t="shared" ca="1" si="3"/>
        <v>3.1234318358640345</v>
      </c>
      <c r="L153" s="41">
        <f ca="1">IF(C153&lt;&gt;"",I153 / SUM($H$3:H153),"")</f>
        <v>22637.219121251863</v>
      </c>
      <c r="M153" s="59">
        <f t="shared" ca="1" si="5"/>
        <v>2.678293173041415E-3</v>
      </c>
      <c r="N153" s="41">
        <v>250</v>
      </c>
      <c r="O153" s="41">
        <f ca="1">IF(C153&lt;&gt;"",SUM($N$3:N153) / SUM($M$3:M153),"")</f>
        <v>31870.579184731294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">
      <c r="A154" s="57">
        <v>45628</v>
      </c>
      <c r="B154" s="58">
        <v>152</v>
      </c>
      <c r="C154" s="41">
        <f t="array" aca="1" ref="C154" ca="1">IF(MATCH(A154, 'weekly price'!A:A, 0), INDEX('weekly price'!B:B, MATCH(A154, 'weekly price'!A:A, 0)), "No Match")</f>
        <v>95726.44</v>
      </c>
      <c r="D154" s="43">
        <f ca="1">IF(C154&lt;&gt;"",(C154-$C$3)/$C$3,"")</f>
        <v>1.2891752158213168</v>
      </c>
      <c r="E154" s="43">
        <f t="array" aca="1" ref="E154" ca="1">IF(C154&lt;&gt;"",IF(AND(D154&lt;-0.4,C154&lt;&gt;""),IF(MATCH(A154, 'weekly price'!A:A, 0), INDEX('weekly price'!J:J, MATCH(A154, 'weekly price'!A:A, 0)), "No Match")-(2*D154),IF(MATCH(A154, 'weekly price'!A:A, 0), INDEX('weekly price'!J:J, MATCH(A154, 'weekly price'!A:A, 0)), "No Match")-D154),"")</f>
        <v>-1.5339526391578708</v>
      </c>
      <c r="F154" s="44">
        <f t="array" aca="1" ref="F154" ca="1">IF(MATCH(A154, 'weekly price'!A:A, 0), INDEX('weekly price'!K:K, MATCH(A154, 'weekly price'!A:A, 0)), "No Match")</f>
        <v>-2</v>
      </c>
      <c r="G154" s="41">
        <f t="shared" ca="1" si="11"/>
        <v>-883.48815978946766</v>
      </c>
      <c r="H154" s="59">
        <f t="shared" ca="1" si="1"/>
        <v>-9.2293013277153901E-3</v>
      </c>
      <c r="I154" s="41">
        <f ca="1">IF(C154&lt;&gt;"",SUM($G$3:G154),"")</f>
        <v>51366.606047704547</v>
      </c>
      <c r="J154" s="41">
        <f t="shared" ca="1" si="8"/>
        <v>-1348.9917115669323</v>
      </c>
      <c r="K154" s="43">
        <f t="shared" ca="1" si="3"/>
        <v>3.2842519317366836</v>
      </c>
      <c r="L154" s="41">
        <f ca="1">IF(C154&lt;&gt;"",I154 / SUM($H$3:H154),"")</f>
        <v>22343.793391532861</v>
      </c>
      <c r="M154" s="59">
        <f t="shared" ca="1" si="5"/>
        <v>2.6116086631864715E-3</v>
      </c>
      <c r="N154" s="41">
        <v>250</v>
      </c>
      <c r="O154" s="41">
        <f ca="1">IF(C154&lt;&gt;"",SUM($N$3:N154) / SUM($M$3:M154),"")</f>
        <v>32011.062698027516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">
      <c r="A155" s="57">
        <v>45635</v>
      </c>
      <c r="B155" s="58">
        <v>153</v>
      </c>
      <c r="C155" s="41">
        <f t="array" aca="1" ref="C155" ca="1">IF(MATCH(A155, 'weekly price'!A:A, 0), INDEX('weekly price'!B:B, MATCH(A155, 'weekly price'!A:A, 0)), "No Match")</f>
        <v>97390.2</v>
      </c>
      <c r="D155" s="43">
        <f ca="1">IF(C155&lt;&gt;"",(C155-$C$3)/$C$3,"")</f>
        <v>1.3289619054451538</v>
      </c>
      <c r="E155" s="43">
        <f t="array" aca="1" ref="E155" ca="1">IF(C155&lt;&gt;"",IF(AND(D155&lt;-0.4,C155&lt;&gt;""),IF(MATCH(A155, 'weekly price'!A:A, 0), INDEX('weekly price'!J:J, MATCH(A155, 'weekly price'!A:A, 0)), "No Match")-(2*D155),IF(MATCH(A155, 'weekly price'!A:A, 0), INDEX('weekly price'!J:J, MATCH(A155, 'weekly price'!A:A, 0)), "No Match")-D155),"")</f>
        <v>-1.5534115253729261</v>
      </c>
      <c r="F155" s="44">
        <f t="array" aca="1" ref="F155" ca="1">IF(MATCH(A155, 'weekly price'!A:A, 0), INDEX('weekly price'!K:K, MATCH(A155, 'weekly price'!A:A, 0)), "No Match")</f>
        <v>-2</v>
      </c>
      <c r="G155" s="41">
        <f t="shared" ca="1" si="11"/>
        <v>-888.3528813432315</v>
      </c>
      <c r="H155" s="59">
        <f t="shared" ca="1" si="1"/>
        <v>-9.121583910323949E-3</v>
      </c>
      <c r="I155" s="41">
        <f ca="1">IF(C155&lt;&gt;"",SUM($G$3:G155),"")</f>
        <v>50478.253166361312</v>
      </c>
      <c r="J155" s="41">
        <f t="shared" ca="1" si="8"/>
        <v>-465.50355177746462</v>
      </c>
      <c r="K155" s="43">
        <f t="shared" ca="1" si="3"/>
        <v>3.4178228522209317</v>
      </c>
      <c r="L155" s="41">
        <f ca="1">IF(C155&lt;&gt;"",I155 / SUM($H$3:H155),"")</f>
        <v>22044.840469562947</v>
      </c>
      <c r="M155" s="59">
        <f t="shared" ca="1" si="5"/>
        <v>2.5669933935858025E-3</v>
      </c>
      <c r="N155" s="41">
        <v>250</v>
      </c>
      <c r="O155" s="41">
        <f ca="1">IF(C155&lt;&gt;"",SUM($N$3:N155) / SUM($M$3:M155),"")</f>
        <v>32152.135182946608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">
      <c r="A156" s="57">
        <v>45642</v>
      </c>
      <c r="B156" s="58">
        <v>154</v>
      </c>
      <c r="C156" s="41">
        <f t="array" aca="1" ref="C156" ca="1">IF(MATCH(A156, 'weekly price'!A:A, 0), INDEX('weekly price'!B:B, MATCH(A156, 'weekly price'!A:A, 0)), "No Match")</f>
        <v>105855.67</v>
      </c>
      <c r="D156" s="43">
        <f ca="1">IF(C156&lt;&gt;"",(C156-$C$3)/$C$3,"")</f>
        <v>1.5314027787741826</v>
      </c>
      <c r="E156" s="43">
        <f t="array" aca="1" ref="E156" ca="1">IF(C156&lt;&gt;"",IF(AND(D156&lt;-0.4,C156&lt;&gt;""),IF(MATCH(A156, 'weekly price'!A:A, 0), INDEX('weekly price'!J:J, MATCH(A156, 'weekly price'!A:A, 0)), "No Match")-(2*D156),IF(MATCH(A156, 'weekly price'!A:A, 0), INDEX('weekly price'!J:J, MATCH(A156, 'weekly price'!A:A, 0)), "No Match")-D156),"")</f>
        <v>-1.9799618863307242</v>
      </c>
      <c r="F156" s="44">
        <f t="array" aca="1" ref="F156" ca="1">IF(MATCH(A156, 'weekly price'!A:A, 0), INDEX('weekly price'!K:K, MATCH(A156, 'weekly price'!A:A, 0)), "No Match")</f>
        <v>-3</v>
      </c>
      <c r="G156" s="41">
        <f t="shared" ca="1" si="11"/>
        <v>-1244.990471582681</v>
      </c>
      <c r="H156" s="59">
        <f t="shared" ca="1" si="1"/>
        <v>-1.1761207232287898E-2</v>
      </c>
      <c r="I156" s="41">
        <f ca="1">IF(C156&lt;&gt;"",SUM($G$3:G156),"")</f>
        <v>49233.262694778634</v>
      </c>
      <c r="J156" s="41">
        <f t="shared" ca="1" si="8"/>
        <v>422.84932956576688</v>
      </c>
      <c r="K156" s="43">
        <f t="shared" ca="1" si="3"/>
        <v>3.8979734687092971</v>
      </c>
      <c r="L156" s="41">
        <f ca="1">IF(C156&lt;&gt;"",I156 / SUM($H$3:H156),"")</f>
        <v>21612.136259262923</v>
      </c>
      <c r="M156" s="59">
        <f t="shared" ca="1" si="5"/>
        <v>2.3617062742128034E-3</v>
      </c>
      <c r="N156" s="41">
        <v>250</v>
      </c>
      <c r="O156" s="41">
        <f ca="1">IF(C156&lt;&gt;"",SUM($N$3:N156) / SUM($M$3:M156),"")</f>
        <v>32298.161547555068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">
      <c r="A157" s="57">
        <v>45649</v>
      </c>
      <c r="B157" s="58">
        <v>155</v>
      </c>
      <c r="C157" s="41">
        <f t="array" aca="1" ref="C157" ca="1">IF(MATCH(A157, 'weekly price'!A:A, 0), INDEX('weekly price'!B:B, MATCH(A157, 'weekly price'!A:A, 0)), "No Match")</f>
        <v>94800.76</v>
      </c>
      <c r="D157" s="43">
        <f ca="1">IF(C157&lt;&gt;"",(C157-$C$3)/$C$3,"")</f>
        <v>1.2670387641389864</v>
      </c>
      <c r="E157" s="43">
        <f t="array" aca="1" ref="E157" ca="1">IF(C157&lt;&gt;"",IF(AND(D157&lt;-0.4,C157&lt;&gt;""),IF(MATCH(A157, 'weekly price'!A:A, 0), INDEX('weekly price'!J:J, MATCH(A157, 'weekly price'!A:A, 0)), "No Match")-(2*D157),IF(MATCH(A157, 'weekly price'!A:A, 0), INDEX('weekly price'!J:J, MATCH(A157, 'weekly price'!A:A, 0)), "No Match")-D157),"")</f>
        <v>-0.26703876413898642</v>
      </c>
      <c r="F157" s="44" t="str">
        <f t="array" aca="1" ref="F157" ca="1">IF(MATCH(A157, 'weekly price'!A:A, 0), INDEX('weekly price'!K:K, MATCH(A157, 'weekly price'!A:A, 0)), "No Match")</f>
        <v/>
      </c>
      <c r="G157" s="41">
        <f t="shared" ca="1" si="11"/>
        <v>183.2403089652534</v>
      </c>
      <c r="H157" s="59">
        <f t="shared" ca="1" si="1"/>
        <v>1.9328991557161928E-3</v>
      </c>
      <c r="I157" s="41">
        <f ca="1">IF(C157&lt;&gt;"",SUM($G$3:G157),"")</f>
        <v>49416.503003743885</v>
      </c>
      <c r="J157" s="41">
        <f t="shared" ca="1" si="8"/>
        <v>1667.8398011484478</v>
      </c>
      <c r="K157" s="43">
        <f t="shared" ca="1" si="3"/>
        <v>3.3739022209381728</v>
      </c>
      <c r="L157" s="41">
        <f ca="1">IF(C157&lt;&gt;"",I157 / SUM($H$3:H157),"")</f>
        <v>21674.18364914108</v>
      </c>
      <c r="M157" s="59">
        <f t="shared" ca="1" si="5"/>
        <v>2.6371096603023014E-3</v>
      </c>
      <c r="N157" s="41">
        <v>250</v>
      </c>
      <c r="O157" s="41">
        <f ca="1">IF(C157&lt;&gt;"",SUM($N$3:N157) / SUM($M$3:M157),"")</f>
        <v>32436.131210791253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">
      <c r="A158" s="57">
        <v>45656</v>
      </c>
      <c r="B158" s="58">
        <v>156</v>
      </c>
      <c r="C158" s="41">
        <f t="array" aca="1" ref="C158" ca="1">IF(MATCH(A158, 'weekly price'!A:A, 0), INDEX('weekly price'!B:B, MATCH(A158, 'weekly price'!A:A, 0)), "No Match")</f>
        <v>92523.16</v>
      </c>
      <c r="D158" s="43">
        <f ca="1">IF(C158&lt;&gt;"",(C158-$C$3)/$C$3,"")</f>
        <v>1.2125728770595692</v>
      </c>
      <c r="E158" s="43">
        <f t="array" aca="1" ref="E158" ca="1">IF(C158&lt;&gt;"",IF(AND(D158&lt;-0.4,C158&lt;&gt;""),IF(MATCH(A158, 'weekly price'!A:A, 0), INDEX('weekly price'!J:J, MATCH(A158, 'weekly price'!A:A, 0)), "No Match")-(2*D158),IF(MATCH(A158, 'weekly price'!A:A, 0), INDEX('weekly price'!J:J, MATCH(A158, 'weekly price'!A:A, 0)), "No Match")-D158),"")</f>
        <v>-0.21257287705956918</v>
      </c>
      <c r="F158" s="44" t="str">
        <f t="array" aca="1" ref="F158" ca="1">IF(MATCH(A158, 'weekly price'!A:A, 0), INDEX('weekly price'!K:K, MATCH(A158, 'weekly price'!A:A, 0)), "No Match")</f>
        <v/>
      </c>
      <c r="G158" s="41">
        <f t="shared" ca="1" si="11"/>
        <v>196.85678073510772</v>
      </c>
      <c r="H158" s="59">
        <f t="shared" ca="1" si="1"/>
        <v>2.1276486961222217E-3</v>
      </c>
      <c r="I158" s="41">
        <f ca="1">IF(C158&lt;&gt;"",SUM($G$3:G158),"")</f>
        <v>49613.359784478991</v>
      </c>
      <c r="J158" s="41">
        <f t="shared" ca="1" si="8"/>
        <v>1484.5994921831943</v>
      </c>
      <c r="K158" s="43">
        <f t="shared" ca="1" si="3"/>
        <v>3.2558486008678673</v>
      </c>
      <c r="L158" s="41">
        <f ca="1">IF(C158&lt;&gt;"",I158 / SUM($H$3:H158),"")</f>
        <v>21740.237653457025</v>
      </c>
      <c r="M158" s="59">
        <f t="shared" ca="1" si="5"/>
        <v>2.7020261737709778E-3</v>
      </c>
      <c r="N158" s="41">
        <v>250</v>
      </c>
      <c r="O158" s="41">
        <f ca="1">IF(C158&lt;&gt;"",SUM($N$3:N158) / SUM($M$3:M158),"")</f>
        <v>32571.727080531284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">
      <c r="A159" s="57">
        <v>45663</v>
      </c>
      <c r="B159" s="58">
        <v>157</v>
      </c>
      <c r="C159" s="41">
        <f t="array" aca="1" ref="C159" ca="1">IF(MATCH(A159, 'weekly price'!A:A, 0), INDEX('weekly price'!B:B, MATCH(A159, 'weekly price'!A:A, 0)), "No Match")</f>
        <v>102179.56</v>
      </c>
      <c r="D159" s="43">
        <f ca="1">IF(C159&lt;&gt;"",(C159-$C$3)/$C$3,"")</f>
        <v>1.4434933161154553</v>
      </c>
      <c r="E159" s="43">
        <f t="array" aca="1" ref="E159" ca="1">IF(C159&lt;&gt;"",IF(AND(D159&lt;-0.4,C159&lt;&gt;""),IF(MATCH(A159, 'weekly price'!A:A, 0), INDEX('weekly price'!J:J, MATCH(A159, 'weekly price'!A:A, 0)), "No Match")-(2*D159),IF(MATCH(A159, 'weekly price'!A:A, 0), INDEX('weekly price'!J:J, MATCH(A159, 'weekly price'!A:A, 0)), "No Match")-D159),"")</f>
        <v>-0.44349331611545528</v>
      </c>
      <c r="F159" s="44" t="str">
        <f t="array" aca="1" ref="F159" ca="1">IF(MATCH(A159, 'weekly price'!A:A, 0), INDEX('weekly price'!K:K, MATCH(A159, 'weekly price'!A:A, 0)), "No Match")</f>
        <v/>
      </c>
      <c r="G159" s="41">
        <f t="shared" ca="1" si="11"/>
        <v>139.12667097113618</v>
      </c>
      <c r="H159" s="59">
        <f t="shared" ca="1" si="1"/>
        <v>1.3615900378817073E-3</v>
      </c>
      <c r="I159" s="41">
        <f ca="1">IF(C159&lt;&gt;"",SUM($G$3:G159),"")</f>
        <v>49752.486455450126</v>
      </c>
      <c r="J159" s="41">
        <f t="shared" ca="1" si="8"/>
        <v>1287.7427114480865</v>
      </c>
      <c r="K159" s="43">
        <f t="shared" ca="1" si="3"/>
        <v>3.6896737292138462</v>
      </c>
      <c r="L159" s="41">
        <f ca="1">IF(C159&lt;&gt;"",I159 / SUM($H$3:H159),"")</f>
        <v>21788.202314263955</v>
      </c>
      <c r="M159" s="59">
        <f t="shared" ca="1" si="5"/>
        <v>2.4466732876908064E-3</v>
      </c>
      <c r="N159" s="41">
        <v>250</v>
      </c>
      <c r="O159" s="41">
        <f ca="1">IF(C159&lt;&gt;"",SUM($N$3:N159) / SUM($M$3:M159),"")</f>
        <v>32713.673271961896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">
      <c r="A160" s="57">
        <v>45670</v>
      </c>
      <c r="B160" s="58">
        <v>158</v>
      </c>
      <c r="C160" s="41">
        <f t="array" aca="1" ref="C160" ca="1">IF(MATCH(A160, 'weekly price'!A:A, 0), INDEX('weekly price'!B:B, MATCH(A160, 'weekly price'!A:A, 0)), "No Match")</f>
        <v>94375.73</v>
      </c>
      <c r="D160" s="43">
        <f ca="1">IF(C160&lt;&gt;"",(C160-$C$3)/$C$3,"")</f>
        <v>1.2568747160245832</v>
      </c>
      <c r="E160" s="43">
        <f t="array" aca="1" ref="E160" ca="1">IF(C160&lt;&gt;"",IF(AND(D160&lt;-0.4,C160&lt;&gt;""),IF(MATCH(A160, 'weekly price'!A:A, 0), INDEX('weekly price'!J:J, MATCH(A160, 'weekly price'!A:A, 0)), "No Match")-(2*D160),IF(MATCH(A160, 'weekly price'!A:A, 0), INDEX('weekly price'!J:J, MATCH(A160, 'weekly price'!A:A, 0)), "No Match")-D160),"")</f>
        <v>-0.25687471602458323</v>
      </c>
      <c r="F160" s="44" t="str">
        <f t="array" aca="1" ref="F160" ca="1">IF(MATCH(A160, 'weekly price'!A:A, 0), INDEX('weekly price'!K:K, MATCH(A160, 'weekly price'!A:A, 0)), "No Match")</f>
        <v/>
      </c>
      <c r="G160" s="41">
        <f t="shared" ca="1" si="11"/>
        <v>185.78132099385419</v>
      </c>
      <c r="H160" s="59">
        <f t="shared" ca="1" si="1"/>
        <v>1.9685285718463231E-3</v>
      </c>
      <c r="I160" s="41">
        <f ca="1">IF(C160&lt;&gt;"",SUM($G$3:G160),"")</f>
        <v>49938.26777644398</v>
      </c>
      <c r="J160" s="41">
        <f t="shared" ca="1" si="8"/>
        <v>1148.6160404769503</v>
      </c>
      <c r="K160" s="43">
        <f t="shared" ca="1" si="3"/>
        <v>3.3191121094682621</v>
      </c>
      <c r="L160" s="41">
        <f ca="1">IF(C160&lt;&gt;"",I160 / SUM($H$3:H160),"")</f>
        <v>21850.724780473192</v>
      </c>
      <c r="M160" s="59">
        <f t="shared" ca="1" si="5"/>
        <v>2.6489861323456786E-3</v>
      </c>
      <c r="N160" s="41">
        <v>250</v>
      </c>
      <c r="O160" s="41">
        <f ca="1">IF(C160&lt;&gt;"",SUM($N$3:N160) / SUM($M$3:M160),"")</f>
        <v>32849.513856692676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">
      <c r="A161" s="57">
        <v>45677</v>
      </c>
      <c r="B161" s="58">
        <v>159</v>
      </c>
      <c r="C161" s="41">
        <f t="array" aca="1" ref="C161" ca="1">IF(MATCH(A161, 'weekly price'!A:A, 0), INDEX('weekly price'!B:B, MATCH(A161, 'weekly price'!A:A, 0)), "No Match")</f>
        <v>102589</v>
      </c>
      <c r="D161" s="43">
        <f ca="1">IF(C161&lt;&gt;"",(C161-$C$3)/$C$3,"")</f>
        <v>1.4532845493459599</v>
      </c>
      <c r="E161" s="43">
        <f t="array" aca="1" ref="E161" ca="1">IF(C161&lt;&gt;"",IF(AND(D161&lt;-0.4,C161&lt;&gt;""),IF(MATCH(A161, 'weekly price'!A:A, 0), INDEX('weekly price'!J:J, MATCH(A161, 'weekly price'!A:A, 0)), "No Match")-(2*D161),IF(MATCH(A161, 'weekly price'!A:A, 0), INDEX('weekly price'!J:J, MATCH(A161, 'weekly price'!A:A, 0)), "No Match")-D161),"")</f>
        <v>-0.45328454934595985</v>
      </c>
      <c r="F161" s="44" t="str">
        <f t="array" aca="1" ref="F161" ca="1">IF(MATCH(A161, 'weekly price'!A:A, 0), INDEX('weekly price'!K:K, MATCH(A161, 'weekly price'!A:A, 0)), "No Match")</f>
        <v/>
      </c>
      <c r="G161" s="41">
        <f t="shared" ca="1" si="11"/>
        <v>136.67886266351005</v>
      </c>
      <c r="H161" s="59">
        <f t="shared" ca="1" si="1"/>
        <v>1.3322954962375112E-3</v>
      </c>
      <c r="I161" s="41">
        <f ca="1">IF(C161&lt;&gt;"",SUM($G$3:G161),"")</f>
        <v>50074.946639107489</v>
      </c>
      <c r="J161" s="41">
        <f t="shared" ca="1" si="8"/>
        <v>962.83471948309602</v>
      </c>
      <c r="K161" s="43">
        <f t="shared" ca="1" si="3"/>
        <v>3.6849075736227328</v>
      </c>
      <c r="L161" s="41">
        <f ca="1">IF(C161&lt;&gt;"",I161 / SUM($H$3:H161),"")</f>
        <v>21897.763912697694</v>
      </c>
      <c r="M161" s="59">
        <f t="shared" ca="1" si="5"/>
        <v>2.4369084404760742E-3</v>
      </c>
      <c r="N161" s="41">
        <v>250</v>
      </c>
      <c r="O161" s="41">
        <f ca="1">IF(C161&lt;&gt;"",SUM($N$3:N161) / SUM($M$3:M161),"")</f>
        <v>32990.563031506164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">
      <c r="A162" s="57">
        <v>45684</v>
      </c>
      <c r="B162" s="58">
        <v>160</v>
      </c>
      <c r="C162" s="41">
        <f t="array" aca="1" ref="C162" ca="1">IF(MATCH(A162, 'weekly price'!A:A, 0), INDEX('weekly price'!B:B, MATCH(A162, 'weekly price'!A:A, 0)), "No Match")</f>
        <v>101907.45</v>
      </c>
      <c r="D162" s="43">
        <f ca="1">IF(C162&lt;&gt;"",(C162-$C$3)/$C$3,"")</f>
        <v>1.4369861539565247</v>
      </c>
      <c r="E162" s="43">
        <f t="array" aca="1" ref="E162" ca="1">IF(C162&lt;&gt;"",IF(AND(D162&lt;-0.4,C162&lt;&gt;""),IF(MATCH(A162, 'weekly price'!A:A, 0), INDEX('weekly price'!J:J, MATCH(A162, 'weekly price'!A:A, 0)), "No Match")-(2*D162),IF(MATCH(A162, 'weekly price'!A:A, 0), INDEX('weekly price'!J:J, MATCH(A162, 'weekly price'!A:A, 0)), "No Match")-D162),"")</f>
        <v>-0.43698615395652474</v>
      </c>
      <c r="F162" s="44" t="str">
        <f t="array" aca="1" ref="F162" ca="1">IF(MATCH(A162, 'weekly price'!A:A, 0), INDEX('weekly price'!K:K, MATCH(A162, 'weekly price'!A:A, 0)), "No Match")</f>
        <v/>
      </c>
      <c r="G162" s="41">
        <f t="shared" ca="1" si="11"/>
        <v>140.75346151086882</v>
      </c>
      <c r="H162" s="59">
        <f t="shared" ca="1" si="1"/>
        <v>1.3811891231786176E-3</v>
      </c>
      <c r="I162" s="41">
        <f ca="1">IF(C162&lt;&gt;"",SUM($G$3:G162),"")</f>
        <v>50215.700100618356</v>
      </c>
      <c r="J162" s="41">
        <f t="shared" ca="1" si="8"/>
        <v>826.15585681958601</v>
      </c>
      <c r="K162" s="43">
        <f t="shared" ca="1" si="3"/>
        <v>3.6435419196694614</v>
      </c>
      <c r="L162" s="41">
        <f ca="1">IF(C162&lt;&gt;"",I162 / SUM($H$3:H162),"")</f>
        <v>21946.060090107687</v>
      </c>
      <c r="M162" s="59">
        <f t="shared" ca="1" si="5"/>
        <v>2.4532063161231098E-3</v>
      </c>
      <c r="N162" s="41">
        <v>250</v>
      </c>
      <c r="O162" s="41">
        <f ca="1">IF(C162&lt;&gt;"",SUM($N$3:N162) / SUM($M$3:M162),"")</f>
        <v>33130.595575155567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">
      <c r="A163" s="57">
        <v>45691</v>
      </c>
      <c r="B163" s="58">
        <v>161</v>
      </c>
      <c r="C163" s="41">
        <f t="array" aca="1" ref="C163" ca="1">IF(MATCH(A163, 'weekly price'!A:A, 0), INDEX('weekly price'!B:B, MATCH(A163, 'weekly price'!A:A, 0)), "No Match")</f>
        <v>101582.41</v>
      </c>
      <c r="D163" s="43">
        <f ca="1">IF(C163&lt;&gt;"",(C163-$C$3)/$C$3,"")</f>
        <v>1.4292132386350049</v>
      </c>
      <c r="E163" s="43">
        <f t="array" aca="1" ref="E163" ca="1">IF(C163&lt;&gt;"",IF(AND(D163&lt;-0.4,C163&lt;&gt;""),IF(MATCH(A163, 'weekly price'!A:A, 0), INDEX('weekly price'!J:J, MATCH(A163, 'weekly price'!A:A, 0)), "No Match")-(2*D163),IF(MATCH(A163, 'weekly price'!A:A, 0), INDEX('weekly price'!J:J, MATCH(A163, 'weekly price'!A:A, 0)), "No Match")-D163),"")</f>
        <v>-0.42921323863500493</v>
      </c>
      <c r="F163" s="44" t="str">
        <f t="array" aca="1" ref="F163" ca="1">IF(MATCH(A163, 'weekly price'!A:A, 0), INDEX('weekly price'!K:K, MATCH(A163, 'weekly price'!A:A, 0)), "No Match")</f>
        <v/>
      </c>
      <c r="G163" s="41">
        <f t="shared" ca="1" si="11"/>
        <v>142.69669034124877</v>
      </c>
      <c r="H163" s="59">
        <f t="shared" ca="1" si="1"/>
        <v>1.4047381858852213E-3</v>
      </c>
      <c r="I163" s="41">
        <f ca="1">IF(C163&lt;&gt;"",SUM($G$3:G163),"")</f>
        <v>50358.396790959603</v>
      </c>
      <c r="J163" s="41">
        <f t="shared" ca="1" si="8"/>
        <v>685.40239530871713</v>
      </c>
      <c r="K163" s="43">
        <f t="shared" ca="1" si="3"/>
        <v>3.6184486064645713</v>
      </c>
      <c r="L163" s="41">
        <f ca="1">IF(C163&lt;&gt;"",I163 / SUM($H$3:H163),"")</f>
        <v>21994.920514610094</v>
      </c>
      <c r="M163" s="59">
        <f t="shared" ca="1" si="5"/>
        <v>2.4610560036919778E-3</v>
      </c>
      <c r="N163" s="41">
        <v>250</v>
      </c>
      <c r="O163" s="41">
        <f ca="1">IF(C163&lt;&gt;"",SUM($N$3:N163) / SUM($M$3:M163),"")</f>
        <v>33269.844337912073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">
      <c r="A164" s="57">
        <v>45698</v>
      </c>
      <c r="B164" s="58">
        <v>162</v>
      </c>
      <c r="C164" s="41">
        <f t="array" aca="1" ref="C164" ca="1">IF(MATCH(A164, 'weekly price'!A:A, 0), INDEX('weekly price'!B:B, MATCH(A164, 'weekly price'!A:A, 0)), "No Match")</f>
        <v>97375.23</v>
      </c>
      <c r="D164" s="43">
        <f ca="1">IF(C164&lt;&gt;"",(C164-$C$3)/$C$3,"")</f>
        <v>1.3286039170672215</v>
      </c>
      <c r="E164" s="43">
        <f t="array" aca="1" ref="E164" ca="1">IF(C164&lt;&gt;"",IF(AND(D164&lt;-0.4,C164&lt;&gt;""),IF(MATCH(A164, 'weekly price'!A:A, 0), INDEX('weekly price'!J:J, MATCH(A164, 'weekly price'!A:A, 0)), "No Match")-(2*D164),IF(MATCH(A164, 'weekly price'!A:A, 0), INDEX('weekly price'!J:J, MATCH(A164, 'weekly price'!A:A, 0)), "No Match")-D164),"")</f>
        <v>-0.32860391706722147</v>
      </c>
      <c r="F164" s="44" t="str">
        <f t="array" aca="1" ref="F164" ca="1">IF(MATCH(A164, 'weekly price'!A:A, 0), INDEX('weekly price'!K:K, MATCH(A164, 'weekly price'!A:A, 0)), "No Match")</f>
        <v/>
      </c>
      <c r="G164" s="41">
        <f t="shared" ca="1" si="11"/>
        <v>167.84902073319464</v>
      </c>
      <c r="H164" s="59">
        <f t="shared" ca="1" si="1"/>
        <v>1.7237342672586718E-3</v>
      </c>
      <c r="I164" s="41">
        <f ca="1">IF(C164&lt;&gt;"",SUM($G$3:G164),"")</f>
        <v>50526.245811692796</v>
      </c>
      <c r="J164" s="41">
        <f t="shared" ca="1" si="8"/>
        <v>542.70570496746836</v>
      </c>
      <c r="K164" s="43">
        <f t="shared" ca="1" si="3"/>
        <v>3.4157838763677932</v>
      </c>
      <c r="L164" s="41">
        <f ca="1">IF(C164&lt;&gt;"",I164 / SUM($H$3:H164),"")</f>
        <v>22051.629501418462</v>
      </c>
      <c r="M164" s="59">
        <f t="shared" ca="1" si="5"/>
        <v>2.5673880308164612E-3</v>
      </c>
      <c r="N164" s="41">
        <v>250</v>
      </c>
      <c r="O164" s="41">
        <f ca="1">IF(C164&lt;&gt;"",SUM($N$3:N164) / SUM($M$3:M164),"")</f>
        <v>33405.597592879523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">
      <c r="A165" s="57">
        <v>45705</v>
      </c>
      <c r="B165" s="58">
        <v>163</v>
      </c>
      <c r="C165" s="41">
        <f t="array" aca="1" ref="C165" ca="1">IF(MATCH(A165, 'weekly price'!A:A, 0), INDEX('weekly price'!B:B, MATCH(A165, 'weekly price'!A:A, 0)), "No Match")</f>
        <v>95790.51</v>
      </c>
      <c r="D165" s="43">
        <f ca="1">IF(C165&lt;&gt;"",(C165-$C$3)/$C$3,"")</f>
        <v>1.2907073678169165</v>
      </c>
      <c r="E165" s="43">
        <f t="array" aca="1" ref="E165" ca="1">IF(C165&lt;&gt;"",IF(AND(D165&lt;-0.4,C165&lt;&gt;""),IF(MATCH(A165, 'weekly price'!A:A, 0), INDEX('weekly price'!J:J, MATCH(A165, 'weekly price'!A:A, 0)), "No Match")-(2*D165),IF(MATCH(A165, 'weekly price'!A:A, 0), INDEX('weekly price'!J:J, MATCH(A165, 'weekly price'!A:A, 0)), "No Match")-D165),"")</f>
        <v>-0.29070736781691653</v>
      </c>
      <c r="F165" s="44" t="str">
        <f t="array" aca="1" ref="F165" ca="1">IF(MATCH(A165, 'weekly price'!A:A, 0), INDEX('weekly price'!K:K, MATCH(A165, 'weekly price'!A:A, 0)), "No Match")</f>
        <v/>
      </c>
      <c r="G165" s="41">
        <f t="shared" ca="1" si="11"/>
        <v>177.32315804577087</v>
      </c>
      <c r="H165" s="59">
        <f t="shared" ca="1" si="1"/>
        <v>1.8511557986878959E-3</v>
      </c>
      <c r="I165" s="41">
        <f ca="1">IF(C165&lt;&gt;"",SUM($G$3:G165),"")</f>
        <v>50703.568969738568</v>
      </c>
      <c r="J165" s="41">
        <f t="shared" ca="1" si="8"/>
        <v>374.85668423427376</v>
      </c>
      <c r="K165" s="43">
        <f t="shared" ca="1" si="3"/>
        <v>3.3322252691787408</v>
      </c>
      <c r="L165" s="41">
        <f ca="1">IF(C165&lt;&gt;"",I165 / SUM($H$3:H165),"")</f>
        <v>22111.156287622824</v>
      </c>
      <c r="M165" s="59">
        <f t="shared" ca="1" si="5"/>
        <v>2.6098618746262028E-3</v>
      </c>
      <c r="N165" s="41">
        <v>250</v>
      </c>
      <c r="O165" s="41">
        <f ca="1">IF(C165&lt;&gt;"",SUM($N$3:N165) / SUM($M$3:M165),"")</f>
        <v>33539.604572193653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">
      <c r="A166" s="57">
        <v>45712</v>
      </c>
      <c r="B166" s="58">
        <v>164</v>
      </c>
      <c r="C166" s="41">
        <f t="array" aca="1" ref="C166" ca="1">IF(MATCH(A166, 'weekly price'!A:A, 0), INDEX('weekly price'!B:B, MATCH(A166, 'weekly price'!A:A, 0)), "No Match")</f>
        <v>91869.65</v>
      </c>
      <c r="D166" s="43">
        <f ca="1">IF(C166&lt;&gt;"",(C166-$C$3)/$C$3,"")</f>
        <v>1.1969450223593274</v>
      </c>
      <c r="E166" s="43">
        <f t="array" aca="1" ref="E166" ca="1">IF(C166&lt;&gt;"",IF(AND(D166&lt;-0.4,C166&lt;&gt;""),IF(MATCH(A166, 'weekly price'!A:A, 0), INDEX('weekly price'!J:J, MATCH(A166, 'weekly price'!A:A, 0)), "No Match")-(2*D166),IF(MATCH(A166, 'weekly price'!A:A, 0), INDEX('weekly price'!J:J, MATCH(A166, 'weekly price'!A:A, 0)), "No Match")-D166),"")</f>
        <v>-0.19694502235932743</v>
      </c>
      <c r="F166" s="44" t="str">
        <f t="array" aca="1" ref="F166" ca="1">IF(MATCH(A166, 'weekly price'!A:A, 0), INDEX('weekly price'!K:K, MATCH(A166, 'weekly price'!A:A, 0)), "No Match")</f>
        <v/>
      </c>
      <c r="G166" s="41">
        <f t="shared" ca="1" si="11"/>
        <v>200.76374441016813</v>
      </c>
      <c r="H166" s="59">
        <f t="shared" ca="1" si="1"/>
        <v>2.1853108661039652E-3</v>
      </c>
      <c r="I166" s="41">
        <f ca="1">IF(C166&lt;&gt;"",SUM($G$3:G166),"")</f>
        <v>50904.332714148739</v>
      </c>
      <c r="J166" s="41">
        <f t="shared" ca="1" si="8"/>
        <v>197.53352618850289</v>
      </c>
      <c r="K166" s="43">
        <f t="shared" ca="1" si="3"/>
        <v>3.1424575604952469</v>
      </c>
      <c r="L166" s="41">
        <f ca="1">IF(C166&lt;&gt;"",I166 / SUM($H$3:H166),"")</f>
        <v>22177.571805712505</v>
      </c>
      <c r="M166" s="59">
        <f t="shared" ca="1" si="5"/>
        <v>2.7212468970982256E-3</v>
      </c>
      <c r="N166" s="41">
        <v>250</v>
      </c>
      <c r="O166" s="41">
        <f ca="1">IF(C166&lt;&gt;"",SUM($N$3:N166) / SUM($M$3:M166),"")</f>
        <v>33669.956952466964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">
      <c r="A167" s="57">
        <v>45719</v>
      </c>
      <c r="B167" s="58">
        <v>165</v>
      </c>
      <c r="C167" s="41">
        <f t="array" aca="1" ref="C167" ca="1">IF(MATCH(A167, 'weekly price'!A:A, 0), INDEX('weekly price'!B:B, MATCH(A167, 'weekly price'!A:A, 0)), "No Match")</f>
        <v>86315.93</v>
      </c>
      <c r="D167" s="43">
        <f ca="1">IF(C167&lt;&gt;"",(C167-$C$3)/$C$3,"")</f>
        <v>1.0641349212042948</v>
      </c>
      <c r="E167" s="43">
        <f t="array" aca="1" ref="E167" ca="1">IF(C167&lt;&gt;"",IF(AND(D167&lt;-0.4,C167&lt;&gt;""),IF(MATCH(A167, 'weekly price'!A:A, 0), INDEX('weekly price'!J:J, MATCH(A167, 'weekly price'!A:A, 0)), "No Match")-(2*D167),IF(MATCH(A167, 'weekly price'!A:A, 0), INDEX('weekly price'!J:J, MATCH(A167, 'weekly price'!A:A, 0)), "No Match")-D167),"")</f>
        <v>-6.4134921204294759E-2</v>
      </c>
      <c r="F167" s="44" t="str">
        <f t="array" aca="1" ref="F167" ca="1">IF(MATCH(A167, 'weekly price'!A:A, 0), INDEX('weekly price'!K:K, MATCH(A167, 'weekly price'!A:A, 0)), "No Match")</f>
        <v/>
      </c>
      <c r="G167" s="41">
        <f t="shared" ca="1" si="11"/>
        <v>233.96626969892631</v>
      </c>
      <c r="H167" s="59">
        <f t="shared" ca="1" si="1"/>
        <v>2.7105804189206596E-3</v>
      </c>
      <c r="I167" s="41">
        <f ca="1">IF(C167&lt;&gt;"",SUM($G$3:G167),"")</f>
        <v>51138.298983847664</v>
      </c>
      <c r="J167" s="41">
        <f t="shared" ca="1" si="8"/>
        <v>-3.2302182216652398</v>
      </c>
      <c r="K167" s="43">
        <f t="shared" ca="1" si="3"/>
        <v>2.8788054453850629</v>
      </c>
      <c r="L167" s="41">
        <f ca="1">IF(C167&lt;&gt;"",I167 / SUM($H$3:H167),"")</f>
        <v>22253.224920754205</v>
      </c>
      <c r="M167" s="59">
        <f t="shared" ca="1" si="5"/>
        <v>2.8963367480371238E-3</v>
      </c>
      <c r="N167" s="41">
        <v>250</v>
      </c>
      <c r="O167" s="41">
        <f ca="1">IF(C167&lt;&gt;"",SUM($N$3:N167) / SUM($M$3:M167),"")</f>
        <v>33794.879594931932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">
      <c r="A168" s="57">
        <v>45726</v>
      </c>
      <c r="B168" s="58">
        <v>166</v>
      </c>
      <c r="C168" s="41">
        <f t="array" aca="1" ref="C168" ca="1">IF(MATCH(A168, 'weekly price'!A:A, 0), INDEX('weekly price'!B:B, MATCH(A168, 'weekly price'!A:A, 0)), "No Match")</f>
        <v>79005.960000000006</v>
      </c>
      <c r="D168" s="43">
        <f ca="1">IF(C168&lt;&gt;"",(C168-$C$3)/$C$3,"")</f>
        <v>0.88932635052729769</v>
      </c>
      <c r="E168" s="43">
        <f t="array" aca="1" ref="E168" ca="1">IF(C168&lt;&gt;"",IF(AND(D168&lt;-0.4,C168&lt;&gt;""),IF(MATCH(A168, 'weekly price'!A:A, 0), INDEX('weekly price'!J:J, MATCH(A168, 'weekly price'!A:A, 0)), "No Match")-(2*D168),IF(MATCH(A168, 'weekly price'!A:A, 0), INDEX('weekly price'!J:J, MATCH(A168, 'weekly price'!A:A, 0)), "No Match")-D168),"")</f>
        <v>1.450927494816334</v>
      </c>
      <c r="F168" s="44">
        <f t="array" aca="1" ref="F168" ca="1">IF(MATCH(A168, 'weekly price'!A:A, 0), INDEX('weekly price'!K:K, MATCH(A168, 'weekly price'!A:A, 0)), "No Match")</f>
        <v>2</v>
      </c>
      <c r="G168" s="41">
        <f t="shared" ca="1" si="11"/>
        <v>862.73187370408345</v>
      </c>
      <c r="H168" s="59">
        <f t="shared" ca="1" si="1"/>
        <v>1.0919832803804718E-2</v>
      </c>
      <c r="I168" s="41">
        <f ca="1">IF(C168&lt;&gt;"",SUM($G$3:G168),"")</f>
        <v>52001.030857551748</v>
      </c>
      <c r="J168" s="41">
        <f t="shared" ca="1" si="8"/>
        <v>-237.19648792059155</v>
      </c>
      <c r="K168" s="43">
        <f t="shared" ca="1" si="3"/>
        <v>2.5080036468380582</v>
      </c>
      <c r="L168" s="41">
        <f ca="1">IF(C168&lt;&gt;"",I168 / SUM($H$3:H168),"")</f>
        <v>22521.629950759056</v>
      </c>
      <c r="M168" s="59">
        <f t="shared" ca="1" si="5"/>
        <v>3.1643182362444552E-3</v>
      </c>
      <c r="N168" s="41">
        <v>250</v>
      </c>
      <c r="O168" s="41">
        <f ca="1">IF(C168&lt;&gt;"",SUM($N$3:N168) / SUM($M$3:M168),"")</f>
        <v>33911.783109739947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">
      <c r="A169" s="57">
        <v>45733</v>
      </c>
      <c r="B169" s="58">
        <v>167</v>
      </c>
      <c r="C169" s="41">
        <f t="array" aca="1" ref="C169" ca="1">IF(MATCH(A169, 'weekly price'!A:A, 0), INDEX('weekly price'!B:B, MATCH(A169, 'weekly price'!A:A, 0)), "No Match")</f>
        <v>84013.95</v>
      </c>
      <c r="D169" s="43">
        <f ca="1">IF(C169&lt;&gt;"",(C169-$C$3)/$C$3,"")</f>
        <v>1.0090860176483247</v>
      </c>
      <c r="E169" s="43">
        <f t="array" aca="1" ref="E169" ca="1">IF(C169&lt;&gt;"",IF(AND(D169&lt;-0.4,C169&lt;&gt;""),IF(MATCH(A169, 'weekly price'!A:A, 0), INDEX('weekly price'!J:J, MATCH(A169, 'weekly price'!A:A, 0)), "No Match")-(2*D169),IF(MATCH(A169, 'weekly price'!A:A, 0), INDEX('weekly price'!J:J, MATCH(A169, 'weekly price'!A:A, 0)), "No Match")-D169),"")</f>
        <v>-9.086017648324729E-3</v>
      </c>
      <c r="F169" s="44" t="str">
        <f t="array" aca="1" ref="F169" ca="1">IF(MATCH(A169, 'weekly price'!A:A, 0), INDEX('weekly price'!K:K, MATCH(A169, 'weekly price'!A:A, 0)), "No Match")</f>
        <v/>
      </c>
      <c r="G169" s="41">
        <f t="shared" ca="1" si="11"/>
        <v>247.72849558791881</v>
      </c>
      <c r="H169" s="59">
        <f t="shared" ca="1" si="1"/>
        <v>2.9486590689750789E-3</v>
      </c>
      <c r="I169" s="41">
        <f ca="1">IF(C169&lt;&gt;"",SUM($G$3:G169),"")</f>
        <v>52248.759353139671</v>
      </c>
      <c r="J169" s="41">
        <f t="shared" ca="1" si="8"/>
        <v>-1099.9283616246751</v>
      </c>
      <c r="K169" s="43">
        <f t="shared" ca="1" si="3"/>
        <v>2.7174216491479455</v>
      </c>
      <c r="L169" s="41">
        <f ca="1">IF(C169&lt;&gt;"",I169 / SUM($H$3:H169),"")</f>
        <v>22600.059376976104</v>
      </c>
      <c r="M169" s="59">
        <f t="shared" ca="1" si="5"/>
        <v>2.9756962980552635E-3</v>
      </c>
      <c r="N169" s="41">
        <v>250</v>
      </c>
      <c r="O169" s="41">
        <f ca="1">IF(C169&lt;&gt;"",SUM($N$3:N169) / SUM($M$3:M169),"")</f>
        <v>34033.315739946658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">
      <c r="A170" s="57">
        <v>45740</v>
      </c>
      <c r="B170" s="58">
        <v>168</v>
      </c>
      <c r="C170" s="41">
        <f t="array" aca="1" ref="C170" ca="1">IF(MATCH(A170, 'weekly price'!A:A, 0), INDEX('weekly price'!B:B, MATCH(A170, 'weekly price'!A:A, 0)), "No Match")</f>
        <v>87322.57</v>
      </c>
      <c r="D170" s="43">
        <f ca="1">IF(C170&lt;&gt;"",(C170-$C$3)/$C$3,"")</f>
        <v>1.088207427601215</v>
      </c>
      <c r="E170" s="43">
        <f t="array" aca="1" ref="E170" ca="1">IF(C170&lt;&gt;"",IF(AND(D170&lt;-0.4,C170&lt;&gt;""),IF(MATCH(A170, 'weekly price'!A:A, 0), INDEX('weekly price'!J:J, MATCH(A170, 'weekly price'!A:A, 0)), "No Match")-(2*D170),IF(MATCH(A170, 'weekly price'!A:A, 0), INDEX('weekly price'!J:J, MATCH(A170, 'weekly price'!A:A, 0)), "No Match")-D170),"")</f>
        <v>-8.8207427601215027E-2</v>
      </c>
      <c r="F170" s="44" t="str">
        <f t="array" aca="1" ref="F170" ca="1">IF(MATCH(A170, 'weekly price'!A:A, 0), INDEX('weekly price'!K:K, MATCH(A170, 'weekly price'!A:A, 0)), "No Match")</f>
        <v/>
      </c>
      <c r="G170" s="41">
        <f t="shared" ca="1" si="11"/>
        <v>227.94814309969624</v>
      </c>
      <c r="H170" s="59">
        <f t="shared" ca="1" si="1"/>
        <v>2.610414960298308E-3</v>
      </c>
      <c r="I170" s="41">
        <f ca="1">IF(C170&lt;&gt;"",SUM($G$3:G170),"")</f>
        <v>52476.707496239367</v>
      </c>
      <c r="J170" s="41">
        <f t="shared" ca="1" si="8"/>
        <v>-1347.6568572125939</v>
      </c>
      <c r="K170" s="43">
        <f t="shared" ca="1" si="3"/>
        <v>2.8513805263584735</v>
      </c>
      <c r="L170" s="41">
        <f ca="1">IF(C170&lt;&gt;"",I170 / SUM($H$3:H170),"")</f>
        <v>22673.05694733949</v>
      </c>
      <c r="M170" s="59">
        <f t="shared" ca="1" si="5"/>
        <v>2.8629482618296735E-3</v>
      </c>
      <c r="N170" s="41">
        <v>250</v>
      </c>
      <c r="O170" s="41">
        <f ca="1">IF(C170&lt;&gt;"",SUM($N$3:N170) / SUM($M$3:M170),"")</f>
        <v>34157.391960272173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">
      <c r="A171" s="57">
        <v>45747</v>
      </c>
      <c r="B171" s="58">
        <v>169</v>
      </c>
      <c r="C171" s="41">
        <f t="array" aca="1" ref="C171" ca="1">IF(MATCH(A171, 'weekly price'!A:A, 0), INDEX('weekly price'!B:B, MATCH(A171, 'weekly price'!A:A, 0)), "No Match")</f>
        <v>82461.45</v>
      </c>
      <c r="D171" s="43">
        <f ca="1">IF(C171&lt;&gt;"",(C171-$C$3)/$C$3,"")</f>
        <v>0.97195996843389043</v>
      </c>
      <c r="E171" s="43">
        <f t="array" aca="1" ref="E171" ca="1">IF(C171&lt;&gt;"",IF(AND(D171&lt;-0.4,C171&lt;&gt;""),IF(MATCH(A171, 'weekly price'!A:A, 0), INDEX('weekly price'!J:J, MATCH(A171, 'weekly price'!A:A, 0)), "No Match")-(2*D171),IF(MATCH(A171, 'weekly price'!A:A, 0), INDEX('weekly price'!J:J, MATCH(A171, 'weekly price'!A:A, 0)), "No Match")-D171),"")</f>
        <v>2.8040031566109569E-2</v>
      </c>
      <c r="F171" s="44" t="str">
        <f t="array" aca="1" ref="F171" ca="1">IF(MATCH(A171, 'weekly price'!A:A, 0), INDEX('weekly price'!K:K, MATCH(A171, 'weekly price'!A:A, 0)), "No Match")</f>
        <v/>
      </c>
      <c r="G171" s="41">
        <f t="shared" ca="1" si="11"/>
        <v>257.01000789152738</v>
      </c>
      <c r="H171" s="59">
        <f t="shared" ca="1" si="1"/>
        <v>3.1167291854742717E-3</v>
      </c>
      <c r="I171" s="41">
        <f ca="1">IF(C171&lt;&gt;"",SUM($G$3:G171),"")</f>
        <v>52733.717504130895</v>
      </c>
      <c r="J171" s="41">
        <f t="shared" ca="1" si="8"/>
        <v>-1575.60500031229</v>
      </c>
      <c r="K171" s="43">
        <f t="shared" ca="1" si="3"/>
        <v>2.6241278617522732</v>
      </c>
      <c r="L171" s="41">
        <f ca="1">IF(C171&lt;&gt;"",I171 / SUM($H$3:H171),"")</f>
        <v>22753.460458795656</v>
      </c>
      <c r="M171" s="59">
        <f t="shared" ca="1" si="5"/>
        <v>3.0317196702216611E-3</v>
      </c>
      <c r="N171" s="41">
        <v>250</v>
      </c>
      <c r="O171" s="41">
        <f ca="1">IF(C171&lt;&gt;"",SUM($N$3:N171) / SUM($M$3:M171),"")</f>
        <v>34276.198019015159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">
      <c r="A172" s="57">
        <v>45754</v>
      </c>
      <c r="B172" s="58">
        <v>170</v>
      </c>
      <c r="C172" s="41">
        <f t="array" aca="1" ref="C172" ca="1">IF(MATCH(A172, 'weekly price'!A:A, 0), INDEX('weekly price'!B:B, MATCH(A172, 'weekly price'!A:A, 0)), "No Match")</f>
        <v>79421.8</v>
      </c>
      <c r="D172" s="43">
        <f ca="1">IF(C172&lt;&gt;"",(C172-$C$3)/$C$3,"")</f>
        <v>0.89927063156132681</v>
      </c>
      <c r="E172" s="43">
        <f t="array" aca="1" ref="E172" ca="1">IF(C172&lt;&gt;"",IF(AND(D172&lt;-0.4,C172&lt;&gt;""),IF(MATCH(A172, 'weekly price'!A:A, 0), INDEX('weekly price'!J:J, MATCH(A172, 'weekly price'!A:A, 0)), "No Match")-(2*D172),IF(MATCH(A172, 'weekly price'!A:A, 0), INDEX('weekly price'!J:J, MATCH(A172, 'weekly price'!A:A, 0)), "No Match")-D172),"")</f>
        <v>1.3400941812685501</v>
      </c>
      <c r="F172" s="44">
        <f t="array" aca="1" ref="F172" ca="1">IF(MATCH(A172, 'weekly price'!A:A, 0), INDEX('weekly price'!K:K, MATCH(A172, 'weekly price'!A:A, 0)), "No Match")</f>
        <v>2</v>
      </c>
      <c r="G172" s="41">
        <f t="shared" ca="1" si="11"/>
        <v>835.02354531713752</v>
      </c>
      <c r="H172" s="59">
        <f t="shared" ca="1" si="1"/>
        <v>1.0513782680789625E-2</v>
      </c>
      <c r="I172" s="41">
        <f ca="1">IF(C172&lt;&gt;"",SUM($G$3:G172),"")</f>
        <v>53568.741049448035</v>
      </c>
      <c r="J172" s="41">
        <f t="shared" ca="1" si="8"/>
        <v>-1832.6150082038175</v>
      </c>
      <c r="K172" s="43">
        <f t="shared" ca="1" si="3"/>
        <v>2.4517149776941487</v>
      </c>
      <c r="L172" s="41">
        <f ca="1">IF(C172&lt;&gt;"",I172 / SUM($H$3:H172),"")</f>
        <v>23009.373749931172</v>
      </c>
      <c r="M172" s="59">
        <f t="shared" ca="1" si="5"/>
        <v>3.1477503657685924E-3</v>
      </c>
      <c r="N172" s="41">
        <v>250</v>
      </c>
      <c r="O172" s="41">
        <f ca="1">IF(C172&lt;&gt;"",SUM($N$3:N172) / SUM($M$3:M172),"")</f>
        <v>34391.191713348497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">
      <c r="A173" s="57">
        <v>45761</v>
      </c>
      <c r="B173" s="58">
        <v>171</v>
      </c>
      <c r="C173" s="41">
        <f t="array" aca="1" ref="C173" ca="1">IF(MATCH(A173, 'weekly price'!A:A, 0), INDEX('weekly price'!B:B, MATCH(A173, 'weekly price'!A:A, 0)), "No Match")</f>
        <v>84589.03</v>
      </c>
      <c r="D173" s="43">
        <f ca="1">IF(C173&lt;&gt;"",(C173-$C$3)/$C$3,"")</f>
        <v>1.0228383193438075</v>
      </c>
      <c r="E173" s="43">
        <f t="array" aca="1" ref="E173" ca="1">IF(C173&lt;&gt;"",IF(AND(D173&lt;-0.4,C173&lt;&gt;""),IF(MATCH(A173, 'weekly price'!A:A, 0), INDEX('weekly price'!J:J, MATCH(A173, 'weekly price'!A:A, 0)), "No Match")-(2*D173),IF(MATCH(A173, 'weekly price'!A:A, 0), INDEX('weekly price'!J:J, MATCH(A173, 'weekly price'!A:A, 0)), "No Match")-D173),"")</f>
        <v>-2.2838319343807534E-2</v>
      </c>
      <c r="F173" s="44" t="str">
        <f t="array" aca="1" ref="F173" ca="1">IF(MATCH(A173, 'weekly price'!A:A, 0), INDEX('weekly price'!K:K, MATCH(A173, 'weekly price'!A:A, 0)), "No Match")</f>
        <v/>
      </c>
      <c r="G173" s="41">
        <f t="shared" ca="1" si="11"/>
        <v>244.29042016404813</v>
      </c>
      <c r="H173" s="59">
        <f t="shared" ca="1" si="1"/>
        <v>2.8879680989845626E-3</v>
      </c>
      <c r="I173" s="41">
        <f ca="1">IF(C173&lt;&gt;"",SUM($G$3:G173),"")</f>
        <v>53813.031469612084</v>
      </c>
      <c r="J173" s="41">
        <f t="shared" ca="1" si="8"/>
        <v>-2667.6385535209552</v>
      </c>
      <c r="K173" s="43">
        <f t="shared" ca="1" si="3"/>
        <v>2.6641363217153593</v>
      </c>
      <c r="L173" s="41">
        <f ca="1">IF(C173&lt;&gt;"",I173 / SUM($H$3:H173),"")</f>
        <v>23085.666736438394</v>
      </c>
      <c r="M173" s="59">
        <f t="shared" ca="1" si="5"/>
        <v>2.9554659747250914E-3</v>
      </c>
      <c r="N173" s="41">
        <v>250</v>
      </c>
      <c r="O173" s="41">
        <f ca="1">IF(C173&lt;&gt;"",SUM($N$3:N173) / SUM($M$3:M173),"")</f>
        <v>34510.957250222527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">
      <c r="A174" s="57">
        <v>45768</v>
      </c>
      <c r="B174" s="58">
        <v>172</v>
      </c>
      <c r="C174" s="41">
        <f t="array" aca="1" ref="C174" ca="1">IF(MATCH(A174, 'weekly price'!A:A, 0), INDEX('weekly price'!B:B, MATCH(A174, 'weekly price'!A:A, 0)), "No Match")</f>
        <v>87360.72</v>
      </c>
      <c r="D174" s="43">
        <f ca="1">IF(C174&lt;&gt;"",(C174-$C$3)/$C$3,"")</f>
        <v>1.0891197359925389</v>
      </c>
      <c r="E174" s="43">
        <f t="array" aca="1" ref="E174" ca="1">IF(C174&lt;&gt;"",IF(AND(D174&lt;-0.4,C174&lt;&gt;""),IF(MATCH(A174, 'weekly price'!A:A, 0), INDEX('weekly price'!J:J, MATCH(A174, 'weekly price'!A:A, 0)), "No Match")-(2*D174),IF(MATCH(A174, 'weekly price'!A:A, 0), INDEX('weekly price'!J:J, MATCH(A174, 'weekly price'!A:A, 0)), "No Match")-D174),"")</f>
        <v>-8.9119735992538862E-2</v>
      </c>
      <c r="F174" s="44" t="str">
        <f t="array" aca="1" ref="F174" ca="1">IF(MATCH(A174, 'weekly price'!A:A, 0), INDEX('weekly price'!K:K, MATCH(A174, 'weekly price'!A:A, 0)), "No Match")</f>
        <v/>
      </c>
      <c r="G174" s="41">
        <f t="shared" ca="1" si="11"/>
        <v>227.72006600186529</v>
      </c>
      <c r="H174" s="59">
        <f t="shared" ca="1" si="1"/>
        <v>2.6066642537042424E-3</v>
      </c>
      <c r="I174" s="41">
        <f ca="1">IF(C174&lt;&gt;"",SUM($G$3:G174),"")</f>
        <v>54040.751535613948</v>
      </c>
      <c r="J174" s="41">
        <f t="shared" ca="1" si="8"/>
        <v>-2911.9289736850033</v>
      </c>
      <c r="K174" s="43">
        <f t="shared" ca="1" si="3"/>
        <v>2.7724651850707631</v>
      </c>
      <c r="L174" s="41">
        <f ca="1">IF(C174&lt;&gt;"",I174 / SUM($H$3:H174),"")</f>
        <v>23157.462220121539</v>
      </c>
      <c r="M174" s="59">
        <f t="shared" ca="1" si="5"/>
        <v>2.8616980262983179E-3</v>
      </c>
      <c r="N174" s="41">
        <v>250</v>
      </c>
      <c r="O174" s="41">
        <f ca="1">IF(C174&lt;&gt;"",SUM($N$3:N174) / SUM($M$3:M174),"")</f>
        <v>34632.767993710659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">
      <c r="A175" s="57">
        <v>45775</v>
      </c>
      <c r="B175" s="58">
        <v>173</v>
      </c>
      <c r="C175" s="41">
        <f t="array" aca="1" ref="C175" ca="1">IF(MATCH(A175, 'weekly price'!A:A, 0), INDEX('weekly price'!B:B, MATCH(A175, 'weekly price'!A:A, 0)), "No Match")</f>
        <v>95066.02</v>
      </c>
      <c r="D175" s="43">
        <f ca="1">IF(C175&lt;&gt;"",(C175-$C$3)/$C$3,"")</f>
        <v>1.2733821173207069</v>
      </c>
      <c r="E175" s="43">
        <f t="array" aca="1" ref="E175" ca="1">IF(C175&lt;&gt;"",IF(AND(D175&lt;-0.4,C175&lt;&gt;""),IF(MATCH(A175, 'weekly price'!A:A, 0), INDEX('weekly price'!J:J, MATCH(A175, 'weekly price'!A:A, 0)), "No Match")-(2*D175),IF(MATCH(A175, 'weekly price'!A:A, 0), INDEX('weekly price'!J:J, MATCH(A175, 'weekly price'!A:A, 0)), "No Match")-D175),"")</f>
        <v>-0.27338211732070694</v>
      </c>
      <c r="F175" s="44" t="str">
        <f t="array" aca="1" ref="F175" ca="1">IF(MATCH(A175, 'weekly price'!A:A, 0), INDEX('weekly price'!K:K, MATCH(A175, 'weekly price'!A:A, 0)), "No Match")</f>
        <v/>
      </c>
      <c r="G175" s="41">
        <f t="shared" ca="1" si="11"/>
        <v>181.65447066982327</v>
      </c>
      <c r="H175" s="59">
        <f t="shared" ca="1" si="1"/>
        <v>1.9108244004516362E-3</v>
      </c>
      <c r="I175" s="41">
        <f ca="1">IF(C175&lt;&gt;"",SUM($G$3:G175),"")</f>
        <v>54222.406006283774</v>
      </c>
      <c r="J175" s="41">
        <f t="shared" ca="1" si="8"/>
        <v>-3139.6490396868685</v>
      </c>
      <c r="K175" s="43">
        <f t="shared" ca="1" si="3"/>
        <v>3.0947973033496634</v>
      </c>
      <c r="L175" s="41">
        <f ca="1">IF(C175&lt;&gt;"",I175 / SUM($H$3:H175),"")</f>
        <v>23216.294472557467</v>
      </c>
      <c r="M175" s="59">
        <f t="shared" ca="1" si="5"/>
        <v>2.6297514085474494E-3</v>
      </c>
      <c r="N175" s="41">
        <v>250</v>
      </c>
      <c r="O175" s="41">
        <f ca="1">IF(C175&lt;&gt;"",SUM($N$3:N175) / SUM($M$3:M175),"")</f>
        <v>34760.497293236112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">
      <c r="A176" s="57">
        <v>45782</v>
      </c>
      <c r="B176" s="58">
        <v>174</v>
      </c>
      <c r="C176" s="41">
        <f t="array" aca="1" ref="C176" ca="1">IF(MATCH(A176, 'weekly price'!A:A, 0), INDEX('weekly price'!B:B, MATCH(A176, 'weekly price'!A:A, 0)), "No Match")</f>
        <v>94853.73</v>
      </c>
      <c r="D176" s="43">
        <f ca="1">IF(C176&lt;&gt;"",(C176-$C$3)/$C$3,"")</f>
        <v>1.2683054738503479</v>
      </c>
      <c r="E176" s="43">
        <f t="array" aca="1" ref="E176" ca="1">IF(C176&lt;&gt;"",IF(AND(D176&lt;-0.4,C176&lt;&gt;""),IF(MATCH(A176, 'weekly price'!A:A, 0), INDEX('weekly price'!J:J, MATCH(A176, 'weekly price'!A:A, 0)), "No Match")-(2*D176),IF(MATCH(A176, 'weekly price'!A:A, 0), INDEX('weekly price'!J:J, MATCH(A176, 'weekly price'!A:A, 0)), "No Match")-D176),"")</f>
        <v>-0.26830547385034786</v>
      </c>
      <c r="F176" s="44" t="str">
        <f t="array" aca="1" ref="F176" ca="1">IF(MATCH(A176, 'weekly price'!A:A, 0), INDEX('weekly price'!K:K, MATCH(A176, 'weekly price'!A:A, 0)), "No Match")</f>
        <v/>
      </c>
      <c r="G176" s="41">
        <f t="shared" ca="1" si="11"/>
        <v>182.92363153741303</v>
      </c>
      <c r="H176" s="59">
        <f t="shared" ca="1" si="1"/>
        <v>1.928481162916978E-3</v>
      </c>
      <c r="I176" s="41">
        <f ca="1">IF(C176&lt;&gt;"",SUM($G$3:G176),"")</f>
        <v>54405.329637821189</v>
      </c>
      <c r="J176" s="41">
        <f t="shared" ca="1" si="8"/>
        <v>-3321.3035103566917</v>
      </c>
      <c r="K176" s="43">
        <f t="shared" ca="1" si="3"/>
        <v>3.0752785958240278</v>
      </c>
      <c r="L176" s="41">
        <f ca="1">IF(C176&lt;&gt;"",I176 / SUM($H$3:H176),"")</f>
        <v>23275.397686233624</v>
      </c>
      <c r="M176" s="59">
        <f t="shared" ca="1" si="5"/>
        <v>2.6356369960358968E-3</v>
      </c>
      <c r="N176" s="41">
        <v>250</v>
      </c>
      <c r="O176" s="41">
        <f ca="1">IF(C176&lt;&gt;"",SUM($N$3:N176) / SUM($M$3:M176),"")</f>
        <v>34887.523123696206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">
      <c r="A177" s="57">
        <v>45789</v>
      </c>
      <c r="B177" s="58">
        <v>175</v>
      </c>
      <c r="C177" s="41">
        <f t="array" aca="1" ref="C177" ca="1">IF(MATCH(A177, 'weekly price'!A:A, 0), INDEX('weekly price'!B:B, MATCH(A177, 'weekly price'!A:A, 0)), "No Match")</f>
        <v>102920.07</v>
      </c>
      <c r="D177" s="43">
        <f ca="1">IF(C177&lt;&gt;"",(C177-$C$3)/$C$3,"")</f>
        <v>1.4612016643948635</v>
      </c>
      <c r="E177" s="43">
        <f t="array" aca="1" ref="E177" ca="1">IF(C177&lt;&gt;"",IF(AND(D177&lt;-0.4,C177&lt;&gt;""),IF(MATCH(A177, 'weekly price'!A:A, 0), INDEX('weekly price'!J:J, MATCH(A177, 'weekly price'!A:A, 0)), "No Match")-(2*D177),IF(MATCH(A177, 'weekly price'!A:A, 0), INDEX('weekly price'!J:J, MATCH(A177, 'weekly price'!A:A, 0)), "No Match")-D177),"")</f>
        <v>-1.7950240771140893</v>
      </c>
      <c r="F177" s="44">
        <f t="array" aca="1" ref="F177" ca="1">IF(MATCH(A177, 'weekly price'!A:A, 0), INDEX('weekly price'!K:K, MATCH(A177, 'weekly price'!A:A, 0)), "No Match")</f>
        <v>-2</v>
      </c>
      <c r="G177" s="41">
        <f t="shared" ca="1" si="11"/>
        <v>-948.75601927852222</v>
      </c>
      <c r="H177" s="59">
        <f t="shared" ca="1" si="1"/>
        <v>-9.2183771277897699E-3</v>
      </c>
      <c r="I177" s="41">
        <f ca="1">IF(C177&lt;&gt;"",SUM($G$3:G177),"")</f>
        <v>53456.573618542665</v>
      </c>
      <c r="J177" s="41">
        <f t="shared" ca="1" si="8"/>
        <v>-3504.2271418941045</v>
      </c>
      <c r="K177" s="43">
        <f t="shared" ca="1" si="3"/>
        <v>3.482570742219846</v>
      </c>
      <c r="L177" s="41">
        <f ca="1">IF(C177&lt;&gt;"",I177 / SUM($H$3:H177),"")</f>
        <v>22960.054825377327</v>
      </c>
      <c r="M177" s="59">
        <f t="shared" ca="1" si="5"/>
        <v>2.4290694710953848E-3</v>
      </c>
      <c r="N177" s="41">
        <v>250</v>
      </c>
      <c r="O177" s="41">
        <f ca="1">IF(C177&lt;&gt;"",SUM($N$3:N177) / SUM($M$3:M177),"")</f>
        <v>35019.802549498476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">
      <c r="A178" s="57">
        <v>45796</v>
      </c>
      <c r="B178" s="58">
        <v>176</v>
      </c>
      <c r="C178" s="41">
        <f t="array" aca="1" ref="C178" ca="1">IF(MATCH(A178, 'weekly price'!A:A, 0), INDEX('weekly price'!B:B, MATCH(A178, 'weekly price'!A:A, 0)), "No Match")</f>
        <v>105615.83</v>
      </c>
      <c r="D178" s="43">
        <f ca="1">IF(C178&lt;&gt;"",(C178-$C$3)/$C$3,"")</f>
        <v>1.5256673123370879</v>
      </c>
      <c r="E178" s="43">
        <f t="array" aca="1" ref="E178" ca="1">IF(C178&lt;&gt;"",IF(AND(D178&lt;-0.4,C178&lt;&gt;""),IF(MATCH(A178, 'weekly price'!A:A, 0), INDEX('weekly price'!J:J, MATCH(A178, 'weekly price'!A:A, 0)), "No Match")-(2*D178),IF(MATCH(A178, 'weekly price'!A:A, 0), INDEX('weekly price'!J:J, MATCH(A178, 'weekly price'!A:A, 0)), "No Match")-D178),"")</f>
        <v>-1.7668652534747535</v>
      </c>
      <c r="F178" s="44">
        <f t="array" aca="1" ref="F178" ca="1">IF(MATCH(A178, 'weekly price'!A:A, 0), INDEX('weekly price'!K:K, MATCH(A178, 'weekly price'!A:A, 0)), "No Match")</f>
        <v>-3</v>
      </c>
      <c r="G178" s="41">
        <f t="shared" ca="1" si="11"/>
        <v>-1191.7163133686884</v>
      </c>
      <c r="H178" s="59">
        <f t="shared" ca="1" si="1"/>
        <v>-1.1283500904823532E-2</v>
      </c>
      <c r="I178" s="41">
        <f ca="1">IF(C178&lt;&gt;"",SUM($G$3:G178),"")</f>
        <v>52264.857305173973</v>
      </c>
      <c r="J178" s="41">
        <f t="shared" ca="1" si="8"/>
        <v>-2555.4711226155823</v>
      </c>
      <c r="K178" s="43">
        <f t="shared" ca="1" si="3"/>
        <v>3.6820665352003719</v>
      </c>
      <c r="L178" s="41">
        <f ca="1">IF(C178&lt;&gt;"",I178 / SUM($H$3:H178),"")</f>
        <v>22557.524376462134</v>
      </c>
      <c r="M178" s="59">
        <f t="shared" ca="1" si="5"/>
        <v>2.3670694061676172E-3</v>
      </c>
      <c r="N178" s="41">
        <v>250</v>
      </c>
      <c r="O178" s="41">
        <f ca="1">IF(C178&lt;&gt;"",SUM($N$3:N178) / SUM($M$3:M178),"")</f>
        <v>35153.309784167395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">
      <c r="A179" s="57">
        <v>45803</v>
      </c>
      <c r="B179" s="58">
        <v>177</v>
      </c>
      <c r="C179" s="41">
        <f t="array" aca="1" ref="C179" ca="1">IF(MATCH(A179, 'weekly price'!A:A, 0), INDEX('weekly price'!B:B, MATCH(A179, 'weekly price'!A:A, 0)), "No Match")</f>
        <v>109371.99</v>
      </c>
      <c r="D179" s="43">
        <f ca="1">IF(C179&lt;&gt;"",(C179-$C$3)/$C$3,"")</f>
        <v>1.6154910682258412</v>
      </c>
      <c r="E179" s="43">
        <f t="array" aca="1" ref="E179" ca="1">IF(C179&lt;&gt;"",IF(AND(D179&lt;-0.4,C179&lt;&gt;""),IF(MATCH(A179, 'weekly price'!A:A, 0), INDEX('weekly price'!J:J, MATCH(A179, 'weekly price'!A:A, 0)), "No Match")-(2*D179),IF(MATCH(A179, 'weekly price'!A:A, 0), INDEX('weekly price'!J:J, MATCH(A179, 'weekly price'!A:A, 0)), "No Match")-D179),"")</f>
        <v>-1.8848344802941903</v>
      </c>
      <c r="F179" s="44">
        <f t="array" aca="1" ref="F179" ca="1">IF(MATCH(A179, 'weekly price'!A:A, 0), INDEX('weekly price'!K:K, MATCH(A179, 'weekly price'!A:A, 0)), "No Match")</f>
        <v>-3</v>
      </c>
      <c r="G179" s="41">
        <f t="shared" ca="1" si="11"/>
        <v>-1221.2086200735475</v>
      </c>
      <c r="H179" s="59">
        <f t="shared" ca="1" si="1"/>
        <v>-1.1165643233459933E-2</v>
      </c>
      <c r="I179" s="41">
        <f ca="1">IF(C179&lt;&gt;"",SUM($G$3:G179),"")</f>
        <v>51043.648685100423</v>
      </c>
      <c r="J179" s="41">
        <f t="shared" ca="1" si="8"/>
        <v>-1363.754809246894</v>
      </c>
      <c r="K179" s="43">
        <f t="shared" ca="1" si="3"/>
        <v>3.9406577634421547</v>
      </c>
      <c r="L179" s="41">
        <f ca="1">IF(C179&lt;&gt;"",I179 / SUM($H$3:H179),"")</f>
        <v>22137.131377381738</v>
      </c>
      <c r="M179" s="59">
        <f t="shared" ca="1" si="5"/>
        <v>2.2857771903025629E-3</v>
      </c>
      <c r="N179" s="41">
        <v>250</v>
      </c>
      <c r="O179" s="41">
        <f ca="1">IF(C179&lt;&gt;"",SUM($N$3:N179) / SUM($M$3:M179),"")</f>
        <v>35288.600589853275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">
      <c r="A180" s="57">
        <v>45810</v>
      </c>
      <c r="B180" s="58">
        <v>178</v>
      </c>
      <c r="C180" s="41">
        <f t="array" aca="1" ref="C180" ca="1">IF(MATCH(A180, 'weekly price'!A:A, 0), INDEX('weekly price'!B:B, MATCH(A180, 'weekly price'!A:A, 0)), "No Match")</f>
        <v>105899.7</v>
      </c>
      <c r="D180" s="43">
        <f ca="1">IF(C180&lt;&gt;"",(C180-$C$3)/$C$3,"")</f>
        <v>1.5324556998349952</v>
      </c>
      <c r="E180" s="43">
        <f t="array" aca="1" ref="E180" ca="1">IF(C180&lt;&gt;"",IF(AND(D180&lt;-0.4,C180&lt;&gt;""),IF(MATCH(A180, 'weekly price'!A:A, 0), INDEX('weekly price'!J:J, MATCH(A180, 'weekly price'!A:A, 0)), "No Match")-(2*D180),IF(MATCH(A180, 'weekly price'!A:A, 0), INDEX('weekly price'!J:J, MATCH(A180, 'weekly price'!A:A, 0)), "No Match")-D180),"")</f>
        <v>-1.7580124779926265</v>
      </c>
      <c r="F180" s="44">
        <f t="array" aca="1" ref="F180" ca="1">IF(MATCH(A180, 'weekly price'!A:A, 0), INDEX('weekly price'!K:K, MATCH(A180, 'weekly price'!A:A, 0)), "No Match")</f>
        <v>-2</v>
      </c>
      <c r="G180" s="41">
        <f t="shared" ca="1" si="11"/>
        <v>-939.50311949815671</v>
      </c>
      <c r="H180" s="59">
        <f t="shared" ca="1" si="1"/>
        <v>-8.8716315485138936E-3</v>
      </c>
      <c r="I180" s="41">
        <f ca="1">IF(C180&lt;&gt;"",SUM($G$3:G180),"")</f>
        <v>50104.145565602266</v>
      </c>
      <c r="J180" s="41">
        <f t="shared" ca="1" si="8"/>
        <v>-142.54618917334642</v>
      </c>
      <c r="K180" s="43">
        <f t="shared" ca="1" si="3"/>
        <v>3.85475423939394</v>
      </c>
      <c r="L180" s="41">
        <f ca="1">IF(C180&lt;&gt;"",I180 / SUM($H$3:H180),"")</f>
        <v>21813.606781714319</v>
      </c>
      <c r="M180" s="59">
        <f t="shared" ca="1" si="5"/>
        <v>2.3607243457724621E-3</v>
      </c>
      <c r="N180" s="41">
        <v>250</v>
      </c>
      <c r="O180" s="41">
        <f ca="1">IF(C180&lt;&gt;"",SUM($N$3:N180) / SUM($M$3:M180),"")</f>
        <v>35421.285814374241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">
      <c r="A181" s="57">
        <v>45817</v>
      </c>
      <c r="B181" s="58">
        <v>179</v>
      </c>
      <c r="C181" s="41">
        <f t="array" aca="1" ref="C181" ca="1">IF(MATCH(A181, 'weekly price'!A:A, 0), INDEX('weekly price'!B:B, MATCH(A181, 'weekly price'!A:A, 0)), "No Match")</f>
        <v>110198.16</v>
      </c>
      <c r="D181" s="43">
        <f ca="1">IF(C181&lt;&gt;"",(C181-$C$3)/$C$3,"")</f>
        <v>1.6352478657005525</v>
      </c>
      <c r="E181" s="43">
        <f t="array" aca="1" ref="E181" ca="1">IF(C181&lt;&gt;"",IF(AND(D181&lt;-0.4,C181&lt;&gt;""),IF(MATCH(A181, 'weekly price'!A:A, 0), INDEX('weekly price'!J:J, MATCH(A181, 'weekly price'!A:A, 0)), "No Match")-(2*D181),IF(MATCH(A181, 'weekly price'!A:A, 0), INDEX('weekly price'!J:J, MATCH(A181, 'weekly price'!A:A, 0)), "No Match")-D181),"")</f>
        <v>-1.8749345830673503</v>
      </c>
      <c r="F181" s="44">
        <f t="array" aca="1" ref="F181" ca="1">IF(MATCH(A181, 'weekly price'!A:A, 0), INDEX('weekly price'!K:K, MATCH(A181, 'weekly price'!A:A, 0)), "No Match")</f>
        <v>-2</v>
      </c>
      <c r="G181" s="41">
        <f t="shared" ca="1" si="11"/>
        <v>-968.73364576683764</v>
      </c>
      <c r="H181" s="59">
        <f t="shared" ca="1" si="1"/>
        <v>-8.7908332205078338E-3</v>
      </c>
      <c r="I181" s="41">
        <f ca="1">IF(C181&lt;&gt;"",SUM($G$3:G181),"")</f>
        <v>49135.411919835431</v>
      </c>
      <c r="J181" s="41">
        <f t="shared" ca="1" si="8"/>
        <v>796.95693032481029</v>
      </c>
      <c r="K181" s="43">
        <f t="shared" ca="1" si="3"/>
        <v>4.1316921017015451</v>
      </c>
      <c r="L181" s="41">
        <f ca="1">IF(C181&lt;&gt;"",I181 / SUM($H$3:H181),"")</f>
        <v>21474.039715566909</v>
      </c>
      <c r="M181" s="59">
        <f t="shared" ca="1" si="5"/>
        <v>2.2686404201304267E-3</v>
      </c>
      <c r="N181" s="41">
        <v>250</v>
      </c>
      <c r="O181" s="41">
        <f ca="1">IF(C181&lt;&gt;"",SUM($N$3:N181) / SUM($M$3:M181),"")</f>
        <v>35556.074594068232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">
      <c r="A182" s="57">
        <v>45824</v>
      </c>
      <c r="B182" s="58">
        <v>180</v>
      </c>
      <c r="C182" s="41">
        <f t="array" aca="1" ref="C182" ca="1">IF(MATCH(A182, 'weekly price'!A:A, 0), INDEX('weekly price'!B:B, MATCH(A182, 'weekly price'!A:A, 0)), "No Match")</f>
        <v>107243.93</v>
      </c>
      <c r="D182" s="43">
        <f ca="1">IF(C182&lt;&gt;"",(C182-$C$3)/$C$3,"")</f>
        <v>1.5646012387306596</v>
      </c>
      <c r="E182" s="43">
        <f t="array" aca="1" ref="E182" ca="1">IF(C182&lt;&gt;"",IF(AND(D182&lt;-0.4,C182&lt;&gt;""),IF(MATCH(A182, 'weekly price'!A:A, 0), INDEX('weekly price'!J:J, MATCH(A182, 'weekly price'!A:A, 0)), "No Match")-(2*D182),IF(MATCH(A182, 'weekly price'!A:A, 0), INDEX('weekly price'!J:J, MATCH(A182, 'weekly price'!A:A, 0)), "No Match")-D182),"")</f>
        <v>-1.7698930746643184</v>
      </c>
      <c r="F182" s="44">
        <f t="array" aca="1" ref="F182" ca="1">IF(MATCH(A182, 'weekly price'!A:A, 0), INDEX('weekly price'!K:K, MATCH(A182, 'weekly price'!A:A, 0)), "No Match")</f>
        <v>-2</v>
      </c>
      <c r="G182" s="41">
        <f t="shared" ca="1" si="11"/>
        <v>-942.47326866607966</v>
      </c>
      <c r="H182" s="59">
        <f t="shared" ca="1" si="1"/>
        <v>-8.7881269239767669E-3</v>
      </c>
      <c r="I182" s="41">
        <f ca="1">IF(C182&lt;&gt;"",SUM($G$3:G182),"")</f>
        <v>48192.938651169352</v>
      </c>
      <c r="J182" s="41">
        <f t="shared" ca="1" si="8"/>
        <v>1765.6905760916479</v>
      </c>
      <c r="K182" s="43">
        <f t="shared" ca="1" si="3"/>
        <v>4.0722299604180012</v>
      </c>
      <c r="L182" s="41">
        <f ca="1">IF(C182&lt;&gt;"",I182 / SUM($H$3:H182),"")</f>
        <v>21143.349342773501</v>
      </c>
      <c r="M182" s="59">
        <f t="shared" ca="1" si="5"/>
        <v>2.3311342655943324E-3</v>
      </c>
      <c r="N182" s="41">
        <v>250</v>
      </c>
      <c r="O182" s="41">
        <f ca="1">IF(C182&lt;&gt;"",SUM($N$3:N182) / SUM($M$3:M182),"")</f>
        <v>35688.609412963779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">
      <c r="A183" s="57">
        <v>45831</v>
      </c>
      <c r="B183" s="58">
        <v>181</v>
      </c>
      <c r="C183" s="41">
        <f t="array" aca="1" ref="C183" ca="1">IF(MATCH(A183, 'weekly price'!A:A, 0), INDEX('weekly price'!B:B, MATCH(A183, 'weekly price'!A:A, 0)), "No Match")</f>
        <v>105496.95</v>
      </c>
      <c r="D183" s="43">
        <f ca="1">IF(C183&lt;&gt;"",(C183-$C$3)/$C$3,"")</f>
        <v>1.522824449386613</v>
      </c>
      <c r="E183" s="43">
        <f t="array" aca="1" ref="E183" ca="1">IF(C183&lt;&gt;"",IF(AND(D183&lt;-0.4,C183&lt;&gt;""),IF(MATCH(A183, 'weekly price'!A:A, 0), INDEX('weekly price'!J:J, MATCH(A183, 'weekly price'!A:A, 0)), "No Match")-(2*D183),IF(MATCH(A183, 'weekly price'!A:A, 0), INDEX('weekly price'!J:J, MATCH(A183, 'weekly price'!A:A, 0)), "No Match")-D183),"")</f>
        <v>-0.52282444938661299</v>
      </c>
      <c r="F183" s="44" t="str">
        <f t="array" aca="1" ref="F183" ca="1">IF(MATCH(A183, 'weekly price'!A:A, 0), INDEX('weekly price'!K:K, MATCH(A183, 'weekly price'!A:A, 0)), "No Match")</f>
        <v/>
      </c>
      <c r="G183" s="41">
        <f t="shared" ca="1" si="11"/>
        <v>119.29388765334676</v>
      </c>
      <c r="H183" s="59">
        <f t="shared" ca="1" si="1"/>
        <v>1.1307804410776497E-3</v>
      </c>
      <c r="I183" s="41">
        <f ca="1">IF(C183&lt;&gt;"",SUM($G$3:G183),"")</f>
        <v>48312.232538822696</v>
      </c>
      <c r="J183" s="41">
        <f t="shared" ca="1" si="8"/>
        <v>2708.1638447577275</v>
      </c>
      <c r="K183" s="43">
        <f t="shared" ca="1" si="3"/>
        <v>3.9797532109146974</v>
      </c>
      <c r="L183" s="41">
        <f ca="1">IF(C183&lt;&gt;"",I183 / SUM($H$3:H183),"")</f>
        <v>21185.176359497134</v>
      </c>
      <c r="M183" s="59">
        <f t="shared" ca="1" si="5"/>
        <v>2.3697367554227871E-3</v>
      </c>
      <c r="N183" s="41">
        <v>250</v>
      </c>
      <c r="O183" s="41">
        <f ca="1">IF(C183&lt;&gt;"",SUM($N$3:N183) / SUM($M$3:M183),"")</f>
        <v>35819.560494118807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">
      <c r="A184" s="57">
        <v>45838</v>
      </c>
      <c r="B184" s="58">
        <v>182</v>
      </c>
      <c r="C184" s="41">
        <f t="array" aca="1" ref="C184" ca="1">IF(MATCH(A184, 'weekly price'!A:A, 0), INDEX('weekly price'!B:B, MATCH(A184, 'weekly price'!A:A, 0)), "No Match")</f>
        <v>107153.1</v>
      </c>
      <c r="D184" s="43">
        <f ca="1">IF(C184&lt;&gt;"",(C184-$C$3)/$C$3,"")</f>
        <v>1.5624291556065717</v>
      </c>
      <c r="E184" s="43">
        <f t="array" aca="1" ref="E184" ca="1">IF(C184&lt;&gt;"",IF(AND(D184&lt;-0.4,C184&lt;&gt;""),IF(MATCH(A184, 'weekly price'!A:A, 0), INDEX('weekly price'!J:J, MATCH(A184, 'weekly price'!A:A, 0)), "No Match")-(2*D184),IF(MATCH(A184, 'weekly price'!A:A, 0), INDEX('weekly price'!J:J, MATCH(A184, 'weekly price'!A:A, 0)), "No Match")-D184),"")</f>
        <v>-0.5624291556065717</v>
      </c>
      <c r="F184" s="44" t="str">
        <f t="array" aca="1" ref="F184" ca="1">IF(MATCH(A184, 'weekly price'!A:A, 0), INDEX('weekly price'!K:K, MATCH(A184, 'weekly price'!A:A, 0)), "No Match")</f>
        <v/>
      </c>
      <c r="G184" s="41">
        <f t="shared" ca="1" si="11"/>
        <v>109.39271109835708</v>
      </c>
      <c r="H184" s="59">
        <f t="shared" ca="1" si="1"/>
        <v>1.0209010387786921E-3</v>
      </c>
      <c r="I184" s="41">
        <f ca="1">IF(C184&lt;&gt;"",SUM($G$3:G184),"")</f>
        <v>48421.625249921053</v>
      </c>
      <c r="J184" s="41">
        <f t="shared" ca="1" si="8"/>
        <v>2588.8699571043808</v>
      </c>
      <c r="K184" s="43">
        <f t="shared" ca="1" si="3"/>
        <v>4.0487606041721769</v>
      </c>
      <c r="L184" s="41">
        <f ca="1">IF(C184&lt;&gt;"",I184 / SUM($H$3:H184),"")</f>
        <v>21223.644454730376</v>
      </c>
      <c r="M184" s="59">
        <f t="shared" ca="1" si="5"/>
        <v>2.3331102879898015E-3</v>
      </c>
      <c r="N184" s="41">
        <v>250</v>
      </c>
      <c r="O184" s="41">
        <f ca="1">IF(C184&lt;&gt;"",SUM($N$3:N184) / SUM($M$3:M184),"")</f>
        <v>35951.061587847842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">
      <c r="A185" s="57">
        <v>45845</v>
      </c>
      <c r="B185" s="58">
        <v>183</v>
      </c>
      <c r="C185" s="41">
        <f t="array" aca="1" ref="C185" ca="1">IF(MATCH(A185, 'weekly price'!A:A, 0), INDEX('weekly price'!B:B, MATCH(A185, 'weekly price'!A:A, 0)), "No Match")</f>
        <v>108249.4</v>
      </c>
      <c r="D185" s="43">
        <f ca="1">IF(C185&lt;&gt;"",(C185-$C$3)/$C$3,"")</f>
        <v>1.5886457660759976</v>
      </c>
      <c r="E185" s="43">
        <f t="array" aca="1" ref="E185" ca="1">IF(C185&lt;&gt;"",IF(AND(D185&lt;-0.4,C185&lt;&gt;""),IF(MATCH(A185, 'weekly price'!A:A, 0), INDEX('weekly price'!J:J, MATCH(A185, 'weekly price'!A:A, 0)), "No Match")-(2*D185),IF(MATCH(A185, 'weekly price'!A:A, 0), INDEX('weekly price'!J:J, MATCH(A185, 'weekly price'!A:A, 0)), "No Match")-D185),"")</f>
        <v>-0.58864576607599761</v>
      </c>
      <c r="F185" s="44" t="str">
        <f t="array" aca="1" ref="F185" ca="1">IF(MATCH(A185, 'weekly price'!A:A, 0), INDEX('weekly price'!K:K, MATCH(A185, 'weekly price'!A:A, 0)), "No Match")</f>
        <v/>
      </c>
      <c r="G185" s="41">
        <f t="shared" ca="1" si="11"/>
        <v>102.8385584810006</v>
      </c>
      <c r="H185" s="59">
        <f t="shared" ca="1" si="1"/>
        <v>9.5001504378777724E-4</v>
      </c>
      <c r="I185" s="41">
        <f ca="1">IF(C185&lt;&gt;"",SUM($G$3:G185),"")</f>
        <v>48524.463808402055</v>
      </c>
      <c r="J185" s="41">
        <f t="shared" ca="1" si="8"/>
        <v>2479.4772460060235</v>
      </c>
      <c r="K185" s="43">
        <f t="shared" ca="1" si="3"/>
        <v>4.0917251916333397</v>
      </c>
      <c r="L185" s="41">
        <f ca="1">IF(C185&lt;&gt;"",I185 / SUM($H$3:H185),"")</f>
        <v>21259.866926415056</v>
      </c>
      <c r="M185" s="59">
        <f t="shared" ca="1" si="5"/>
        <v>2.3094816229928296E-3</v>
      </c>
      <c r="N185" s="41">
        <v>250</v>
      </c>
      <c r="O185" s="41">
        <f ca="1">IF(C185&lt;&gt;"",SUM($N$3:N185) / SUM($M$3:M185),"")</f>
        <v>36082.751155530343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">
      <c r="A186" s="57">
        <v>45852</v>
      </c>
      <c r="B186" s="58">
        <v>184</v>
      </c>
      <c r="C186" s="41">
        <f t="array" aca="1" ref="C186" ca="1">IF(MATCH(A186, 'weekly price'!A:A, 0), INDEX('weekly price'!B:B, MATCH(A186, 'weekly price'!A:A, 0)), "No Match")</f>
        <v>119871.1</v>
      </c>
      <c r="D186" s="43">
        <f ca="1">IF(C186&lt;&gt;"",(C186-$C$3)/$C$3,"")</f>
        <v>1.8665638376736735</v>
      </c>
      <c r="E186" s="43">
        <f t="array" aca="1" ref="E186" ca="1">IF(C186&lt;&gt;"",IF(AND(D186&lt;-0.4,C186&lt;&gt;""),IF(MATCH(A186, 'weekly price'!A:A, 0), INDEX('weekly price'!J:J, MATCH(A186, 'weekly price'!A:A, 0)), "No Match")-(2*D186),IF(MATCH(A186, 'weekly price'!A:A, 0), INDEX('weekly price'!J:J, MATCH(A186, 'weekly price'!A:A, 0)), "No Match")-D186),"")</f>
        <v>-2.337227868105535</v>
      </c>
      <c r="F186" s="44">
        <f t="array" aca="1" ref="F186" ca="1">IF(MATCH(A186, 'weekly price'!A:A, 0), INDEX('weekly price'!K:K, MATCH(A186, 'weekly price'!A:A, 0)), "No Match")</f>
        <v>-3</v>
      </c>
      <c r="G186" s="41">
        <f t="shared" ca="1" si="11"/>
        <v>-1334.3069670263835</v>
      </c>
      <c r="H186" s="59">
        <f t="shared" ca="1" si="1"/>
        <v>-1.1131181469314818E-2</v>
      </c>
      <c r="I186" s="41">
        <f ca="1">IF(C186&lt;&gt;"",SUM($G$3:G186),"")</f>
        <v>47190.156841375669</v>
      </c>
      <c r="J186" s="41">
        <f t="shared" ca="1" si="8"/>
        <v>2376.6386875250228</v>
      </c>
      <c r="K186" s="43">
        <f t="shared" ca="1" si="3"/>
        <v>4.7695254668327083</v>
      </c>
      <c r="L186" s="41">
        <f ca="1">IF(C186&lt;&gt;"",I186 / SUM($H$3:H186),"")</f>
        <v>20776.596045741269</v>
      </c>
      <c r="M186" s="59">
        <f t="shared" ca="1" si="5"/>
        <v>2.0855735869613275E-3</v>
      </c>
      <c r="N186" s="41">
        <v>250</v>
      </c>
      <c r="O186" s="41">
        <f ca="1">IF(C186&lt;&gt;"",SUM($N$3:N186) / SUM($M$3:M186),"")</f>
        <v>36220.346557037745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">
      <c r="A187" s="57">
        <v>45859</v>
      </c>
      <c r="B187" s="58">
        <v>185</v>
      </c>
      <c r="C187" s="41">
        <f t="array" aca="1" ref="C187" ca="1">IF(MATCH(A187, 'weekly price'!A:A, 0), INDEX('weekly price'!B:B, MATCH(A187, 'weekly price'!A:A, 0)), "No Match")</f>
        <v>117432.44</v>
      </c>
      <c r="D187" s="43">
        <f ca="1">IF(C187&lt;&gt;"",(C187-$C$3)/$C$3,"")</f>
        <v>1.8082464069636752</v>
      </c>
      <c r="E187" s="43">
        <f t="array" aca="1" ref="E187" ca="1">IF(C187&lt;&gt;"",IF(AND(D187&lt;-0.4,C187&lt;&gt;""),IF(MATCH(A187, 'weekly price'!A:A, 0), INDEX('weekly price'!J:J, MATCH(A187, 'weekly price'!A:A, 0)), "No Match")-(2*D187),IF(MATCH(A187, 'weekly price'!A:A, 0), INDEX('weekly price'!J:J, MATCH(A187, 'weekly price'!A:A, 0)), "No Match")-D187),"")</f>
        <v>-1.998307241485727</v>
      </c>
      <c r="F187" s="44">
        <f t="array" aca="1" ref="F187" ca="1">IF(MATCH(A187, 'weekly price'!A:A, 0), INDEX('weekly price'!K:K, MATCH(A187, 'weekly price'!A:A, 0)), "No Match")</f>
        <v>-2</v>
      </c>
      <c r="G187" s="41">
        <f t="shared" ca="1" si="11"/>
        <v>-999.57681037143175</v>
      </c>
      <c r="H187" s="59">
        <f t="shared" ca="1" si="1"/>
        <v>-8.5119308631535859E-3</v>
      </c>
      <c r="I187" s="41">
        <f ca="1">IF(C187&lt;&gt;"",SUM($G$3:G187),"")</f>
        <v>46190.58003100424</v>
      </c>
      <c r="J187" s="41">
        <f t="shared" ca="1" si="8"/>
        <v>3710.9456545514063</v>
      </c>
      <c r="K187" s="43">
        <f t="shared" ca="1" si="3"/>
        <v>4.7528239317212613</v>
      </c>
      <c r="L187" s="41">
        <f ca="1">IF(C187&lt;&gt;"",I187 / SUM($H$3:H187),"")</f>
        <v>20413.007836459874</v>
      </c>
      <c r="M187" s="59">
        <f t="shared" ca="1" si="5"/>
        <v>2.1288836372641154E-3</v>
      </c>
      <c r="N187" s="41">
        <v>250</v>
      </c>
      <c r="O187" s="41">
        <f ca="1">IF(C187&lt;&gt;"",SUM($N$3:N187) / SUM($M$3:M187),"")</f>
        <v>36356.252988553206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">
      <c r="A188" s="57">
        <v>45866</v>
      </c>
      <c r="B188" s="58">
        <v>186</v>
      </c>
      <c r="C188" s="41">
        <f t="array" aca="1" ref="C188" ca="1">IF(MATCH(A188, 'weekly price'!A:A, 0), INDEX('weekly price'!B:B, MATCH(A188, 'weekly price'!A:A, 0)), "No Match")</f>
        <v>118022.64</v>
      </c>
      <c r="D188" s="43">
        <f ca="1">IF(C188&lt;&gt;"",(C188-$C$3)/$C$3,"")</f>
        <v>1.8223602840949853</v>
      </c>
      <c r="E188" s="43">
        <f t="array" aca="1" ref="E188" ca="1">IF(C188&lt;&gt;"",IF(AND(D188&lt;-0.4,C188&lt;&gt;""),IF(MATCH(A188, 'weekly price'!A:A, 0), INDEX('weekly price'!J:J, MATCH(A188, 'weekly price'!A:A, 0)), "No Match")-(2*D188),IF(MATCH(A188, 'weekly price'!A:A, 0), INDEX('weekly price'!J:J, MATCH(A188, 'weekly price'!A:A, 0)), "No Match")-D188),"")</f>
        <v>-0.82236028409498529</v>
      </c>
      <c r="F188" s="44" t="str">
        <f t="array" aca="1" ref="F188" ca="1">IF(MATCH(A188, 'weekly price'!A:A, 0), INDEX('weekly price'!K:K, MATCH(A188, 'weekly price'!A:A, 0)), "No Match")</f>
        <v/>
      </c>
      <c r="G188" s="41">
        <f t="shared" ca="1" si="11"/>
        <v>44.409928976253674</v>
      </c>
      <c r="H188" s="59">
        <f t="shared" ca="1" si="1"/>
        <v>3.7628313496676296E-4</v>
      </c>
      <c r="I188" s="41">
        <f ca="1">IF(C188&lt;&gt;"",SUM($G$3:G188),"")</f>
        <v>46234.989959980492</v>
      </c>
      <c r="J188" s="41">
        <f t="shared" ca="1" si="8"/>
        <v>4710.5224649228385</v>
      </c>
      <c r="K188" s="43">
        <f t="shared" ca="1" si="3"/>
        <v>4.777143883699952</v>
      </c>
      <c r="L188" s="41">
        <f ca="1">IF(C188&lt;&gt;"",I188 / SUM($H$3:H188),"")</f>
        <v>20429.236725953378</v>
      </c>
      <c r="M188" s="59">
        <f t="shared" ca="1" si="5"/>
        <v>2.1182376533858249E-3</v>
      </c>
      <c r="N188" s="41">
        <v>250</v>
      </c>
      <c r="O188" s="41">
        <f ca="1">IF(C188&lt;&gt;"",SUM($N$3:N188) / SUM($M$3:M188),"")</f>
        <v>36492.010184999774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">
      <c r="A189" s="57">
        <v>45873</v>
      </c>
      <c r="B189" s="58">
        <v>187</v>
      </c>
      <c r="C189" s="41">
        <f t="array" aca="1" ref="C189" ca="1">IF(MATCH(A189, 'weekly price'!A:A, 0), INDEX('weekly price'!B:B, MATCH(A189, 'weekly price'!A:A, 0)), "No Match")</f>
        <v>115199.93</v>
      </c>
      <c r="D189" s="43">
        <f ca="1">IF(C189&lt;&gt;"",(C189-$C$3)/$C$3,"")</f>
        <v>1.7548587894875289</v>
      </c>
      <c r="E189" s="43">
        <f t="array" aca="1" ref="E189" ca="1">IF(C189&lt;&gt;"",IF(AND(D189&lt;-0.4,C189&lt;&gt;""),IF(MATCH(A189, 'weekly price'!A:A, 0), INDEX('weekly price'!J:J, MATCH(A189, 'weekly price'!A:A, 0)), "No Match")-(2*D189),IF(MATCH(A189, 'weekly price'!A:A, 0), INDEX('weekly price'!J:J, MATCH(A189, 'weekly price'!A:A, 0)), "No Match")-D189),"")</f>
        <v>-0.75485878948752894</v>
      </c>
      <c r="F189" s="44" t="str">
        <f t="array" aca="1" ref="F189" ca="1">IF(MATCH(A189, 'weekly price'!A:A, 0), INDEX('weekly price'!K:K, MATCH(A189, 'weekly price'!A:A, 0)), "No Match")</f>
        <v/>
      </c>
      <c r="G189" s="41">
        <f t="shared" ca="1" si="11"/>
        <v>61.285302628117769</v>
      </c>
      <c r="H189" s="59">
        <f t="shared" ca="1" si="1"/>
        <v>5.3199079746070834E-4</v>
      </c>
      <c r="I189" s="41">
        <f ca="1">IF(C189&lt;&gt;"",SUM($G$3:G189),"")</f>
        <v>46296.275262608608</v>
      </c>
      <c r="J189" s="41">
        <f t="shared" ca="1" si="8"/>
        <v>4666.112535946585</v>
      </c>
      <c r="K189" s="43">
        <f t="shared" ca="1" si="3"/>
        <v>4.6328328656289006</v>
      </c>
      <c r="L189" s="41">
        <f ca="1">IF(C189&lt;&gt;"",I189 / SUM($H$3:H189),"")</f>
        <v>20451.508636611754</v>
      </c>
      <c r="M189" s="59">
        <f t="shared" ca="1" si="5"/>
        <v>2.1701402075504734E-3</v>
      </c>
      <c r="N189" s="41">
        <v>250</v>
      </c>
      <c r="O189" s="41">
        <f ca="1">IF(C189&lt;&gt;"",SUM($N$3:N189) / SUM($M$3:M189),"")</f>
        <v>36625.827421683309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">
      <c r="A190" s="57">
        <v>45880</v>
      </c>
      <c r="B190" s="58">
        <v>188</v>
      </c>
      <c r="C190" s="41">
        <f t="array" aca="1" ref="C190" ca="1">IF(MATCH(A190, 'weekly price'!A:A, 0), INDEX('weekly price'!B:B, MATCH(A190, 'weekly price'!A:A, 0)), "No Match")</f>
        <v>118742.04</v>
      </c>
      <c r="D190" s="43">
        <f ca="1">IF(C190&lt;&gt;"",(C190-$C$3)/$C$3,"")</f>
        <v>1.8395638137599539</v>
      </c>
      <c r="E190" s="43">
        <f t="array" aca="1" ref="E190" ca="1">IF(C190&lt;&gt;"",IF(AND(D190&lt;-0.4,C190&lt;&gt;""),IF(MATCH(A190, 'weekly price'!A:A, 0), INDEX('weekly price'!J:J, MATCH(A190, 'weekly price'!A:A, 0)), "No Match")-(2*D190),IF(MATCH(A190, 'weekly price'!A:A, 0), INDEX('weekly price'!J:J, MATCH(A190, 'weekly price'!A:A, 0)), "No Match")-D190),"")</f>
        <v>-0.83956381375995393</v>
      </c>
      <c r="F190" s="44" t="str">
        <f t="array" aca="1" ref="F190" ca="1">IF(MATCH(A190, 'weekly price'!A:A, 0), INDEX('weekly price'!K:K, MATCH(A190, 'weekly price'!A:A, 0)), "No Match")</f>
        <v/>
      </c>
      <c r="G190" s="41">
        <f t="shared" ca="1" si="11"/>
        <v>40.109046560011521</v>
      </c>
      <c r="H190" s="59">
        <f t="shared" ca="1" si="1"/>
        <v>3.3778303421443259E-4</v>
      </c>
      <c r="I190" s="41">
        <f ca="1">IF(C190&lt;&gt;"",SUM($G$3:G190),"")</f>
        <v>46336.384309168621</v>
      </c>
      <c r="J190" s="41">
        <f t="shared" ca="1" si="8"/>
        <v>4604.8272333184668</v>
      </c>
      <c r="K190" s="43">
        <f t="shared" ca="1" si="3"/>
        <v>4.801868275185222</v>
      </c>
      <c r="L190" s="41">
        <f ca="1">IF(C190&lt;&gt;"",I190 / SUM($H$3:H190),"")</f>
        <v>20466.173027033987</v>
      </c>
      <c r="M190" s="59">
        <f t="shared" ca="1" si="5"/>
        <v>2.1054042864683815E-3</v>
      </c>
      <c r="N190" s="41">
        <v>250</v>
      </c>
      <c r="O190" s="41">
        <f ca="1">IF(C190&lt;&gt;"",SUM($N$3:N190) / SUM($M$3:M190),"")</f>
        <v>36761.051640786412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">
      <c r="A191" s="57">
        <v>45887</v>
      </c>
      <c r="B191" s="58">
        <v>189</v>
      </c>
      <c r="C191" s="41">
        <f t="array" aca="1" ref="C191" ca="1">IF(MATCH(A191, 'weekly price'!A:A, 0), INDEX('weekly price'!B:B, MATCH(A191, 'weekly price'!A:A, 0)), "No Match")</f>
        <v>116312.91</v>
      </c>
      <c r="D191" s="43">
        <f ca="1">IF(C191&lt;&gt;"",(C191-$C$3)/$C$3,"")</f>
        <v>1.781474280794892</v>
      </c>
      <c r="E191" s="43">
        <f t="array" aca="1" ref="E191" ca="1">IF(C191&lt;&gt;"",IF(AND(D191&lt;-0.4,C191&lt;&gt;""),IF(MATCH(A191, 'weekly price'!A:A, 0), INDEX('weekly price'!J:J, MATCH(A191, 'weekly price'!A:A, 0)), "No Match")-(2*D191),IF(MATCH(A191, 'weekly price'!A:A, 0), INDEX('weekly price'!J:J, MATCH(A191, 'weekly price'!A:A, 0)), "No Match")-D191),"")</f>
        <v>-0.78147428079489201</v>
      </c>
      <c r="F191" s="44" t="str">
        <f t="array" aca="1" ref="F191" ca="1">IF(MATCH(A191, 'weekly price'!A:A, 0), INDEX('weekly price'!K:K, MATCH(A191, 'weekly price'!A:A, 0)), "No Match")</f>
        <v/>
      </c>
      <c r="G191" s="41">
        <f t="shared" ca="1" si="11"/>
        <v>54.631429801277001</v>
      </c>
      <c r="H191" s="59">
        <f t="shared" ca="1" si="1"/>
        <v>4.6969360324040558E-4</v>
      </c>
      <c r="I191" s="41">
        <f ca="1">IF(C191&lt;&gt;"",SUM($G$3:G191),"")</f>
        <v>46391.015738969902</v>
      </c>
      <c r="J191" s="41">
        <f t="shared" ca="1" si="8"/>
        <v>4564.718186758455</v>
      </c>
      <c r="K191" s="43">
        <f t="shared" ca="1" si="3"/>
        <v>4.6776632299176315</v>
      </c>
      <c r="L191" s="41">
        <f ca="1">IF(C191&lt;&gt;"",I191 / SUM($H$3:H191),"")</f>
        <v>20486.053027433158</v>
      </c>
      <c r="M191" s="59">
        <f t="shared" ca="1" si="5"/>
        <v>2.1493744761437055E-3</v>
      </c>
      <c r="N191" s="41">
        <v>250</v>
      </c>
      <c r="O191" s="41">
        <f ca="1">IF(C191&lt;&gt;"",SUM($N$3:N191) / SUM($M$3:M191),"")</f>
        <v>36894.564467803059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">
      <c r="A192" s="57">
        <v>45894</v>
      </c>
      <c r="B192" s="58">
        <v>190</v>
      </c>
      <c r="C192" s="41">
        <f t="array" aca="1" ref="C192" ca="1">IF(MATCH(A192, 'weekly price'!A:A, 0), INDEX('weekly price'!B:B, MATCH(A192, 'weekly price'!A:A, 0)), "No Match")</f>
        <v>110089.53</v>
      </c>
      <c r="D192" s="43">
        <f ca="1">IF(C192&lt;&gt;"",(C192-$C$3)/$C$3,"")</f>
        <v>1.6326501183729105</v>
      </c>
      <c r="E192" s="43">
        <f t="array" aca="1" ref="E192" ca="1">IF(C192&lt;&gt;"",IF(AND(D192&lt;-0.4,C192&lt;&gt;""),IF(MATCH(A192, 'weekly price'!A:A, 0), INDEX('weekly price'!J:J, MATCH(A192, 'weekly price'!A:A, 0)), "No Match")-(2*D192),IF(MATCH(A192, 'weekly price'!A:A, 0), INDEX('weekly price'!J:J, MATCH(A192, 'weekly price'!A:A, 0)), "No Match")-D192),"")</f>
        <v>-0.63265011837291052</v>
      </c>
      <c r="F192" s="44" t="str">
        <f t="array" aca="1" ref="F192" ca="1">IF(MATCH(A192, 'weekly price'!A:A, 0), INDEX('weekly price'!K:K, MATCH(A192, 'weekly price'!A:A, 0)), "No Match")</f>
        <v/>
      </c>
      <c r="G192" s="41">
        <f t="shared" ca="1" si="11"/>
        <v>91.837470406772368</v>
      </c>
      <c r="H192" s="59">
        <f t="shared" ca="1" si="1"/>
        <v>8.3420712584359629E-4</v>
      </c>
      <c r="I192" s="41">
        <f ca="1">IF(C192&lt;&gt;"",SUM($G$3:G192),"")</f>
        <v>46482.853209376677</v>
      </c>
      <c r="J192" s="41">
        <f t="shared" ca="1" si="8"/>
        <v>4510.0867569571783</v>
      </c>
      <c r="K192" s="43">
        <f t="shared" ca="1" si="3"/>
        <v>4.3652354488469136</v>
      </c>
      <c r="L192" s="41">
        <f ca="1">IF(C192&lt;&gt;"",I192 / SUM($H$3:H192),"")</f>
        <v>20519.049173072217</v>
      </c>
      <c r="M192" s="59">
        <f t="shared" ca="1" si="5"/>
        <v>2.2708789836781026E-3</v>
      </c>
      <c r="N192" s="41">
        <v>250</v>
      </c>
      <c r="O192" s="41">
        <f ca="1">IF(C192&lt;&gt;"",SUM($N$3:N192) / SUM($M$3:M192),"")</f>
        <v>37024.123105671875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">
      <c r="A193" s="57">
        <v>45901</v>
      </c>
      <c r="B193" s="58">
        <v>191</v>
      </c>
      <c r="C193" s="41">
        <f t="array" aca="1" ref="C193" ca="1">IF(MATCH(A193, 'weekly price'!A:A, 0), INDEX('weekly price'!B:B, MATCH(A193, 'weekly price'!A:A, 0)), "No Match")</f>
        <v>108992.32000000001</v>
      </c>
      <c r="D193" s="43">
        <f ca="1">IF(C193&lt;&gt;"",(C193-$C$3)/$C$3,"")</f>
        <v>1.6064117464189207</v>
      </c>
      <c r="E193" s="43">
        <f t="array" aca="1" ref="E193" ca="1">IF(C193&lt;&gt;"",IF(AND(D193&lt;-0.4,C193&lt;&gt;""),IF(MATCH(A193, 'weekly price'!A:A, 0), INDEX('weekly price'!J:J, MATCH(A193, 'weekly price'!A:A, 0)), "No Match")-(2*D193),IF(MATCH(A193, 'weekly price'!A:A, 0), INDEX('weekly price'!J:J, MATCH(A193, 'weekly price'!A:A, 0)), "No Match")-D193),"")</f>
        <v>-0.60641174641892071</v>
      </c>
      <c r="F193" s="44" t="str">
        <f t="array" aca="1" ref="F193" ca="1">IF(MATCH(A193, 'weekly price'!A:A, 0), INDEX('weekly price'!K:K, MATCH(A193, 'weekly price'!A:A, 0)), "No Match")</f>
        <v/>
      </c>
      <c r="G193" s="41">
        <f t="shared" ca="1" si="11"/>
        <v>98.397063395269825</v>
      </c>
      <c r="H193" s="59">
        <f t="shared" ca="1" si="1"/>
        <v>9.0278896160087072E-4</v>
      </c>
      <c r="I193" s="41">
        <f ca="1">IF(C193&lt;&gt;"",SUM($G$3:G193),"")</f>
        <v>46581.250272771947</v>
      </c>
      <c r="J193" s="41">
        <f t="shared" ca="1" si="8"/>
        <v>4418.2492865504055</v>
      </c>
      <c r="K193" s="43">
        <f t="shared" ca="1" si="3"/>
        <v>4.3026546389443157</v>
      </c>
      <c r="L193" s="41">
        <f ca="1">IF(C193&lt;&gt;"",I193 / SUM($H$3:H193),"")</f>
        <v>20554.293541866202</v>
      </c>
      <c r="M193" s="59">
        <f t="shared" ca="1" si="5"/>
        <v>2.2937395955971943E-3</v>
      </c>
      <c r="N193" s="41">
        <v>250</v>
      </c>
      <c r="O193" s="41">
        <f ca="1">IF(C193&lt;&gt;"",SUM($N$3:N193) / SUM($M$3:M193),"")</f>
        <v>37152.563058567124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">
      <c r="A194" s="57">
        <v>45908</v>
      </c>
      <c r="B194" s="58">
        <v>192</v>
      </c>
      <c r="C194" s="41">
        <f t="array" aca="1" ref="C194" ca="1">IF(MATCH(A194, 'weekly price'!A:A, 0), INDEX('weekly price'!B:B, MATCH(A194, 'weekly price'!A:A, 0)), "No Match")</f>
        <v>112112.31</v>
      </c>
      <c r="D194" s="43">
        <f ca="1">IF(C194&lt;&gt;"",(C194-$C$3)/$C$3,"")</f>
        <v>1.6810223115001075</v>
      </c>
      <c r="E194" s="43">
        <f t="array" aca="1" ref="E194" ca="1">IF(C194&lt;&gt;"",IF(AND(D194&lt;-0.4,C194&lt;&gt;""),IF(MATCH(A194, 'weekly price'!A:A, 0), INDEX('weekly price'!J:J, MATCH(A194, 'weekly price'!A:A, 0)), "No Match")-(2*D194),IF(MATCH(A194, 'weekly price'!A:A, 0), INDEX('weekly price'!J:J, MATCH(A194, 'weekly price'!A:A, 0)), "No Match")-D194),"")</f>
        <v>-0.6810223115001075</v>
      </c>
      <c r="F194" s="44" t="str">
        <f t="array" aca="1" ref="F194" ca="1">IF(MATCH(A194, 'weekly price'!A:A, 0), INDEX('weekly price'!K:K, MATCH(A194, 'weekly price'!A:A, 0)), "No Match")</f>
        <v/>
      </c>
      <c r="G194" s="41">
        <f t="shared" ca="1" si="11"/>
        <v>79.744422124973127</v>
      </c>
      <c r="H194" s="59">
        <f t="shared" ca="1" si="1"/>
        <v>7.1129050971274364E-4</v>
      </c>
      <c r="I194" s="41">
        <f ca="1">IF(C194&lt;&gt;"",SUM($G$3:G194),"")</f>
        <v>46660.994694896923</v>
      </c>
      <c r="J194" s="41">
        <f t="shared" ca="1" si="8"/>
        <v>4319.852223155136</v>
      </c>
      <c r="K194" s="43">
        <f t="shared" ca="1" si="3"/>
        <v>4.4468345305579078</v>
      </c>
      <c r="L194" s="41">
        <f ca="1">IF(C194&lt;&gt;"",I194 / SUM($H$3:H194),"")</f>
        <v>20583.021087023288</v>
      </c>
      <c r="M194" s="59">
        <f t="shared" ca="1" si="5"/>
        <v>2.2299067783011516E-3</v>
      </c>
      <c r="N194" s="41">
        <v>250</v>
      </c>
      <c r="O194" s="41">
        <f ca="1">IF(C194&lt;&gt;"",SUM($N$3:N194) / SUM($M$3:M194),"")</f>
        <v>37282.393750260453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">
      <c r="A195" s="57">
        <v>45915</v>
      </c>
      <c r="B195" s="58">
        <v>193</v>
      </c>
      <c r="C195" s="41">
        <f t="array" aca="1" ref="C195" ca="1">IF(MATCH(A195, 'weekly price'!A:A, 0), INDEX('weekly price'!B:B, MATCH(A195, 'weekly price'!A:A, 0)), "No Match")</f>
        <v>115420.93</v>
      </c>
      <c r="D195" s="43">
        <f ca="1">IF(C195&lt;&gt;"",(C195-$C$3)/$C$3,"")</f>
        <v>1.7601437214529974</v>
      </c>
      <c r="E195" s="43">
        <f t="array" aca="1" ref="E195" ca="1">IF(C195&lt;&gt;"",IF(AND(D195&lt;-0.4,C195&lt;&gt;""),IF(MATCH(A195, 'weekly price'!A:A, 0), INDEX('weekly price'!J:J, MATCH(A195, 'weekly price'!A:A, 0)), "No Match")-(2*D195),IF(MATCH(A195, 'weekly price'!A:A, 0), INDEX('weekly price'!J:J, MATCH(A195, 'weekly price'!A:A, 0)), "No Match")-D195),"")</f>
        <v>-0.76014372145299736</v>
      </c>
      <c r="F195" s="44" t="str">
        <f t="array" aca="1" ref="F195" ca="1">IF(MATCH(A195, 'weekly price'!A:A, 0), INDEX('weekly price'!K:K, MATCH(A195, 'weekly price'!A:A, 0)), "No Match")</f>
        <v/>
      </c>
      <c r="G195" s="41">
        <f t="shared" ca="1" si="11"/>
        <v>59.964069636750658</v>
      </c>
      <c r="H195" s="59">
        <f t="shared" ca="1" si="1"/>
        <v>5.1952509511706988E-4</v>
      </c>
      <c r="I195" s="41">
        <f ca="1">IF(C195&lt;&gt;"",SUM($G$3:G195),"")</f>
        <v>46720.958764533672</v>
      </c>
      <c r="J195" s="41">
        <f t="shared" ca="1" si="8"/>
        <v>4240.1078010301626</v>
      </c>
      <c r="K195" s="43">
        <f t="shared" ca="1" si="3"/>
        <v>4.6016660375783882</v>
      </c>
      <c r="L195" s="41">
        <f ca="1">IF(C195&lt;&gt;"",I195 / SUM($H$3:H195),"")</f>
        <v>20604.750305660262</v>
      </c>
      <c r="M195" s="59">
        <f t="shared" ca="1" si="5"/>
        <v>2.1659849734359271E-3</v>
      </c>
      <c r="N195" s="41">
        <v>250</v>
      </c>
      <c r="O195" s="41">
        <f ca="1">IF(C195&lt;&gt;"",SUM($N$3:N195) / SUM($M$3:M195),"")</f>
        <v>37413.629826787968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">
      <c r="A196" s="57">
        <v>45922</v>
      </c>
      <c r="B196" s="58">
        <v>194</v>
      </c>
      <c r="C196" s="41">
        <f t="array" aca="1" ref="C196" ca="1">IF(MATCH(A196, 'weekly price'!A:A, 0), INDEX('weekly price'!B:B, MATCH(A196, 'weekly price'!A:A, 0)), "No Match")</f>
        <v>117014.43</v>
      </c>
      <c r="D196" s="43">
        <f ca="1">IF(C196&lt;&gt;"",(C196-$C$3)/$C$3,"")</f>
        <v>1.7982502331587631</v>
      </c>
      <c r="E196" s="43">
        <f t="array" aca="1" ref="E196" ca="1">IF(C196&lt;&gt;"",IF(AND(D196&lt;-0.4,C196&lt;&gt;""),IF(MATCH(A196, 'weekly price'!A:A, 0), INDEX('weekly price'!J:J, MATCH(A196, 'weekly price'!A:A, 0)), "No Match")-(2*D196),IF(MATCH(A196, 'weekly price'!A:A, 0), INDEX('weekly price'!J:J, MATCH(A196, 'weekly price'!A:A, 0)), "No Match")-D196),"")</f>
        <v>-0.79825023315876309</v>
      </c>
      <c r="F196" s="44" t="str">
        <f t="array" aca="1" ref="F196" ca="1">IF(MATCH(A196, 'weekly price'!A:A, 0), INDEX('weekly price'!K:K, MATCH(A196, 'weekly price'!A:A, 0)), "No Match")</f>
        <v/>
      </c>
      <c r="G196" s="41">
        <f t="shared" ca="1" si="11"/>
        <v>50.43744171030923</v>
      </c>
      <c r="H196" s="59">
        <f t="shared" ca="1" si="1"/>
        <v>4.3103608427019839E-4</v>
      </c>
      <c r="I196" s="41">
        <f ca="1">IF(C196&lt;&gt;"",SUM($G$3:G196),"")</f>
        <v>46771.396206243982</v>
      </c>
      <c r="J196" s="41">
        <f t="shared" ca="1" si="8"/>
        <v>4180.1437313934121</v>
      </c>
      <c r="K196" s="43">
        <f t="shared" ca="1" si="3"/>
        <v>4.6739568197637444</v>
      </c>
      <c r="L196" s="41">
        <f ca="1">IF(C196&lt;&gt;"",I196 / SUM($H$3:H196),"")</f>
        <v>20623.073759111248</v>
      </c>
      <c r="M196" s="59">
        <f t="shared" ca="1" si="5"/>
        <v>2.1364886364869701E-3</v>
      </c>
      <c r="N196" s="41">
        <v>250</v>
      </c>
      <c r="O196" s="41">
        <f ca="1">IF(C196&lt;&gt;"",SUM($N$3:N196) / SUM($M$3:M196),"")</f>
        <v>37545.283101295994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">
      <c r="A197" s="3"/>
      <c r="B197" s="3"/>
      <c r="C197" s="3"/>
      <c r="D197" s="9"/>
      <c r="E197" s="3"/>
      <c r="F197" s="3"/>
      <c r="G197" s="3"/>
      <c r="H197" s="66"/>
      <c r="I197" s="3"/>
      <c r="J197" s="3"/>
      <c r="K197" s="9"/>
      <c r="L197" s="3"/>
      <c r="M197" s="66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45">
      <c r="A198" s="3"/>
      <c r="B198" s="3"/>
      <c r="C198" s="52" t="s">
        <v>52</v>
      </c>
      <c r="D198" s="55" t="s">
        <v>53</v>
      </c>
      <c r="E198" s="53" t="s">
        <v>54</v>
      </c>
      <c r="F198" s="52" t="s">
        <v>55</v>
      </c>
      <c r="G198" s="52" t="s">
        <v>56</v>
      </c>
      <c r="H198" s="53" t="s">
        <v>57</v>
      </c>
      <c r="I198" s="52" t="s">
        <v>58</v>
      </c>
      <c r="J198" s="52" t="s">
        <v>59</v>
      </c>
      <c r="K198" s="55" t="s">
        <v>60</v>
      </c>
      <c r="L198" s="80" t="s">
        <v>34</v>
      </c>
      <c r="M198" s="81"/>
      <c r="N198" s="30"/>
      <c r="O198" s="30"/>
      <c r="P198" s="30"/>
      <c r="Q198" s="30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">
      <c r="A199" s="67" t="s">
        <v>61</v>
      </c>
      <c r="B199" s="68"/>
      <c r="C199" s="41">
        <f t="shared" ref="C199:C201" ca="1" si="12">$Q$2*F199</f>
        <v>263434.55284312536</v>
      </c>
      <c r="D199" s="43">
        <f t="shared" ref="D199:D201" ca="1" si="13">IF(G199&lt;&gt;0,(C199-G199)/G199,"Risk Free")</f>
        <v>4.6323859070077713</v>
      </c>
      <c r="E199" s="41">
        <f t="shared" ref="E199:E201" ca="1" si="14">C199-G199</f>
        <v>216663.15663688138</v>
      </c>
      <c r="F199" s="69">
        <f ca="1">SUMIF('20222023 WDCA'!A3:A196,"&lt;="&amp;TODAY(),'20222023 WDCA'!$H$3:$H$196)</f>
        <v>2.2679158670797284</v>
      </c>
      <c r="G199" s="41">
        <f ca="1">SUMIF('20222023 WDCA'!A3:A196,"&lt;="&amp;TODAY(),'20222023 WDCA'!$G$3:$G$196)</f>
        <v>46771.396206243982</v>
      </c>
      <c r="H199" s="41">
        <f ca="1">G199/(TODAY()-'20222023 WDCA'!$A$3)</f>
        <v>34.41603841519057</v>
      </c>
      <c r="I199" s="41">
        <f t="shared" ref="I199:I201" ca="1" si="15">$P$6-G199</f>
        <v>5228.6037937560177</v>
      </c>
      <c r="J199" s="41">
        <f t="shared" ref="J199:J201" ca="1" si="16">IF(G199/F199&gt;0,G199/F199,0)</f>
        <v>20623.073759111248</v>
      </c>
      <c r="K199" s="59">
        <f t="shared" ref="K199:K201" ca="1" si="17">I199/$Q$2</f>
        <v>4.5013204906320568E-2</v>
      </c>
      <c r="L199" s="82">
        <f ca="1">(C201-G201)/G201</f>
        <v>1.7777485233278332</v>
      </c>
      <c r="M199" s="77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">
      <c r="A200" s="67" t="s">
        <v>62</v>
      </c>
      <c r="B200" s="68"/>
      <c r="C200" s="41">
        <f t="shared" ca="1" si="12"/>
        <v>150048.67108874026</v>
      </c>
      <c r="D200" s="43">
        <f t="shared" ca="1" si="13"/>
        <v>2.0937870327575312</v>
      </c>
      <c r="E200" s="41">
        <f t="shared" ca="1" si="14"/>
        <v>101548.67108874026</v>
      </c>
      <c r="F200" s="69">
        <f ca="1">SUMIF('20222023 WDCA'!A3:A196,"&lt;="&amp;TODAY(),'20222023 WDCA'!$M$3:$M$196)</f>
        <v>1.2917734531165612</v>
      </c>
      <c r="G200" s="41">
        <f ca="1">SUMIF('20222023 WDCA'!A3:A196,"&lt;="&amp;TODAY(),'20222023 WDCA'!$N$3:$N$196)</f>
        <v>48500</v>
      </c>
      <c r="H200" s="41">
        <f ca="1">G200/(TODAY()-'20222023 WDCA'!$A$3)</f>
        <v>35.688005886681381</v>
      </c>
      <c r="I200" s="41">
        <f t="shared" ca="1" si="15"/>
        <v>3500</v>
      </c>
      <c r="J200" s="41">
        <f t="shared" ca="1" si="16"/>
        <v>37545.283101295994</v>
      </c>
      <c r="K200" s="59">
        <f t="shared" ca="1" si="17"/>
        <v>3.0131603653017883E-2</v>
      </c>
      <c r="L200" s="83"/>
      <c r="M200" s="84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">
      <c r="A201" s="67" t="s">
        <v>63</v>
      </c>
      <c r="B201" s="68"/>
      <c r="C201" s="41">
        <f t="shared" ca="1" si="12"/>
        <v>144442.92321304732</v>
      </c>
      <c r="D201" s="43">
        <f t="shared" ca="1" si="13"/>
        <v>1.7777485233278332</v>
      </c>
      <c r="E201" s="41">
        <f t="shared" ca="1" si="14"/>
        <v>92442.923213047325</v>
      </c>
      <c r="F201" s="59">
        <f ca="1">P6/C3</f>
        <v>1.243513403639668</v>
      </c>
      <c r="G201" s="41">
        <f>P6</f>
        <v>52000</v>
      </c>
      <c r="H201" s="41">
        <f ca="1">G201/(TODAY()-'20222023 WDCA'!$A$3)</f>
        <v>38.263428991905812</v>
      </c>
      <c r="I201" s="41">
        <f t="shared" si="15"/>
        <v>0</v>
      </c>
      <c r="J201" s="41">
        <f t="shared" ca="1" si="16"/>
        <v>41817</v>
      </c>
      <c r="K201" s="59">
        <f t="shared" ca="1" si="17"/>
        <v>0</v>
      </c>
      <c r="L201" s="85"/>
      <c r="M201" s="86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">
      <c r="A202" s="70"/>
      <c r="B202" s="70"/>
      <c r="C202" s="3"/>
      <c r="D202" s="9"/>
      <c r="E202" s="3"/>
      <c r="F202" s="3"/>
      <c r="G202" s="3"/>
      <c r="H202" s="66"/>
      <c r="I202" s="3"/>
      <c r="J202" s="3"/>
      <c r="K202" s="9"/>
      <c r="L202" s="3"/>
      <c r="M202" s="66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">
      <c r="A203" s="70"/>
      <c r="B203" s="70"/>
      <c r="C203" s="3"/>
      <c r="D203" s="9"/>
      <c r="E203" s="3"/>
      <c r="F203" s="3"/>
      <c r="G203" s="3"/>
      <c r="H203" s="66"/>
      <c r="I203" s="3"/>
      <c r="J203" s="3"/>
      <c r="K203" s="9"/>
      <c r="L203" s="3"/>
      <c r="M203" s="66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">
      <c r="A204" s="70"/>
      <c r="B204" s="70"/>
      <c r="C204" s="3"/>
      <c r="D204" s="9"/>
      <c r="E204" s="3"/>
      <c r="F204" s="3"/>
      <c r="G204" s="3"/>
      <c r="H204" s="66"/>
      <c r="I204" s="3"/>
      <c r="J204" s="3"/>
      <c r="K204" s="9"/>
      <c r="L204" s="3"/>
      <c r="M204" s="66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">
      <c r="A205" s="70"/>
      <c r="B205" s="70"/>
      <c r="C205" s="3"/>
      <c r="D205" s="9"/>
      <c r="E205" s="3"/>
      <c r="F205" s="3"/>
      <c r="G205" s="3"/>
      <c r="H205" s="66"/>
      <c r="I205" s="3"/>
      <c r="J205" s="3"/>
      <c r="K205" s="9"/>
      <c r="L205" s="3"/>
      <c r="M205" s="66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">
      <c r="A206" s="70"/>
      <c r="B206" s="70"/>
      <c r="C206" s="3"/>
      <c r="D206" s="9"/>
      <c r="E206" s="3"/>
      <c r="F206" s="3"/>
      <c r="G206" s="3"/>
      <c r="H206" s="66"/>
      <c r="I206" s="3"/>
      <c r="J206" s="3"/>
      <c r="K206" s="9"/>
      <c r="L206" s="3"/>
      <c r="M206" s="66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">
      <c r="A207" s="70"/>
      <c r="B207" s="70"/>
      <c r="C207" s="3"/>
      <c r="D207" s="9"/>
      <c r="E207" s="3"/>
      <c r="F207" s="3"/>
      <c r="G207" s="3"/>
      <c r="H207" s="66"/>
      <c r="I207" s="3"/>
      <c r="J207" s="3"/>
      <c r="K207" s="9"/>
      <c r="L207" s="3"/>
      <c r="M207" s="66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">
      <c r="A208" s="70"/>
      <c r="B208" s="70"/>
      <c r="C208" s="3"/>
      <c r="D208" s="9"/>
      <c r="E208" s="3"/>
      <c r="F208" s="3"/>
      <c r="G208" s="3"/>
      <c r="H208" s="66"/>
      <c r="I208" s="3"/>
      <c r="J208" s="3"/>
      <c r="K208" s="9"/>
      <c r="L208" s="3"/>
      <c r="M208" s="66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">
      <c r="A209" s="70"/>
      <c r="B209" s="70"/>
      <c r="C209" s="3"/>
      <c r="D209" s="9"/>
      <c r="E209" s="3"/>
      <c r="F209" s="3"/>
      <c r="G209" s="3"/>
      <c r="H209" s="66"/>
      <c r="I209" s="3"/>
      <c r="J209" s="3"/>
      <c r="K209" s="9"/>
      <c r="L209" s="3"/>
      <c r="M209" s="66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">
      <c r="A210" s="70"/>
      <c r="B210" s="70"/>
      <c r="C210" s="3"/>
      <c r="D210" s="9"/>
      <c r="E210" s="3"/>
      <c r="F210" s="3"/>
      <c r="G210" s="3"/>
      <c r="H210" s="66"/>
      <c r="I210" s="3"/>
      <c r="J210" s="3"/>
      <c r="K210" s="9"/>
      <c r="L210" s="3"/>
      <c r="M210" s="66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">
      <c r="A211" s="70"/>
      <c r="B211" s="70"/>
      <c r="C211" s="3"/>
      <c r="D211" s="9"/>
      <c r="E211" s="3"/>
      <c r="F211" s="3"/>
      <c r="G211" s="3"/>
      <c r="H211" s="66"/>
      <c r="I211" s="3"/>
      <c r="J211" s="3"/>
      <c r="K211" s="9"/>
      <c r="L211" s="3"/>
      <c r="M211" s="66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">
      <c r="A212" s="70"/>
      <c r="B212" s="70"/>
      <c r="C212" s="3"/>
      <c r="D212" s="9"/>
      <c r="E212" s="3"/>
      <c r="F212" s="3"/>
      <c r="G212" s="3"/>
      <c r="H212" s="66"/>
      <c r="I212" s="3"/>
      <c r="J212" s="3"/>
      <c r="K212" s="9"/>
      <c r="L212" s="3"/>
      <c r="M212" s="66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">
      <c r="A213" s="70"/>
      <c r="B213" s="70"/>
      <c r="C213" s="3"/>
      <c r="D213" s="9"/>
      <c r="E213" s="3"/>
      <c r="F213" s="3"/>
      <c r="G213" s="3"/>
      <c r="H213" s="66"/>
      <c r="I213" s="3"/>
      <c r="J213" s="3"/>
      <c r="K213" s="9"/>
      <c r="L213" s="3"/>
      <c r="M213" s="66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">
      <c r="A214" s="70"/>
      <c r="B214" s="70"/>
      <c r="C214" s="3"/>
      <c r="D214" s="9"/>
      <c r="E214" s="3"/>
      <c r="F214" s="3"/>
      <c r="G214" s="3"/>
      <c r="H214" s="66"/>
      <c r="I214" s="3"/>
      <c r="J214" s="3"/>
      <c r="K214" s="9"/>
      <c r="L214" s="3"/>
      <c r="M214" s="66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">
      <c r="A215" s="70"/>
      <c r="B215" s="70"/>
      <c r="C215" s="3"/>
      <c r="D215" s="9"/>
      <c r="E215" s="3"/>
      <c r="F215" s="3"/>
      <c r="G215" s="3"/>
      <c r="H215" s="66"/>
      <c r="I215" s="3"/>
      <c r="J215" s="3"/>
      <c r="K215" s="9"/>
      <c r="L215" s="3"/>
      <c r="M215" s="66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">
      <c r="A216" s="70"/>
      <c r="B216" s="70"/>
      <c r="C216" s="3"/>
      <c r="D216" s="9"/>
      <c r="E216" s="3"/>
      <c r="F216" s="3"/>
      <c r="G216" s="3"/>
      <c r="H216" s="66"/>
      <c r="I216" s="3"/>
      <c r="J216" s="3"/>
      <c r="K216" s="9"/>
      <c r="L216" s="3"/>
      <c r="M216" s="66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">
      <c r="A217" s="70"/>
      <c r="B217" s="70"/>
      <c r="C217" s="3"/>
      <c r="D217" s="9"/>
      <c r="E217" s="3"/>
      <c r="F217" s="3"/>
      <c r="G217" s="3"/>
      <c r="H217" s="66"/>
      <c r="I217" s="3"/>
      <c r="J217" s="3"/>
      <c r="K217" s="9"/>
      <c r="L217" s="3"/>
      <c r="M217" s="66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">
      <c r="A218" s="70"/>
      <c r="B218" s="70"/>
      <c r="C218" s="3"/>
      <c r="D218" s="9"/>
      <c r="E218" s="3"/>
      <c r="F218" s="3"/>
      <c r="G218" s="3"/>
      <c r="H218" s="66"/>
      <c r="I218" s="3"/>
      <c r="J218" s="3"/>
      <c r="K218" s="9"/>
      <c r="L218" s="3"/>
      <c r="M218" s="66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">
      <c r="A219" s="70"/>
      <c r="B219" s="70"/>
      <c r="C219" s="3"/>
      <c r="D219" s="9"/>
      <c r="E219" s="3"/>
      <c r="F219" s="3"/>
      <c r="G219" s="3"/>
      <c r="H219" s="66"/>
      <c r="I219" s="3"/>
      <c r="J219" s="3"/>
      <c r="K219" s="9"/>
      <c r="L219" s="3"/>
      <c r="M219" s="66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">
      <c r="A220" s="70"/>
      <c r="B220" s="70"/>
      <c r="C220" s="3"/>
      <c r="D220" s="9"/>
      <c r="E220" s="3"/>
      <c r="F220" s="3"/>
      <c r="G220" s="3"/>
      <c r="H220" s="66"/>
      <c r="I220" s="3"/>
      <c r="J220" s="3"/>
      <c r="K220" s="9"/>
      <c r="L220" s="3"/>
      <c r="M220" s="66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</sheetData>
  <mergeCells count="5">
    <mergeCell ref="A1:P1"/>
    <mergeCell ref="P7:P8"/>
    <mergeCell ref="P12:P13"/>
    <mergeCell ref="L198:M198"/>
    <mergeCell ref="L199:M201"/>
  </mergeCells>
  <conditionalFormatting sqref="E1:E220">
    <cfRule type="colorScale" priority="38">
      <colorScale>
        <cfvo type="min"/>
        <cfvo type="percentile" val="50"/>
        <cfvo type="max"/>
        <color rgb="FFE67C73"/>
        <color rgb="FFFFFFFF"/>
        <color rgb="FF57BB8A"/>
      </colorScale>
    </cfRule>
  </conditionalFormatting>
  <conditionalFormatting sqref="E1:H220">
    <cfRule type="cellIs" dxfId="3" priority="1" operator="greaterThanOrEqual">
      <formula>0</formula>
    </cfRule>
    <cfRule type="cellIs" dxfId="2" priority="2" operator="lessThan">
      <formula>0</formula>
    </cfRule>
  </conditionalFormatting>
  <conditionalFormatting sqref="J1:J220">
    <cfRule type="colorScale" priority="40">
      <colorScale>
        <cfvo type="min"/>
        <cfvo type="max"/>
        <color rgb="FFFFFFFF"/>
        <color rgb="FF57BB8A"/>
      </colorScale>
    </cfRule>
    <cfRule type="cellIs" dxfId="1" priority="41" operator="lessThan">
      <formula>$P$4*-1</formula>
    </cfRule>
    <cfRule type="cellIs" dxfId="0" priority="42" operator="lessThan">
      <formula>0</formula>
    </cfRule>
  </conditionalFormatting>
  <conditionalFormatting sqref="K1:K196">
    <cfRule type="colorScale" priority="46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3422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/>
  <sheetData>
    <row r="1" spans="1:3" ht="15.75" customHeight="1">
      <c r="A1" s="71" t="s">
        <v>10</v>
      </c>
      <c r="B1" s="71" t="s">
        <v>64</v>
      </c>
      <c r="C1" s="71" t="s">
        <v>65</v>
      </c>
    </row>
    <row r="2" spans="1:3" ht="15.75" customHeight="1">
      <c r="A2" s="72">
        <v>42224</v>
      </c>
      <c r="B2" s="71">
        <v>0.71487599999999996</v>
      </c>
      <c r="C2" s="71">
        <v>314143.61458333302</v>
      </c>
    </row>
    <row r="3" spans="1:3" ht="15.75" customHeight="1">
      <c r="A3" s="72">
        <v>42225</v>
      </c>
      <c r="B3" s="71">
        <v>0.72934699999999997</v>
      </c>
      <c r="C3" s="71">
        <v>699826.37152777705</v>
      </c>
    </row>
    <row r="4" spans="1:3" ht="15.75" customHeight="1">
      <c r="A4" s="72">
        <v>42226</v>
      </c>
      <c r="B4" s="71">
        <v>0.70770299999999997</v>
      </c>
      <c r="C4" s="71">
        <v>457747.90972222202</v>
      </c>
    </row>
    <row r="5" spans="1:3" ht="15.75" customHeight="1">
      <c r="A5" s="72">
        <v>42227</v>
      </c>
      <c r="B5" s="71">
        <v>1.0576700000000001</v>
      </c>
      <c r="C5" s="71">
        <v>640632.22648083605</v>
      </c>
    </row>
    <row r="6" spans="1:3" ht="15.75" customHeight="1">
      <c r="A6" s="72">
        <v>42228</v>
      </c>
      <c r="B6" s="71">
        <v>1.23767</v>
      </c>
      <c r="C6" s="71">
        <v>1971841.04166666</v>
      </c>
    </row>
    <row r="7" spans="1:3" ht="15.75" customHeight="1">
      <c r="A7" s="72">
        <v>42229</v>
      </c>
      <c r="B7" s="71">
        <v>1.82819</v>
      </c>
      <c r="C7" s="71">
        <v>2527863.3680555499</v>
      </c>
    </row>
    <row r="8" spans="1:3" ht="15.75" customHeight="1">
      <c r="A8" s="72">
        <v>42230</v>
      </c>
      <c r="B8" s="71">
        <v>1.8323100000000001</v>
      </c>
      <c r="C8" s="71">
        <v>4904504.0069686398</v>
      </c>
    </row>
    <row r="9" spans="1:3" ht="15.75" customHeight="1">
      <c r="A9" s="72">
        <v>42231</v>
      </c>
      <c r="B9" s="71">
        <v>1.6924399999999999</v>
      </c>
      <c r="C9" s="71">
        <v>3879626.97916666</v>
      </c>
    </row>
    <row r="10" spans="1:3" ht="15.75" customHeight="1">
      <c r="A10" s="72">
        <v>42232</v>
      </c>
      <c r="B10" s="71">
        <v>1.51268</v>
      </c>
      <c r="C10" s="71">
        <v>2881362.91666666</v>
      </c>
    </row>
    <row r="11" spans="1:3" ht="15.75" customHeight="1">
      <c r="A11" s="72">
        <v>42233</v>
      </c>
      <c r="B11" s="71">
        <v>1.2007300000000001</v>
      </c>
      <c r="C11" s="71">
        <v>2522015.2777777701</v>
      </c>
    </row>
    <row r="12" spans="1:3" ht="15.75" customHeight="1">
      <c r="A12" s="72">
        <v>42234</v>
      </c>
      <c r="B12" s="71">
        <v>1.0950800000000001</v>
      </c>
      <c r="C12" s="71">
        <v>1763725.1916376301</v>
      </c>
    </row>
    <row r="13" spans="1:3" ht="15.75" customHeight="1">
      <c r="A13" s="72">
        <v>42235</v>
      </c>
      <c r="B13" s="71">
        <v>1.2511699999999999</v>
      </c>
      <c r="C13" s="71">
        <v>1780392.2456140299</v>
      </c>
    </row>
    <row r="14" spans="1:3" ht="15.75" customHeight="1">
      <c r="A14" s="72">
        <v>42236</v>
      </c>
      <c r="B14" s="71">
        <v>1.4654499999999999</v>
      </c>
      <c r="C14" s="71">
        <v>1814741.9097222199</v>
      </c>
    </row>
    <row r="15" spans="1:3" ht="15.75" customHeight="1">
      <c r="A15" s="72">
        <v>42237</v>
      </c>
      <c r="B15" s="71">
        <v>1.41899</v>
      </c>
      <c r="C15" s="71">
        <v>2559589.9303135802</v>
      </c>
    </row>
    <row r="16" spans="1:3" ht="15.75" customHeight="1">
      <c r="A16" s="72">
        <v>42238</v>
      </c>
      <c r="B16" s="71">
        <v>1.3928499999999999</v>
      </c>
      <c r="C16" s="71">
        <v>1637652.8222996499</v>
      </c>
    </row>
    <row r="17" spans="1:3" ht="15.75" customHeight="1">
      <c r="A17" s="72">
        <v>42239</v>
      </c>
      <c r="B17" s="71">
        <v>1.3561799999999999</v>
      </c>
      <c r="C17" s="71">
        <v>1545373.4930555499</v>
      </c>
    </row>
    <row r="18" spans="1:3" ht="15.75" customHeight="1">
      <c r="A18" s="72">
        <v>42240</v>
      </c>
      <c r="B18" s="71">
        <v>1.23411</v>
      </c>
      <c r="C18" s="71">
        <v>1032296.22027972</v>
      </c>
    </row>
    <row r="19" spans="1:3" ht="15.75" customHeight="1">
      <c r="A19" s="72">
        <v>42241</v>
      </c>
      <c r="B19" s="71">
        <v>1.14198</v>
      </c>
      <c r="C19" s="71">
        <v>1024865.39583333</v>
      </c>
    </row>
    <row r="20" spans="1:3" ht="15.75" customHeight="1">
      <c r="A20" s="72">
        <v>42242</v>
      </c>
      <c r="B20" s="71">
        <v>1.16774</v>
      </c>
      <c r="C20" s="71">
        <v>1326381.1111111101</v>
      </c>
    </row>
    <row r="21" spans="1:3" ht="15.75" customHeight="1">
      <c r="A21" s="72">
        <v>42243</v>
      </c>
      <c r="B21" s="71">
        <v>1.14679</v>
      </c>
      <c r="C21" s="71">
        <v>771850.3125</v>
      </c>
    </row>
    <row r="22" spans="1:3" ht="15.75" customHeight="1">
      <c r="A22" s="72">
        <v>42244</v>
      </c>
      <c r="B22" s="71">
        <v>1.1889400000000001</v>
      </c>
      <c r="C22" s="71">
        <v>776329.08710801299</v>
      </c>
    </row>
    <row r="23" spans="1:3" ht="15.75" customHeight="1">
      <c r="A23" s="72">
        <v>42245</v>
      </c>
      <c r="B23" s="71">
        <v>1.18326</v>
      </c>
      <c r="C23" s="71">
        <v>513305.153846153</v>
      </c>
    </row>
    <row r="24" spans="1:3" ht="15.75" customHeight="1">
      <c r="A24" s="72">
        <v>42246</v>
      </c>
      <c r="B24" s="71">
        <v>1.3221099999999999</v>
      </c>
      <c r="C24" s="71">
        <v>823051.92013888794</v>
      </c>
    </row>
    <row r="25" spans="1:3" ht="15.75" customHeight="1">
      <c r="A25" s="72">
        <v>42247</v>
      </c>
      <c r="B25" s="71">
        <v>1.3501000000000001</v>
      </c>
      <c r="C25" s="71">
        <v>1576243.0662020899</v>
      </c>
    </row>
    <row r="26" spans="1:3" ht="15.75" customHeight="1">
      <c r="A26" s="72">
        <v>42248</v>
      </c>
      <c r="B26" s="71">
        <v>1.35144</v>
      </c>
      <c r="C26" s="71">
        <v>905847.85763888794</v>
      </c>
    </row>
    <row r="27" spans="1:3" ht="15.75" customHeight="1">
      <c r="A27" s="72">
        <v>42249</v>
      </c>
      <c r="B27" s="71">
        <v>1.29173</v>
      </c>
      <c r="C27" s="71">
        <v>803286.13888888794</v>
      </c>
    </row>
    <row r="28" spans="1:3" ht="15.75" customHeight="1">
      <c r="A28" s="72">
        <v>42250</v>
      </c>
      <c r="B28" s="71">
        <v>1.26749</v>
      </c>
      <c r="C28" s="71">
        <v>852918.96875</v>
      </c>
    </row>
    <row r="29" spans="1:3" ht="15.75" customHeight="1">
      <c r="A29" s="72">
        <v>42251</v>
      </c>
      <c r="B29" s="71">
        <v>1.2743899999999999</v>
      </c>
      <c r="C29" s="71">
        <v>632752.07317073096</v>
      </c>
    </row>
    <row r="30" spans="1:3" ht="15.75" customHeight="1">
      <c r="A30" s="72">
        <v>42252</v>
      </c>
      <c r="B30" s="71">
        <v>1.3347199999999999</v>
      </c>
      <c r="C30" s="71">
        <v>410887.14634146303</v>
      </c>
    </row>
    <row r="31" spans="1:3" ht="15.75" customHeight="1">
      <c r="A31" s="72">
        <v>42253</v>
      </c>
      <c r="B31" s="71">
        <v>1.2972999999999999</v>
      </c>
      <c r="C31" s="71">
        <v>473902.00347222202</v>
      </c>
    </row>
    <row r="32" spans="1:3" ht="15.75" customHeight="1">
      <c r="A32" s="72">
        <v>42254</v>
      </c>
      <c r="B32" s="71">
        <v>1.2478199999999999</v>
      </c>
      <c r="C32" s="71">
        <v>520974.36933797901</v>
      </c>
    </row>
    <row r="33" spans="1:3" ht="15.75" customHeight="1">
      <c r="A33" s="72">
        <v>42255</v>
      </c>
      <c r="B33" s="71">
        <v>1.23828</v>
      </c>
      <c r="C33" s="71">
        <v>432909.45804195799</v>
      </c>
    </row>
    <row r="34" spans="1:3" ht="15.75" customHeight="1">
      <c r="A34" s="72">
        <v>42256</v>
      </c>
      <c r="B34" s="71">
        <v>1.2056800000000001</v>
      </c>
      <c r="C34" s="71">
        <v>398141.39236111101</v>
      </c>
    </row>
    <row r="35" spans="1:3" ht="15.75" customHeight="1">
      <c r="A35" s="72">
        <v>42257</v>
      </c>
      <c r="B35" s="71">
        <v>1.1699299999999999</v>
      </c>
      <c r="C35" s="71">
        <v>423983.14583333302</v>
      </c>
    </row>
    <row r="36" spans="1:3" ht="15.75" customHeight="1">
      <c r="A36" s="72">
        <v>42258</v>
      </c>
      <c r="B36" s="71">
        <v>0.98046900000000003</v>
      </c>
      <c r="C36" s="71">
        <v>1332136.8013937201</v>
      </c>
    </row>
    <row r="37" spans="1:3" ht="15.75" customHeight="1">
      <c r="A37" s="72">
        <v>42259</v>
      </c>
      <c r="B37" s="71">
        <v>1.0464899999999999</v>
      </c>
      <c r="C37" s="71">
        <v>1453662.4350877099</v>
      </c>
    </row>
    <row r="38" spans="1:3" ht="15.75" customHeight="1">
      <c r="A38" s="72">
        <v>42260</v>
      </c>
      <c r="B38" s="71">
        <v>0.934392</v>
      </c>
      <c r="C38" s="71">
        <v>676234.55902777705</v>
      </c>
    </row>
    <row r="39" spans="1:3" ht="15.75" customHeight="1">
      <c r="A39" s="72">
        <v>42261</v>
      </c>
      <c r="B39" s="71">
        <v>0.87840799999999997</v>
      </c>
      <c r="C39" s="71">
        <v>676442.64808362303</v>
      </c>
    </row>
    <row r="40" spans="1:3" ht="15.75" customHeight="1">
      <c r="A40" s="72">
        <v>42262</v>
      </c>
      <c r="B40" s="71">
        <v>0.94164499999999995</v>
      </c>
      <c r="C40" s="71">
        <v>756126.10069444403</v>
      </c>
    </row>
    <row r="41" spans="1:3" ht="15.75" customHeight="1">
      <c r="A41" s="72">
        <v>42263</v>
      </c>
      <c r="B41" s="71">
        <v>0.90594699999999995</v>
      </c>
      <c r="C41" s="71">
        <v>645381.36805555504</v>
      </c>
    </row>
    <row r="42" spans="1:3" ht="15.75" customHeight="1">
      <c r="A42" s="72">
        <v>42264</v>
      </c>
      <c r="B42" s="71">
        <v>0.87514199999999998</v>
      </c>
      <c r="C42" s="71">
        <v>767418.89930555504</v>
      </c>
    </row>
    <row r="43" spans="1:3" ht="15.75" customHeight="1">
      <c r="A43" s="72">
        <v>42265</v>
      </c>
      <c r="B43" s="71">
        <v>0.85187199999999996</v>
      </c>
      <c r="C43" s="71">
        <v>633124.73758865194</v>
      </c>
    </row>
    <row r="44" spans="1:3" ht="15.75" customHeight="1">
      <c r="A44" s="72">
        <v>42266</v>
      </c>
      <c r="B44" s="71">
        <v>0.88460000000000005</v>
      </c>
      <c r="C44" s="71">
        <v>449810.50704225298</v>
      </c>
    </row>
    <row r="45" spans="1:3" ht="15.75" customHeight="1">
      <c r="A45" s="72">
        <v>42267</v>
      </c>
      <c r="B45" s="71">
        <v>0.94340800000000002</v>
      </c>
      <c r="C45" s="71">
        <v>451320.12099644099</v>
      </c>
    </row>
    <row r="46" spans="1:3" ht="15.75" customHeight="1">
      <c r="A46" s="72">
        <v>42268</v>
      </c>
      <c r="B46" s="71">
        <v>0.91850200000000004</v>
      </c>
      <c r="C46" s="71">
        <v>472865.30769230699</v>
      </c>
    </row>
    <row r="47" spans="1:3" ht="15.75" customHeight="1">
      <c r="A47" s="72">
        <v>42269</v>
      </c>
      <c r="B47" s="71">
        <v>0.90200800000000003</v>
      </c>
      <c r="C47" s="71">
        <v>463404.02090592298</v>
      </c>
    </row>
    <row r="48" spans="1:3" ht="15.75" customHeight="1">
      <c r="A48" s="72">
        <v>42270</v>
      </c>
      <c r="B48" s="71">
        <v>0.89611700000000005</v>
      </c>
      <c r="C48" s="71">
        <v>369019.45833333302</v>
      </c>
    </row>
    <row r="49" spans="1:3" ht="15.75" customHeight="1">
      <c r="A49" s="72">
        <v>42271</v>
      </c>
      <c r="B49" s="71">
        <v>0.81789000000000001</v>
      </c>
      <c r="C49" s="71">
        <v>410509.795138888</v>
      </c>
    </row>
    <row r="50" spans="1:3" ht="15.75" customHeight="1">
      <c r="A50" s="72">
        <v>42272</v>
      </c>
      <c r="B50" s="71">
        <v>0.73428899999999997</v>
      </c>
      <c r="C50" s="71">
        <v>1076853.96478873</v>
      </c>
    </row>
    <row r="51" spans="1:3" ht="15.75" customHeight="1">
      <c r="A51" s="72">
        <v>42273</v>
      </c>
      <c r="B51" s="71">
        <v>0.78427000000000002</v>
      </c>
      <c r="C51" s="71">
        <v>511502.02807017497</v>
      </c>
    </row>
    <row r="52" spans="1:3" ht="15.75" customHeight="1">
      <c r="A52" s="72">
        <v>42274</v>
      </c>
      <c r="B52" s="71">
        <v>0.72066699999999995</v>
      </c>
      <c r="C52" s="71">
        <v>387224.527777777</v>
      </c>
    </row>
    <row r="53" spans="1:3" ht="15.75" customHeight="1">
      <c r="A53" s="72">
        <v>42275</v>
      </c>
      <c r="B53" s="71">
        <v>0.57743299999999997</v>
      </c>
      <c r="C53" s="71">
        <v>843319.75174825103</v>
      </c>
    </row>
    <row r="54" spans="1:3" ht="15.75" customHeight="1">
      <c r="A54" s="72">
        <v>42276</v>
      </c>
      <c r="B54" s="71">
        <v>0.657358</v>
      </c>
      <c r="C54" s="71">
        <v>1130990.0451388799</v>
      </c>
    </row>
    <row r="55" spans="1:3" ht="15.75" customHeight="1">
      <c r="A55" s="72">
        <v>42277</v>
      </c>
      <c r="B55" s="71">
        <v>0.73112200000000005</v>
      </c>
      <c r="C55" s="71">
        <v>703821.06944444403</v>
      </c>
    </row>
    <row r="56" spans="1:3" ht="15.75" customHeight="1">
      <c r="A56" s="72">
        <v>42278</v>
      </c>
      <c r="B56" s="71">
        <v>0.68799299999999997</v>
      </c>
      <c r="C56" s="71">
        <v>754235.57638888794</v>
      </c>
    </row>
    <row r="57" spans="1:3" ht="15.75" customHeight="1">
      <c r="A57" s="72">
        <v>42279</v>
      </c>
      <c r="B57" s="71">
        <v>0.67462100000000003</v>
      </c>
      <c r="C57" s="71">
        <v>337308.62717769999</v>
      </c>
    </row>
    <row r="58" spans="1:3" ht="15.75" customHeight="1">
      <c r="A58" s="72">
        <v>42280</v>
      </c>
      <c r="B58" s="71">
        <v>0.68715700000000002</v>
      </c>
      <c r="C58" s="71">
        <v>196374.78245614</v>
      </c>
    </row>
    <row r="59" spans="1:3" ht="15.75" customHeight="1">
      <c r="A59" s="72">
        <v>42281</v>
      </c>
      <c r="B59" s="71">
        <v>0.66870499999999999</v>
      </c>
      <c r="C59" s="71">
        <v>126950.53125</v>
      </c>
    </row>
    <row r="60" spans="1:3" ht="15.75" customHeight="1">
      <c r="A60" s="72">
        <v>42282</v>
      </c>
      <c r="B60" s="71">
        <v>0.62444999999999995</v>
      </c>
      <c r="C60" s="71">
        <v>125451.498257839</v>
      </c>
    </row>
    <row r="61" spans="1:3" ht="15.75" customHeight="1">
      <c r="A61" s="72">
        <v>42283</v>
      </c>
      <c r="B61" s="71">
        <v>0.65061000000000002</v>
      </c>
      <c r="C61" s="71">
        <v>282330.63541666599</v>
      </c>
    </row>
    <row r="62" spans="1:3" ht="13">
      <c r="A62" s="72">
        <v>42284</v>
      </c>
      <c r="B62" s="71">
        <v>0.60923899999999998</v>
      </c>
      <c r="C62" s="71">
        <v>218422.184027777</v>
      </c>
    </row>
    <row r="63" spans="1:3" ht="13">
      <c r="A63" s="72">
        <v>42285</v>
      </c>
      <c r="B63" s="71">
        <v>0.61913899999999999</v>
      </c>
      <c r="C63" s="71">
        <v>254929.14930555501</v>
      </c>
    </row>
    <row r="64" spans="1:3" ht="13">
      <c r="A64" s="72">
        <v>42286</v>
      </c>
      <c r="B64" s="71">
        <v>0.65142199999999995</v>
      </c>
      <c r="C64" s="71">
        <v>407040.88501742098</v>
      </c>
    </row>
    <row r="65" spans="1:3" ht="13">
      <c r="A65" s="72">
        <v>42287</v>
      </c>
      <c r="B65" s="71">
        <v>0.626888</v>
      </c>
      <c r="C65" s="71">
        <v>259412.56842105201</v>
      </c>
    </row>
    <row r="66" spans="1:3" ht="13">
      <c r="A66" s="72">
        <v>42288</v>
      </c>
      <c r="B66" s="71">
        <v>0.63515999999999995</v>
      </c>
      <c r="C66" s="71">
        <v>116624.246527777</v>
      </c>
    </row>
    <row r="67" spans="1:3" ht="13">
      <c r="A67" s="72">
        <v>42289</v>
      </c>
      <c r="B67" s="71">
        <v>0.62827900000000003</v>
      </c>
      <c r="C67" s="71">
        <v>88257.407665505205</v>
      </c>
    </row>
    <row r="68" spans="1:3" ht="13">
      <c r="A68" s="72">
        <v>42290</v>
      </c>
      <c r="B68" s="71">
        <v>0.60822799999999999</v>
      </c>
      <c r="C68" s="71">
        <v>181925.295138888</v>
      </c>
    </row>
    <row r="69" spans="1:3" ht="13">
      <c r="A69" s="72">
        <v>42291</v>
      </c>
      <c r="B69" s="71">
        <v>0.521926</v>
      </c>
      <c r="C69" s="71">
        <v>502059.62847222202</v>
      </c>
    </row>
    <row r="70" spans="1:3" ht="13">
      <c r="A70" s="72">
        <v>42292</v>
      </c>
      <c r="B70" s="71">
        <v>0.55952299999999999</v>
      </c>
      <c r="C70" s="71">
        <v>821727.32291666605</v>
      </c>
    </row>
    <row r="71" spans="1:3" ht="13">
      <c r="A71" s="72">
        <v>42293</v>
      </c>
      <c r="B71" s="71">
        <v>0.53619700000000003</v>
      </c>
      <c r="C71" s="71">
        <v>327595.11149825703</v>
      </c>
    </row>
    <row r="72" spans="1:3" ht="13">
      <c r="A72" s="72">
        <v>42294</v>
      </c>
      <c r="B72" s="71">
        <v>0.54802700000000004</v>
      </c>
      <c r="C72" s="71">
        <v>291859.29473684198</v>
      </c>
    </row>
    <row r="73" spans="1:3" ht="13">
      <c r="A73" s="72">
        <v>42295</v>
      </c>
      <c r="B73" s="71">
        <v>0.51719000000000004</v>
      </c>
      <c r="C73" s="71">
        <v>211258.694444444</v>
      </c>
    </row>
    <row r="74" spans="1:3" ht="13">
      <c r="A74" s="72">
        <v>42296</v>
      </c>
      <c r="B74" s="71">
        <v>0.48877100000000001</v>
      </c>
      <c r="C74" s="71">
        <v>196519.14982578301</v>
      </c>
    </row>
    <row r="75" spans="1:3" ht="13">
      <c r="A75" s="72">
        <v>42297</v>
      </c>
      <c r="B75" s="71">
        <v>0.43857000000000002</v>
      </c>
      <c r="C75" s="71">
        <v>226038.36111111101</v>
      </c>
    </row>
    <row r="76" spans="1:3" ht="13">
      <c r="A76" s="72">
        <v>42298</v>
      </c>
      <c r="B76" s="71">
        <v>0.44960600000000001</v>
      </c>
      <c r="C76" s="71">
        <v>601015.74305555504</v>
      </c>
    </row>
    <row r="77" spans="1:3" ht="13">
      <c r="A77" s="72">
        <v>42299</v>
      </c>
      <c r="B77" s="71">
        <v>0.565191</v>
      </c>
      <c r="C77" s="71">
        <v>522825.0625</v>
      </c>
    </row>
    <row r="78" spans="1:3" ht="13">
      <c r="A78" s="72">
        <v>42300</v>
      </c>
      <c r="B78" s="71">
        <v>0.53812300000000002</v>
      </c>
      <c r="C78" s="71">
        <v>1079966.7317073101</v>
      </c>
    </row>
    <row r="79" spans="1:3" ht="13">
      <c r="A79" s="72">
        <v>42301</v>
      </c>
      <c r="B79" s="71">
        <v>0.567666</v>
      </c>
      <c r="C79" s="71">
        <v>572673.59219858097</v>
      </c>
    </row>
    <row r="80" spans="1:3" ht="13">
      <c r="A80" s="72">
        <v>42302</v>
      </c>
      <c r="B80" s="71">
        <v>0.61321400000000004</v>
      </c>
      <c r="C80" s="71">
        <v>412101.201388888</v>
      </c>
    </row>
    <row r="81" spans="1:3" ht="13">
      <c r="A81" s="72">
        <v>42303</v>
      </c>
      <c r="B81" s="71">
        <v>0.73825399999999997</v>
      </c>
      <c r="C81" s="71">
        <v>750493.52613240399</v>
      </c>
    </row>
    <row r="82" spans="1:3" ht="13">
      <c r="A82" s="72">
        <v>42304</v>
      </c>
      <c r="B82" s="71">
        <v>0.86320200000000002</v>
      </c>
      <c r="C82" s="71">
        <v>1603239.5486111101</v>
      </c>
    </row>
    <row r="83" spans="1:3" ht="13">
      <c r="A83" s="72">
        <v>42305</v>
      </c>
      <c r="B83" s="71">
        <v>1.0100100000000001</v>
      </c>
      <c r="C83" s="71">
        <v>1627933.9930555499</v>
      </c>
    </row>
    <row r="84" spans="1:3" ht="13">
      <c r="A84" s="72">
        <v>42306</v>
      </c>
      <c r="B84" s="71">
        <v>1.19773</v>
      </c>
      <c r="C84" s="71">
        <v>2713880.4513888801</v>
      </c>
    </row>
    <row r="85" spans="1:3" ht="13">
      <c r="A85" s="72">
        <v>42307</v>
      </c>
      <c r="B85" s="71">
        <v>1.0500700000000001</v>
      </c>
      <c r="C85" s="71">
        <v>2667309.47735191</v>
      </c>
    </row>
    <row r="86" spans="1:3" ht="13">
      <c r="A86" s="72">
        <v>42308</v>
      </c>
      <c r="B86" s="71">
        <v>0.91874699999999998</v>
      </c>
      <c r="C86" s="71">
        <v>1395796.2597864701</v>
      </c>
    </row>
    <row r="87" spans="1:3" ht="13">
      <c r="A87" s="72">
        <v>42309</v>
      </c>
      <c r="B87" s="71">
        <v>1.05345</v>
      </c>
      <c r="C87" s="71">
        <v>496327.73188405798</v>
      </c>
    </row>
    <row r="88" spans="1:3" ht="13">
      <c r="A88" s="72">
        <v>42310</v>
      </c>
      <c r="B88" s="71">
        <v>0.98943800000000004</v>
      </c>
      <c r="C88" s="71">
        <v>789260.21254355402</v>
      </c>
    </row>
    <row r="89" spans="1:3" ht="13">
      <c r="A89" s="72">
        <v>42311</v>
      </c>
      <c r="B89" s="71">
        <v>1.00935</v>
      </c>
      <c r="C89" s="71">
        <v>1590315.52083333</v>
      </c>
    </row>
    <row r="90" spans="1:3" ht="13">
      <c r="A90" s="72">
        <v>42312</v>
      </c>
      <c r="B90" s="71">
        <v>0.90717599999999998</v>
      </c>
      <c r="C90" s="71">
        <v>2469384.0209790198</v>
      </c>
    </row>
    <row r="91" spans="1:3" ht="13">
      <c r="A91" s="72">
        <v>42313</v>
      </c>
      <c r="B91" s="71">
        <v>0.90819300000000003</v>
      </c>
      <c r="C91" s="71">
        <v>2445664.4444444398</v>
      </c>
    </row>
    <row r="92" spans="1:3" ht="13">
      <c r="A92" s="72">
        <v>42314</v>
      </c>
      <c r="B92" s="71">
        <v>0.92469000000000001</v>
      </c>
      <c r="C92" s="71">
        <v>891600.04878048704</v>
      </c>
    </row>
    <row r="93" spans="1:3" ht="13">
      <c r="A93" s="72">
        <v>42315</v>
      </c>
      <c r="B93" s="71">
        <v>0.92356899999999997</v>
      </c>
      <c r="C93" s="71">
        <v>1014469.14234875</v>
      </c>
    </row>
    <row r="94" spans="1:3" ht="13">
      <c r="A94" s="72">
        <v>42316</v>
      </c>
      <c r="B94" s="71">
        <v>1.02298</v>
      </c>
      <c r="C94" s="71">
        <v>816699.68055555504</v>
      </c>
    </row>
    <row r="95" spans="1:3" ht="13">
      <c r="A95" s="72">
        <v>42317</v>
      </c>
      <c r="B95" s="71">
        <v>0.99787999999999999</v>
      </c>
      <c r="C95" s="71">
        <v>1799432.3693379699</v>
      </c>
    </row>
    <row r="96" spans="1:3" ht="13">
      <c r="A96" s="72">
        <v>42318</v>
      </c>
      <c r="B96" s="71">
        <v>0.93398300000000001</v>
      </c>
      <c r="C96" s="71">
        <v>1294142.8611111101</v>
      </c>
    </row>
    <row r="97" spans="1:3" ht="13">
      <c r="A97" s="72">
        <v>42319</v>
      </c>
      <c r="B97" s="71">
        <v>0.79748699999999995</v>
      </c>
      <c r="C97" s="71">
        <v>957689.29861111101</v>
      </c>
    </row>
    <row r="98" spans="1:3" ht="13">
      <c r="A98" s="72">
        <v>42320</v>
      </c>
      <c r="B98" s="71">
        <v>0.89636400000000005</v>
      </c>
      <c r="C98" s="71">
        <v>1261645.19791666</v>
      </c>
    </row>
    <row r="99" spans="1:3" ht="13">
      <c r="A99" s="72">
        <v>42321</v>
      </c>
      <c r="B99" s="71">
        <v>0.90168499999999996</v>
      </c>
      <c r="C99" s="71">
        <v>605588.08362369298</v>
      </c>
    </row>
    <row r="100" spans="1:3" ht="13">
      <c r="A100" s="72">
        <v>42322</v>
      </c>
      <c r="B100" s="71">
        <v>0.888602</v>
      </c>
      <c r="C100" s="71">
        <v>476898.21071428503</v>
      </c>
    </row>
    <row r="101" spans="1:3" ht="13">
      <c r="A101" s="72">
        <v>42323</v>
      </c>
      <c r="B101" s="71">
        <v>0.91091500000000003</v>
      </c>
      <c r="C101" s="71">
        <v>374589.73611111101</v>
      </c>
    </row>
    <row r="102" spans="1:3" ht="13">
      <c r="A102" s="72">
        <v>42324</v>
      </c>
      <c r="B102" s="71">
        <v>0.92885499999999999</v>
      </c>
      <c r="C102" s="71">
        <v>547039.87108013895</v>
      </c>
    </row>
    <row r="103" spans="1:3" ht="13">
      <c r="A103" s="72">
        <v>42325</v>
      </c>
      <c r="B103" s="71">
        <v>1.0053300000000001</v>
      </c>
      <c r="C103" s="71">
        <v>711634.02777777705</v>
      </c>
    </row>
    <row r="104" spans="1:3" ht="13">
      <c r="A104" s="72">
        <v>42326</v>
      </c>
      <c r="B104" s="71">
        <v>0.99077000000000004</v>
      </c>
      <c r="C104" s="71">
        <v>1070041.5486111101</v>
      </c>
    </row>
    <row r="105" spans="1:3" ht="13">
      <c r="A105" s="72">
        <v>42327</v>
      </c>
      <c r="B105" s="71">
        <v>0.95465100000000003</v>
      </c>
      <c r="C105" s="71">
        <v>547534.27430555504</v>
      </c>
    </row>
    <row r="106" spans="1:3" ht="13">
      <c r="A106" s="72">
        <v>42328</v>
      </c>
      <c r="B106" s="71">
        <v>0.92876700000000001</v>
      </c>
      <c r="C106" s="71">
        <v>504578.30313588801</v>
      </c>
    </row>
    <row r="107" spans="1:3" ht="13">
      <c r="A107" s="72">
        <v>42329</v>
      </c>
      <c r="B107" s="71">
        <v>0.97711400000000004</v>
      </c>
      <c r="C107" s="71">
        <v>471216.05434782599</v>
      </c>
    </row>
    <row r="108" spans="1:3" ht="13">
      <c r="A108" s="72">
        <v>42330</v>
      </c>
      <c r="B108" s="71">
        <v>0.96715099999999998</v>
      </c>
      <c r="C108" s="71">
        <v>463066.059027777</v>
      </c>
    </row>
    <row r="109" spans="1:3" ht="13">
      <c r="A109" s="72">
        <v>42331</v>
      </c>
      <c r="B109" s="71">
        <v>0.94675500000000001</v>
      </c>
      <c r="C109" s="71">
        <v>392507.15331010398</v>
      </c>
    </row>
    <row r="110" spans="1:3" ht="13">
      <c r="A110" s="72">
        <v>42332</v>
      </c>
      <c r="B110" s="71">
        <v>0.90160700000000005</v>
      </c>
      <c r="C110" s="71">
        <v>444668.5</v>
      </c>
    </row>
    <row r="111" spans="1:3" ht="13">
      <c r="A111" s="72">
        <v>42333</v>
      </c>
      <c r="B111" s="71">
        <v>0.86346400000000001</v>
      </c>
      <c r="C111" s="71">
        <v>652920.08680555504</v>
      </c>
    </row>
    <row r="112" spans="1:3" ht="13">
      <c r="A112" s="72">
        <v>42334</v>
      </c>
      <c r="B112" s="71">
        <v>0.88786900000000002</v>
      </c>
      <c r="C112" s="71">
        <v>789302.74305555504</v>
      </c>
    </row>
    <row r="113" spans="1:3" ht="13">
      <c r="A113" s="72">
        <v>42335</v>
      </c>
      <c r="B113" s="71">
        <v>0.86647600000000002</v>
      </c>
      <c r="C113" s="71">
        <v>688716.44635193096</v>
      </c>
    </row>
    <row r="114" spans="1:3" ht="13">
      <c r="A114" s="72">
        <v>42336</v>
      </c>
      <c r="B114" s="71">
        <v>0.91558300000000004</v>
      </c>
      <c r="C114" s="71">
        <v>497279.98611111101</v>
      </c>
    </row>
    <row r="115" spans="1:3" ht="13">
      <c r="A115" s="72">
        <v>42337</v>
      </c>
      <c r="B115" s="71">
        <v>0.88008900000000001</v>
      </c>
      <c r="C115" s="71">
        <v>368439.59375</v>
      </c>
    </row>
    <row r="116" spans="1:3" ht="13">
      <c r="A116" s="72">
        <v>42338</v>
      </c>
      <c r="B116" s="71">
        <v>0.87377700000000003</v>
      </c>
      <c r="C116" s="71">
        <v>684882.24041811796</v>
      </c>
    </row>
    <row r="117" spans="1:3" ht="13">
      <c r="A117" s="72">
        <v>42339</v>
      </c>
      <c r="B117" s="71">
        <v>0.87628499999999998</v>
      </c>
      <c r="C117" s="71">
        <v>690526.19097222202</v>
      </c>
    </row>
    <row r="118" spans="1:3" ht="13">
      <c r="A118" s="72">
        <v>42340</v>
      </c>
      <c r="B118" s="71">
        <v>0.82046699999999995</v>
      </c>
      <c r="C118" s="71">
        <v>582775.86805555504</v>
      </c>
    </row>
    <row r="119" spans="1:3" ht="13">
      <c r="A119" s="72">
        <v>42341</v>
      </c>
      <c r="B119" s="71">
        <v>0.81417399999999995</v>
      </c>
      <c r="C119" s="71">
        <v>566498.33680555504</v>
      </c>
    </row>
    <row r="120" spans="1:3" ht="13">
      <c r="A120" s="72">
        <v>42342</v>
      </c>
      <c r="B120" s="71">
        <v>0.84395799999999999</v>
      </c>
      <c r="C120" s="71">
        <v>285269.56794425001</v>
      </c>
    </row>
    <row r="121" spans="1:3" ht="13">
      <c r="A121" s="72">
        <v>42343</v>
      </c>
      <c r="B121" s="71">
        <v>0.86048400000000003</v>
      </c>
      <c r="C121" s="71">
        <v>223696.840277777</v>
      </c>
    </row>
    <row r="122" spans="1:3" ht="13">
      <c r="A122" s="72">
        <v>42344</v>
      </c>
      <c r="B122" s="71">
        <v>0.83349399999999996</v>
      </c>
      <c r="C122" s="71">
        <v>397401.6875</v>
      </c>
    </row>
    <row r="123" spans="1:3" ht="13">
      <c r="A123" s="72">
        <v>42345</v>
      </c>
      <c r="B123" s="71">
        <v>0.80699699999999996</v>
      </c>
      <c r="C123" s="71">
        <v>494205.67944250797</v>
      </c>
    </row>
    <row r="124" spans="1:3" ht="13">
      <c r="A124" s="72">
        <v>42346</v>
      </c>
      <c r="B124" s="71">
        <v>0.82199999999999995</v>
      </c>
      <c r="C124" s="71">
        <v>437603.89236111101</v>
      </c>
    </row>
    <row r="125" spans="1:3" ht="13">
      <c r="A125" s="72">
        <v>42347</v>
      </c>
      <c r="B125" s="71">
        <v>0.79147599999999996</v>
      </c>
      <c r="C125" s="71">
        <v>580216.10416666605</v>
      </c>
    </row>
    <row r="126" spans="1:3" ht="13">
      <c r="A126" s="72">
        <v>42348</v>
      </c>
      <c r="B126" s="71">
        <v>0.84287000000000001</v>
      </c>
      <c r="C126" s="71">
        <v>426574.013888888</v>
      </c>
    </row>
    <row r="127" spans="1:3" ht="13">
      <c r="A127" s="72">
        <v>42349</v>
      </c>
      <c r="B127" s="71">
        <v>0.91340399999999999</v>
      </c>
      <c r="C127" s="71">
        <v>472733.19860627101</v>
      </c>
    </row>
    <row r="128" spans="1:3" ht="13">
      <c r="A128" s="72">
        <v>42350</v>
      </c>
      <c r="B128" s="71">
        <v>0.97096300000000002</v>
      </c>
      <c r="C128" s="71">
        <v>1307751.90625</v>
      </c>
    </row>
    <row r="129" spans="1:3" ht="13">
      <c r="A129" s="72">
        <v>42351</v>
      </c>
      <c r="B129" s="71">
        <v>0.95295099999999999</v>
      </c>
      <c r="C129" s="71">
        <v>641044.03472222202</v>
      </c>
    </row>
    <row r="130" spans="1:3" ht="13">
      <c r="A130" s="72">
        <v>42352</v>
      </c>
      <c r="B130" s="71">
        <v>0.99337799999999998</v>
      </c>
      <c r="C130" s="71">
        <v>460903.25783972099</v>
      </c>
    </row>
    <row r="131" spans="1:3" ht="13">
      <c r="A131" s="72">
        <v>42353</v>
      </c>
      <c r="B131" s="71">
        <v>1.0115499999999999</v>
      </c>
      <c r="C131" s="71">
        <v>586620.24305555504</v>
      </c>
    </row>
    <row r="132" spans="1:3" ht="13">
      <c r="A132" s="72">
        <v>42354</v>
      </c>
      <c r="B132" s="71">
        <v>0.99019299999999999</v>
      </c>
      <c r="C132" s="71">
        <v>405987.51041666599</v>
      </c>
    </row>
    <row r="133" spans="1:3" ht="13">
      <c r="A133" s="72">
        <v>42355</v>
      </c>
      <c r="B133" s="71">
        <v>0.94097399999999998</v>
      </c>
      <c r="C133" s="71">
        <v>501625.01736111101</v>
      </c>
    </row>
    <row r="134" spans="1:3" ht="13">
      <c r="A134" s="72">
        <v>42356</v>
      </c>
      <c r="B134" s="71">
        <v>0.92242199999999996</v>
      </c>
      <c r="C134" s="71">
        <v>432044.28919860598</v>
      </c>
    </row>
    <row r="135" spans="1:3" ht="13">
      <c r="A135" s="72">
        <v>42357</v>
      </c>
      <c r="B135" s="71">
        <v>0.91096699999999997</v>
      </c>
      <c r="C135" s="71">
        <v>307131.59375</v>
      </c>
    </row>
    <row r="136" spans="1:3" ht="13">
      <c r="A136" s="72">
        <v>42358</v>
      </c>
      <c r="B136" s="71">
        <v>0.90264900000000003</v>
      </c>
      <c r="C136" s="71">
        <v>374821.777777777</v>
      </c>
    </row>
    <row r="137" spans="1:3" ht="13">
      <c r="A137" s="72">
        <v>42359</v>
      </c>
      <c r="B137" s="71">
        <v>0.90174299999999996</v>
      </c>
      <c r="C137" s="71">
        <v>557105.47902097902</v>
      </c>
    </row>
    <row r="138" spans="1:3" ht="13">
      <c r="A138" s="72">
        <v>42360</v>
      </c>
      <c r="B138" s="71">
        <v>0.867954</v>
      </c>
      <c r="C138" s="71">
        <v>448050.73611111101</v>
      </c>
    </row>
    <row r="139" spans="1:3" ht="13">
      <c r="A139" s="72">
        <v>42361</v>
      </c>
      <c r="B139" s="71">
        <v>0.86090199999999995</v>
      </c>
      <c r="C139" s="71">
        <v>457808.076388888</v>
      </c>
    </row>
    <row r="140" spans="1:3" ht="13">
      <c r="A140" s="72">
        <v>42362</v>
      </c>
      <c r="B140" s="71">
        <v>0.86297100000000004</v>
      </c>
      <c r="C140" s="71">
        <v>345791.94444444397</v>
      </c>
    </row>
    <row r="141" spans="1:3" ht="13">
      <c r="A141" s="72">
        <v>42363</v>
      </c>
      <c r="B141" s="71">
        <v>0.870139</v>
      </c>
      <c r="C141" s="71">
        <v>279652.12891986</v>
      </c>
    </row>
    <row r="142" spans="1:3" ht="13">
      <c r="A142" s="72">
        <v>42364</v>
      </c>
      <c r="B142" s="71">
        <v>0.85856100000000002</v>
      </c>
      <c r="C142" s="71">
        <v>273169.05208333302</v>
      </c>
    </row>
    <row r="143" spans="1:3" ht="13">
      <c r="A143" s="72">
        <v>42365</v>
      </c>
      <c r="B143" s="71">
        <v>0.855209</v>
      </c>
      <c r="C143" s="71">
        <v>306668.97569444397</v>
      </c>
    </row>
    <row r="144" spans="1:3" ht="13">
      <c r="A144" s="72">
        <v>42366</v>
      </c>
      <c r="B144" s="71">
        <v>0.84808499999999998</v>
      </c>
      <c r="C144" s="71">
        <v>197077.574912891</v>
      </c>
    </row>
    <row r="145" spans="1:3" ht="13">
      <c r="A145" s="72">
        <v>42367</v>
      </c>
      <c r="B145" s="71">
        <v>0.87256699999999998</v>
      </c>
      <c r="C145" s="71">
        <v>217881.319444444</v>
      </c>
    </row>
    <row r="146" spans="1:3" ht="13">
      <c r="A146" s="72">
        <v>42368</v>
      </c>
      <c r="B146" s="71">
        <v>0.90943700000000005</v>
      </c>
      <c r="C146" s="71">
        <v>354790.090277777</v>
      </c>
    </row>
    <row r="147" spans="1:3" ht="13">
      <c r="A147" s="72">
        <v>42369</v>
      </c>
      <c r="B147" s="71">
        <v>0.93343200000000004</v>
      </c>
      <c r="C147" s="71">
        <v>784403.98958333302</v>
      </c>
    </row>
    <row r="148" spans="1:3" ht="13">
      <c r="A148" s="72">
        <v>42370</v>
      </c>
      <c r="B148" s="71">
        <v>0.95263600000000004</v>
      </c>
      <c r="C148" s="71">
        <v>343325.397212543</v>
      </c>
    </row>
    <row r="149" spans="1:3" ht="13">
      <c r="A149" s="72">
        <v>42371</v>
      </c>
      <c r="B149" s="71">
        <v>0.93879199999999996</v>
      </c>
      <c r="C149" s="71">
        <v>267190.625</v>
      </c>
    </row>
    <row r="150" spans="1:3" ht="13">
      <c r="A150" s="72">
        <v>42372</v>
      </c>
      <c r="B150" s="71">
        <v>0.97163200000000005</v>
      </c>
      <c r="C150" s="71">
        <v>314775.19097222202</v>
      </c>
    </row>
    <row r="151" spans="1:3" ht="13">
      <c r="A151" s="72">
        <v>42373</v>
      </c>
      <c r="B151" s="71">
        <v>0.95440599999999998</v>
      </c>
      <c r="C151" s="71">
        <v>311957.38327526097</v>
      </c>
    </row>
    <row r="152" spans="1:3" ht="13">
      <c r="A152" s="72">
        <v>42374</v>
      </c>
      <c r="B152" s="71">
        <v>0.95016800000000001</v>
      </c>
      <c r="C152" s="71">
        <v>340600.15972222202</v>
      </c>
    </row>
    <row r="153" spans="1:3" ht="13">
      <c r="A153" s="72">
        <v>42375</v>
      </c>
      <c r="B153" s="71">
        <v>0.95255100000000004</v>
      </c>
      <c r="C153" s="71">
        <v>265345.14583333302</v>
      </c>
    </row>
    <row r="154" spans="1:3" ht="13">
      <c r="A154" s="72">
        <v>42376</v>
      </c>
      <c r="B154" s="71">
        <v>0.94617799999999996</v>
      </c>
      <c r="C154" s="71">
        <v>519141.1875</v>
      </c>
    </row>
    <row r="155" spans="1:3" ht="13">
      <c r="A155" s="72">
        <v>42377</v>
      </c>
      <c r="B155" s="71">
        <v>0.99182499999999996</v>
      </c>
      <c r="C155" s="71">
        <v>536739.78745644598</v>
      </c>
    </row>
    <row r="156" spans="1:3" ht="13">
      <c r="A156" s="72">
        <v>42378</v>
      </c>
      <c r="B156" s="71">
        <v>0.98421400000000003</v>
      </c>
      <c r="C156" s="71">
        <v>372886.996527777</v>
      </c>
    </row>
    <row r="157" spans="1:3" ht="13">
      <c r="A157" s="72">
        <v>42379</v>
      </c>
      <c r="B157" s="71">
        <v>0.99774399999999996</v>
      </c>
      <c r="C157" s="71">
        <v>307114.57986111101</v>
      </c>
    </row>
    <row r="158" spans="1:3" ht="13">
      <c r="A158" s="72">
        <v>42380</v>
      </c>
      <c r="B158" s="71">
        <v>1.0604</v>
      </c>
      <c r="C158" s="71">
        <v>749989.80836236896</v>
      </c>
    </row>
    <row r="159" spans="1:3" ht="13">
      <c r="A159" s="72">
        <v>42381</v>
      </c>
      <c r="B159" s="71">
        <v>1.14873</v>
      </c>
      <c r="C159" s="71">
        <v>1690073.4580419499</v>
      </c>
    </row>
    <row r="160" spans="1:3" ht="13">
      <c r="A160" s="72">
        <v>42382</v>
      </c>
      <c r="B160" s="71">
        <v>1.12304</v>
      </c>
      <c r="C160" s="71">
        <v>2121384.16666666</v>
      </c>
    </row>
    <row r="161" spans="1:3" ht="13">
      <c r="A161" s="72">
        <v>42383</v>
      </c>
      <c r="B161" s="71">
        <v>1.1890499999999999</v>
      </c>
      <c r="C161" s="71">
        <v>857375.9375</v>
      </c>
    </row>
    <row r="162" spans="1:3" ht="13">
      <c r="A162" s="72">
        <v>42384</v>
      </c>
      <c r="B162" s="71">
        <v>1.21428</v>
      </c>
      <c r="C162" s="71">
        <v>2248547.7282229899</v>
      </c>
    </row>
    <row r="163" spans="1:3" ht="13">
      <c r="A163" s="72">
        <v>42385</v>
      </c>
      <c r="B163" s="71">
        <v>1.2285299999999999</v>
      </c>
      <c r="C163" s="71">
        <v>3402080.2083333302</v>
      </c>
    </row>
    <row r="164" spans="1:3" ht="13">
      <c r="A164" s="72">
        <v>42386</v>
      </c>
      <c r="B164" s="71">
        <v>1.32883</v>
      </c>
      <c r="C164" s="71">
        <v>1712273.7152777701</v>
      </c>
    </row>
    <row r="165" spans="1:3" ht="13">
      <c r="A165" s="72">
        <v>42387</v>
      </c>
      <c r="B165" s="71">
        <v>1.4206799999999999</v>
      </c>
      <c r="C165" s="71">
        <v>2641140.1045296099</v>
      </c>
    </row>
    <row r="166" spans="1:3" ht="13">
      <c r="A166" s="72">
        <v>42388</v>
      </c>
      <c r="B166" s="71">
        <v>1.37321</v>
      </c>
      <c r="C166" s="71">
        <v>3711199.3402777701</v>
      </c>
    </row>
    <row r="167" spans="1:3" ht="13">
      <c r="A167" s="72">
        <v>42389</v>
      </c>
      <c r="B167" s="71">
        <v>1.5337499999999999</v>
      </c>
      <c r="C167" s="71">
        <v>2258942.29166666</v>
      </c>
    </row>
    <row r="168" spans="1:3" ht="13">
      <c r="A168" s="72">
        <v>42390</v>
      </c>
      <c r="B168" s="71">
        <v>1.5510999999999999</v>
      </c>
      <c r="C168" s="71">
        <v>2604236.8771929801</v>
      </c>
    </row>
    <row r="169" spans="1:3" ht="13">
      <c r="A169" s="72">
        <v>42391</v>
      </c>
      <c r="B169" s="71">
        <v>1.49977</v>
      </c>
      <c r="C169" s="71">
        <v>1602193.54166666</v>
      </c>
    </row>
    <row r="170" spans="1:3" ht="13">
      <c r="A170" s="72">
        <v>42392</v>
      </c>
      <c r="B170" s="71">
        <v>1.9929399999999999</v>
      </c>
      <c r="C170" s="71">
        <v>3397400.10416666</v>
      </c>
    </row>
    <row r="171" spans="1:3" ht="13">
      <c r="A171" s="72">
        <v>42393</v>
      </c>
      <c r="B171" s="71">
        <v>2.1483699999999999</v>
      </c>
      <c r="C171" s="71">
        <v>9849305.1388888806</v>
      </c>
    </row>
    <row r="172" spans="1:3" ht="13">
      <c r="A172" s="72">
        <v>42394</v>
      </c>
      <c r="B172" s="71">
        <v>2.49627</v>
      </c>
      <c r="C172" s="71">
        <v>8535019.3031358793</v>
      </c>
    </row>
    <row r="173" spans="1:3" ht="13">
      <c r="A173" s="72">
        <v>42395</v>
      </c>
      <c r="B173" s="71">
        <v>2.2250700000000001</v>
      </c>
      <c r="C173" s="71">
        <v>12992609.375</v>
      </c>
    </row>
    <row r="174" spans="1:3" ht="13">
      <c r="A174" s="72">
        <v>42396</v>
      </c>
      <c r="B174" s="71">
        <v>2.3993000000000002</v>
      </c>
      <c r="C174" s="71">
        <v>11861585.2797202</v>
      </c>
    </row>
    <row r="175" spans="1:3" ht="13">
      <c r="A175" s="72">
        <v>42397</v>
      </c>
      <c r="B175" s="71">
        <v>2.51959</v>
      </c>
      <c r="C175" s="71">
        <v>5787734.0069686398</v>
      </c>
    </row>
    <row r="176" spans="1:3" ht="13">
      <c r="A176" s="72">
        <v>42398</v>
      </c>
      <c r="B176" s="71">
        <v>2.4876800000000001</v>
      </c>
      <c r="C176" s="71">
        <v>5671072.3263888797</v>
      </c>
    </row>
    <row r="177" spans="1:3" ht="13">
      <c r="A177" s="72">
        <v>42399</v>
      </c>
      <c r="B177" s="71">
        <v>2.4396499999999999</v>
      </c>
      <c r="C177" s="71">
        <v>5183077.3263888797</v>
      </c>
    </row>
    <row r="178" spans="1:3" ht="13">
      <c r="A178" s="72">
        <v>42400</v>
      </c>
      <c r="B178" s="71">
        <v>2.3050600000000001</v>
      </c>
      <c r="C178" s="71">
        <v>4297760.5555555504</v>
      </c>
    </row>
    <row r="179" spans="1:3" ht="13">
      <c r="A179" s="72">
        <v>42401</v>
      </c>
      <c r="B179" s="71">
        <v>2.2205499999999998</v>
      </c>
      <c r="C179" s="71">
        <v>5651593.2752613202</v>
      </c>
    </row>
    <row r="180" spans="1:3" ht="13">
      <c r="A180" s="72">
        <v>42402</v>
      </c>
      <c r="B180" s="71">
        <v>2.4283800000000002</v>
      </c>
      <c r="C180" s="71">
        <v>3077406.0763888801</v>
      </c>
    </row>
    <row r="181" spans="1:3" ht="13">
      <c r="A181" s="72">
        <v>42403</v>
      </c>
      <c r="B181" s="71">
        <v>2.5224299999999999</v>
      </c>
      <c r="C181" s="71">
        <v>3798997.2569444398</v>
      </c>
    </row>
    <row r="182" spans="1:3" ht="13">
      <c r="A182" s="72">
        <v>42404</v>
      </c>
      <c r="B182" s="71">
        <v>2.5760800000000001</v>
      </c>
      <c r="C182" s="71">
        <v>3912958.3972125398</v>
      </c>
    </row>
    <row r="183" spans="1:3" ht="13">
      <c r="A183" s="72">
        <v>42405</v>
      </c>
      <c r="B183" s="71">
        <v>2.5387</v>
      </c>
      <c r="C183" s="71">
        <v>3249936.7708333302</v>
      </c>
    </row>
    <row r="184" spans="1:3" ht="13">
      <c r="A184" s="72">
        <v>42406</v>
      </c>
      <c r="B184" s="71">
        <v>2.5345900000000001</v>
      </c>
      <c r="C184" s="71">
        <v>2376958.0902777701</v>
      </c>
    </row>
    <row r="185" spans="1:3" ht="13">
      <c r="A185" s="72">
        <v>42407</v>
      </c>
      <c r="B185" s="71">
        <v>2.95824</v>
      </c>
      <c r="C185" s="71">
        <v>2992252.8472222202</v>
      </c>
    </row>
    <row r="186" spans="1:3" ht="13">
      <c r="A186" s="72">
        <v>42408</v>
      </c>
      <c r="B186" s="71">
        <v>3.18208</v>
      </c>
      <c r="C186" s="71">
        <v>9473186.0278745592</v>
      </c>
    </row>
    <row r="187" spans="1:3" ht="13">
      <c r="A187" s="72">
        <v>42409</v>
      </c>
      <c r="B187" s="71">
        <v>3.9523100000000002</v>
      </c>
      <c r="C187" s="71">
        <v>12513354.826388801</v>
      </c>
    </row>
    <row r="188" spans="1:3" ht="13">
      <c r="A188" s="72">
        <v>42410</v>
      </c>
      <c r="B188" s="71">
        <v>4.4381399999999998</v>
      </c>
      <c r="C188" s="71">
        <v>25496465.625</v>
      </c>
    </row>
    <row r="189" spans="1:3" ht="13">
      <c r="A189" s="72">
        <v>42411</v>
      </c>
      <c r="B189" s="71">
        <v>5.9188599999999996</v>
      </c>
      <c r="C189" s="71">
        <v>22869072.473867498</v>
      </c>
    </row>
    <row r="190" spans="1:3" ht="13">
      <c r="A190" s="72">
        <v>42412</v>
      </c>
      <c r="B190" s="71">
        <v>5.5276899999999998</v>
      </c>
      <c r="C190" s="71">
        <v>31119087.5</v>
      </c>
    </row>
    <row r="191" spans="1:3" ht="13">
      <c r="A191" s="72">
        <v>42413</v>
      </c>
      <c r="B191" s="71">
        <v>5.2937599999999998</v>
      </c>
      <c r="C191" s="71">
        <v>20894353.472222202</v>
      </c>
    </row>
    <row r="192" spans="1:3" ht="13">
      <c r="A192" s="72">
        <v>42414</v>
      </c>
      <c r="B192" s="71">
        <v>5.2298099999999996</v>
      </c>
      <c r="C192" s="71">
        <v>18067940.625</v>
      </c>
    </row>
    <row r="193" spans="1:3" ht="13">
      <c r="A193" s="72">
        <v>42415</v>
      </c>
      <c r="B193" s="71">
        <v>5.3116199999999996</v>
      </c>
      <c r="C193" s="71">
        <v>12752345.6445993</v>
      </c>
    </row>
    <row r="194" spans="1:3" ht="13">
      <c r="A194" s="72">
        <v>42416</v>
      </c>
      <c r="B194" s="71">
        <v>4.3261900000000004</v>
      </c>
      <c r="C194" s="71">
        <v>12812446.875</v>
      </c>
    </row>
    <row r="195" spans="1:3" ht="13">
      <c r="A195" s="72">
        <v>42417</v>
      </c>
      <c r="B195" s="71">
        <v>3.73732</v>
      </c>
      <c r="C195" s="71">
        <v>16466896.875</v>
      </c>
    </row>
    <row r="196" spans="1:3" ht="13">
      <c r="A196" s="72">
        <v>42418</v>
      </c>
      <c r="B196" s="71">
        <v>4.4036799999999996</v>
      </c>
      <c r="C196" s="71">
        <v>17758500</v>
      </c>
    </row>
    <row r="197" spans="1:3" ht="13">
      <c r="A197" s="72">
        <v>42419</v>
      </c>
      <c r="B197" s="71">
        <v>4.6917799999999996</v>
      </c>
      <c r="C197" s="71">
        <v>11996226.7708333</v>
      </c>
    </row>
    <row r="198" spans="1:3" ht="13">
      <c r="A198" s="72">
        <v>42420</v>
      </c>
      <c r="B198" s="71">
        <v>4.3306500000000003</v>
      </c>
      <c r="C198" s="71">
        <v>7297293.75</v>
      </c>
    </row>
    <row r="199" spans="1:3" ht="13">
      <c r="A199" s="72">
        <v>42421</v>
      </c>
      <c r="B199" s="71">
        <v>4.6615599999999997</v>
      </c>
      <c r="C199" s="71">
        <v>7858350.3819444403</v>
      </c>
    </row>
    <row r="200" spans="1:3" ht="13">
      <c r="A200" s="72">
        <v>42422</v>
      </c>
      <c r="B200" s="71">
        <v>5.60778</v>
      </c>
      <c r="C200" s="71">
        <v>10986745.087107999</v>
      </c>
    </row>
    <row r="201" spans="1:3" ht="13">
      <c r="A201" s="72">
        <v>42423</v>
      </c>
      <c r="B201" s="71">
        <v>5.5766600000000004</v>
      </c>
      <c r="C201" s="71">
        <v>15704157.291666601</v>
      </c>
    </row>
    <row r="202" spans="1:3" ht="13">
      <c r="A202" s="72">
        <v>42424</v>
      </c>
      <c r="B202" s="71">
        <v>6.2162699999999997</v>
      </c>
      <c r="C202" s="71">
        <v>10056219.0277777</v>
      </c>
    </row>
    <row r="203" spans="1:3" ht="13">
      <c r="A203" s="72">
        <v>42425</v>
      </c>
      <c r="B203" s="71">
        <v>6.1061199999999998</v>
      </c>
      <c r="C203" s="71">
        <v>16279495.759717301</v>
      </c>
    </row>
    <row r="204" spans="1:3" ht="13">
      <c r="A204" s="72">
        <v>42426</v>
      </c>
      <c r="B204" s="71">
        <v>5.9079100000000002</v>
      </c>
      <c r="C204" s="71">
        <v>16684438.0208333</v>
      </c>
    </row>
    <row r="205" spans="1:3" ht="13">
      <c r="A205" s="72">
        <v>42427</v>
      </c>
      <c r="B205" s="71">
        <v>6.3813899999999997</v>
      </c>
      <c r="C205" s="71">
        <v>8853967.5347222202</v>
      </c>
    </row>
    <row r="206" spans="1:3" ht="13">
      <c r="A206" s="72">
        <v>42428</v>
      </c>
      <c r="B206" s="71">
        <v>6.4432900000000002</v>
      </c>
      <c r="C206" s="71">
        <v>9502435.1736111101</v>
      </c>
    </row>
    <row r="207" spans="1:3" ht="13">
      <c r="A207" s="72">
        <v>42429</v>
      </c>
      <c r="B207" s="71">
        <v>6.32308</v>
      </c>
      <c r="C207" s="71">
        <v>8799886.3986013904</v>
      </c>
    </row>
    <row r="208" spans="1:3" ht="13">
      <c r="A208" s="72">
        <v>42430</v>
      </c>
      <c r="B208" s="71">
        <v>7.5734500000000002</v>
      </c>
      <c r="C208" s="71">
        <v>11055593.194444399</v>
      </c>
    </row>
    <row r="209" spans="1:3" ht="13">
      <c r="A209" s="72">
        <v>42431</v>
      </c>
      <c r="B209" s="71">
        <v>8.4784799999999994</v>
      </c>
      <c r="C209" s="71">
        <v>27292373.958333299</v>
      </c>
    </row>
    <row r="210" spans="1:3" ht="13">
      <c r="A210" s="72">
        <v>42432</v>
      </c>
      <c r="B210" s="71">
        <v>9.3885400000000008</v>
      </c>
      <c r="C210" s="71">
        <v>33644714.982578397</v>
      </c>
    </row>
    <row r="211" spans="1:3" ht="13">
      <c r="A211" s="72">
        <v>42433</v>
      </c>
      <c r="B211" s="71">
        <v>10.392799999999999</v>
      </c>
      <c r="C211" s="71">
        <v>38147118.0555555</v>
      </c>
    </row>
    <row r="212" spans="1:3" ht="13">
      <c r="A212" s="72">
        <v>42434</v>
      </c>
      <c r="B212" s="71">
        <v>10.746600000000001</v>
      </c>
      <c r="C212" s="71">
        <v>42967097.569444403</v>
      </c>
    </row>
    <row r="213" spans="1:3" ht="13">
      <c r="A213" s="72">
        <v>42435</v>
      </c>
      <c r="B213" s="71">
        <v>11.222799999999999</v>
      </c>
      <c r="C213" s="71">
        <v>52890183.333333299</v>
      </c>
    </row>
    <row r="214" spans="1:3" ht="13">
      <c r="A214" s="72">
        <v>42436</v>
      </c>
      <c r="B214" s="71">
        <v>9.4489900000000002</v>
      </c>
      <c r="C214" s="71">
        <v>35484116.376306601</v>
      </c>
    </row>
    <row r="215" spans="1:3" ht="13">
      <c r="A215" s="72">
        <v>42437</v>
      </c>
      <c r="B215" s="71">
        <v>9.8353999999999999</v>
      </c>
      <c r="C215" s="71">
        <v>32855838.888888799</v>
      </c>
    </row>
    <row r="216" spans="1:3" ht="13">
      <c r="A216" s="72">
        <v>42438</v>
      </c>
      <c r="B216" s="71">
        <v>11.9091</v>
      </c>
      <c r="C216" s="71">
        <v>21653758.333333299</v>
      </c>
    </row>
    <row r="217" spans="1:3" ht="13">
      <c r="A217" s="72">
        <v>42439</v>
      </c>
      <c r="B217" s="71">
        <v>11.2456</v>
      </c>
      <c r="C217" s="71">
        <v>29719201.045296099</v>
      </c>
    </row>
    <row r="218" spans="1:3" ht="13">
      <c r="A218" s="72">
        <v>42440</v>
      </c>
      <c r="B218" s="71">
        <v>11.118600000000001</v>
      </c>
      <c r="C218" s="71">
        <v>24466332.986111101</v>
      </c>
    </row>
    <row r="219" spans="1:3" ht="13">
      <c r="A219" s="72">
        <v>42441</v>
      </c>
      <c r="B219" s="71">
        <v>13.4747</v>
      </c>
      <c r="C219" s="71">
        <v>40347471.875</v>
      </c>
    </row>
    <row r="220" spans="1:3" ht="13">
      <c r="A220" s="72">
        <v>42442</v>
      </c>
      <c r="B220" s="71">
        <v>14.2982</v>
      </c>
      <c r="C220" s="71">
        <v>40289214.583333299</v>
      </c>
    </row>
    <row r="221" spans="1:3" ht="13">
      <c r="A221" s="72">
        <v>42443</v>
      </c>
      <c r="B221" s="71">
        <v>12.318</v>
      </c>
      <c r="C221" s="71">
        <v>55018629.6167247</v>
      </c>
    </row>
    <row r="222" spans="1:3" ht="13">
      <c r="A222" s="72">
        <v>42444</v>
      </c>
      <c r="B222" s="71">
        <v>13.082800000000001</v>
      </c>
      <c r="C222" s="71">
        <v>42011479.166666597</v>
      </c>
    </row>
    <row r="223" spans="1:3" ht="13">
      <c r="A223" s="72">
        <v>42445</v>
      </c>
      <c r="B223" s="71">
        <v>12.5367</v>
      </c>
      <c r="C223" s="71">
        <v>26424719.791666601</v>
      </c>
    </row>
    <row r="224" spans="1:3" ht="13">
      <c r="A224" s="72">
        <v>42446</v>
      </c>
      <c r="B224" s="71">
        <v>11.006</v>
      </c>
      <c r="C224" s="71">
        <v>32140588.339222599</v>
      </c>
    </row>
    <row r="225" spans="1:3" ht="13">
      <c r="A225" s="72">
        <v>42447</v>
      </c>
      <c r="B225" s="71">
        <v>10.892899999999999</v>
      </c>
      <c r="C225" s="71">
        <v>44349553.125</v>
      </c>
    </row>
    <row r="226" spans="1:3" ht="13">
      <c r="A226" s="72">
        <v>42448</v>
      </c>
      <c r="B226" s="71">
        <v>10.5558</v>
      </c>
      <c r="C226" s="71">
        <v>43739127.4305555</v>
      </c>
    </row>
    <row r="227" spans="1:3" ht="13">
      <c r="A227" s="72">
        <v>42449</v>
      </c>
      <c r="B227" s="71">
        <v>10.343999999999999</v>
      </c>
      <c r="C227" s="71">
        <v>19138570.833333299</v>
      </c>
    </row>
    <row r="228" spans="1:3" ht="13">
      <c r="A228" s="72">
        <v>42450</v>
      </c>
      <c r="B228" s="71">
        <v>11.7966</v>
      </c>
      <c r="C228" s="71">
        <v>22328404.676258899</v>
      </c>
    </row>
    <row r="229" spans="1:3" ht="13">
      <c r="A229" s="72">
        <v>42451</v>
      </c>
      <c r="B229" s="71">
        <v>11.273199999999999</v>
      </c>
      <c r="C229" s="71">
        <v>26562934.027777702</v>
      </c>
    </row>
    <row r="230" spans="1:3" ht="13">
      <c r="A230" s="72">
        <v>42452</v>
      </c>
      <c r="B230" s="71">
        <v>12.392300000000001</v>
      </c>
      <c r="C230" s="71">
        <v>18860569.097222202</v>
      </c>
    </row>
    <row r="231" spans="1:3" ht="13">
      <c r="A231" s="72">
        <v>42453</v>
      </c>
      <c r="B231" s="71">
        <v>11.235300000000001</v>
      </c>
      <c r="C231" s="71">
        <v>25455836.9337979</v>
      </c>
    </row>
    <row r="232" spans="1:3" ht="13">
      <c r="A232" s="72">
        <v>42454</v>
      </c>
      <c r="B232" s="71">
        <v>10.698700000000001</v>
      </c>
      <c r="C232" s="71">
        <v>18404352.961672399</v>
      </c>
    </row>
    <row r="233" spans="1:3" ht="13">
      <c r="A233" s="72">
        <v>42455</v>
      </c>
      <c r="B233" s="71">
        <v>10.964600000000001</v>
      </c>
      <c r="C233" s="71">
        <v>11437420.5902777</v>
      </c>
    </row>
    <row r="234" spans="1:3" ht="13">
      <c r="A234" s="72">
        <v>42456</v>
      </c>
      <c r="B234" s="71">
        <v>10.4109</v>
      </c>
      <c r="C234" s="71">
        <v>9695824.8263888806</v>
      </c>
    </row>
    <row r="235" spans="1:3" ht="13">
      <c r="A235" s="72">
        <v>42457</v>
      </c>
      <c r="B235" s="71">
        <v>11.660299999999999</v>
      </c>
      <c r="C235" s="71">
        <v>23575903.484320499</v>
      </c>
    </row>
    <row r="236" spans="1:3" ht="13">
      <c r="A236" s="72">
        <v>42458</v>
      </c>
      <c r="B236" s="71">
        <v>11.593999999999999</v>
      </c>
      <c r="C236" s="71">
        <v>18964893.402777702</v>
      </c>
    </row>
    <row r="237" spans="1:3" ht="13">
      <c r="A237" s="72">
        <v>42459</v>
      </c>
      <c r="B237" s="71">
        <v>11.931900000000001</v>
      </c>
      <c r="C237" s="71">
        <v>18629402.083333299</v>
      </c>
    </row>
    <row r="238" spans="1:3" ht="13">
      <c r="A238" s="72">
        <v>42460</v>
      </c>
      <c r="B238" s="71">
        <v>11.4091</v>
      </c>
      <c r="C238" s="71">
        <v>16035998.2578397</v>
      </c>
    </row>
    <row r="239" spans="1:3" ht="13">
      <c r="A239" s="72">
        <v>42461</v>
      </c>
      <c r="B239" s="71">
        <v>11.663500000000001</v>
      </c>
      <c r="C239" s="71">
        <v>15451750</v>
      </c>
    </row>
    <row r="240" spans="1:3" ht="13">
      <c r="A240" s="72">
        <v>42462</v>
      </c>
      <c r="B240" s="71">
        <v>11.597200000000001</v>
      </c>
      <c r="C240" s="71">
        <v>10106915.069444399</v>
      </c>
    </row>
    <row r="241" spans="1:3" ht="13">
      <c r="A241" s="72">
        <v>42463</v>
      </c>
      <c r="B241" s="71">
        <v>11.6028</v>
      </c>
      <c r="C241" s="71">
        <v>6622514.63157894</v>
      </c>
    </row>
    <row r="242" spans="1:3" ht="13">
      <c r="A242" s="72">
        <v>42464</v>
      </c>
      <c r="B242" s="71">
        <v>11.1715</v>
      </c>
      <c r="C242" s="71">
        <v>7227387.9929577401</v>
      </c>
    </row>
    <row r="243" spans="1:3" ht="13">
      <c r="A243" s="72">
        <v>42465</v>
      </c>
      <c r="B243" s="71">
        <v>10.443</v>
      </c>
      <c r="C243" s="71">
        <v>14131702.978723399</v>
      </c>
    </row>
    <row r="244" spans="1:3" ht="13">
      <c r="A244" s="72">
        <v>42466</v>
      </c>
      <c r="B244" s="71">
        <v>10.672700000000001</v>
      </c>
      <c r="C244" s="71">
        <v>20977192.013888799</v>
      </c>
    </row>
    <row r="245" spans="1:3" ht="13">
      <c r="A245" s="72">
        <v>42467</v>
      </c>
      <c r="B245" s="71">
        <v>10.052</v>
      </c>
      <c r="C245" s="71">
        <v>13318240.5944055</v>
      </c>
    </row>
    <row r="246" spans="1:3" ht="13">
      <c r="A246" s="72">
        <v>42468</v>
      </c>
      <c r="B246" s="71">
        <v>9.7343200000000003</v>
      </c>
      <c r="C246" s="71">
        <v>15555722.2222222</v>
      </c>
    </row>
    <row r="247" spans="1:3" ht="13">
      <c r="A247" s="72">
        <v>42469</v>
      </c>
      <c r="B247" s="71">
        <v>9.1470599999999997</v>
      </c>
      <c r="C247" s="71">
        <v>13801153.4722222</v>
      </c>
    </row>
    <row r="248" spans="1:3" ht="13">
      <c r="A248" s="72">
        <v>42470</v>
      </c>
      <c r="B248" s="71">
        <v>8.9370200000000004</v>
      </c>
      <c r="C248" s="71">
        <v>28232852.961672399</v>
      </c>
    </row>
    <row r="249" spans="1:3" ht="13">
      <c r="A249" s="72">
        <v>42471</v>
      </c>
      <c r="B249" s="71">
        <v>8.6479099999999995</v>
      </c>
      <c r="C249" s="71">
        <v>31448996.875</v>
      </c>
    </row>
    <row r="250" spans="1:3" ht="13">
      <c r="A250" s="72">
        <v>42472</v>
      </c>
      <c r="B250" s="71">
        <v>7.4488500000000002</v>
      </c>
      <c r="C250" s="71">
        <v>16527432.986111101</v>
      </c>
    </row>
    <row r="251" spans="1:3" ht="13">
      <c r="A251" s="72">
        <v>42473</v>
      </c>
      <c r="B251" s="71">
        <v>8.0285499999999992</v>
      </c>
      <c r="C251" s="71">
        <v>28522839.9305555</v>
      </c>
    </row>
    <row r="252" spans="1:3" ht="13">
      <c r="A252" s="72">
        <v>42474</v>
      </c>
      <c r="B252" s="71">
        <v>8.3944399999999995</v>
      </c>
      <c r="C252" s="71">
        <v>23646020.209059201</v>
      </c>
    </row>
    <row r="253" spans="1:3" ht="13">
      <c r="A253" s="72">
        <v>42475</v>
      </c>
      <c r="B253" s="71">
        <v>8.2412500000000009</v>
      </c>
      <c r="C253" s="71">
        <v>12301127.4305555</v>
      </c>
    </row>
    <row r="254" spans="1:3" ht="13">
      <c r="A254" s="72">
        <v>42476</v>
      </c>
      <c r="B254" s="71">
        <v>8.6061999999999994</v>
      </c>
      <c r="C254" s="71">
        <v>10442531.5972222</v>
      </c>
    </row>
    <row r="255" spans="1:3" ht="13">
      <c r="A255" s="72">
        <v>42477</v>
      </c>
      <c r="B255" s="71">
        <v>9.2850599999999996</v>
      </c>
      <c r="C255" s="71">
        <v>19276618.397212502</v>
      </c>
    </row>
    <row r="256" spans="1:3" ht="13">
      <c r="A256" s="72">
        <v>42478</v>
      </c>
      <c r="B256" s="71">
        <v>8.9999099999999999</v>
      </c>
      <c r="C256" s="71">
        <v>21727934.375</v>
      </c>
    </row>
    <row r="257" spans="1:3" ht="13">
      <c r="A257" s="72">
        <v>42479</v>
      </c>
      <c r="B257" s="71">
        <v>8.7175999999999991</v>
      </c>
      <c r="C257" s="71">
        <v>15803330.381944399</v>
      </c>
    </row>
    <row r="258" spans="1:3" ht="13">
      <c r="A258" s="72">
        <v>42480</v>
      </c>
      <c r="B258" s="71">
        <v>8.47668</v>
      </c>
      <c r="C258" s="71">
        <v>15149612.5</v>
      </c>
    </row>
    <row r="259" spans="1:3" ht="13">
      <c r="A259" s="72">
        <v>42481</v>
      </c>
      <c r="B259" s="71">
        <v>8.10778</v>
      </c>
      <c r="C259" s="71">
        <v>13143854.703832701</v>
      </c>
    </row>
    <row r="260" spans="1:3" ht="13">
      <c r="A260" s="72">
        <v>42482</v>
      </c>
      <c r="B260" s="71">
        <v>7.8150700000000004</v>
      </c>
      <c r="C260" s="71">
        <v>14689387.8472222</v>
      </c>
    </row>
    <row r="261" spans="1:3" ht="13">
      <c r="A261" s="72">
        <v>42483</v>
      </c>
      <c r="B261" s="71">
        <v>8.3077799999999993</v>
      </c>
      <c r="C261" s="71">
        <v>12358417.3958333</v>
      </c>
    </row>
    <row r="262" spans="1:3" ht="13">
      <c r="A262" s="72">
        <v>42484</v>
      </c>
      <c r="B262" s="71">
        <v>7.99437</v>
      </c>
      <c r="C262" s="71">
        <v>14288993.031358801</v>
      </c>
    </row>
    <row r="263" spans="1:3" ht="13">
      <c r="A263" s="72">
        <v>42485</v>
      </c>
      <c r="B263" s="71">
        <v>7.5146899999999999</v>
      </c>
      <c r="C263" s="71">
        <v>11502305.2430555</v>
      </c>
    </row>
    <row r="264" spans="1:3" ht="13">
      <c r="A264" s="72">
        <v>42486</v>
      </c>
      <c r="B264" s="71">
        <v>7.3996700000000004</v>
      </c>
      <c r="C264" s="71">
        <v>21082705.923344899</v>
      </c>
    </row>
    <row r="265" spans="1:3" ht="13">
      <c r="A265" s="72">
        <v>42487</v>
      </c>
      <c r="B265" s="71">
        <v>7.7717200000000002</v>
      </c>
      <c r="C265" s="71">
        <v>17779245.833333299</v>
      </c>
    </row>
    <row r="266" spans="1:3" ht="13">
      <c r="A266" s="72">
        <v>42488</v>
      </c>
      <c r="B266" s="71">
        <v>7.1819899999999999</v>
      </c>
      <c r="C266" s="71">
        <v>17266994.773519099</v>
      </c>
    </row>
    <row r="267" spans="1:3" ht="13">
      <c r="A267" s="72">
        <v>42489</v>
      </c>
      <c r="B267" s="71">
        <v>7.4587199999999996</v>
      </c>
      <c r="C267" s="71">
        <v>9356922.4305555504</v>
      </c>
    </row>
    <row r="268" spans="1:3" ht="13">
      <c r="A268" s="72">
        <v>42490</v>
      </c>
      <c r="B268" s="71">
        <v>8.8325099999999992</v>
      </c>
      <c r="C268" s="71">
        <v>18646159.166666601</v>
      </c>
    </row>
    <row r="269" spans="1:3" ht="13">
      <c r="A269" s="72">
        <v>42491</v>
      </c>
      <c r="B269" s="71">
        <v>8.8111800000000002</v>
      </c>
      <c r="C269" s="71">
        <v>31009207.665505201</v>
      </c>
    </row>
    <row r="270" spans="1:3" ht="13">
      <c r="A270" s="72">
        <v>42492</v>
      </c>
      <c r="B270" s="71">
        <v>10.147</v>
      </c>
      <c r="C270" s="71">
        <v>28696799.652777702</v>
      </c>
    </row>
    <row r="271" spans="1:3" ht="13">
      <c r="A271" s="72">
        <v>42493</v>
      </c>
      <c r="B271" s="71">
        <v>9.4006399999999992</v>
      </c>
      <c r="C271" s="71">
        <v>30854978.472222202</v>
      </c>
    </row>
    <row r="272" spans="1:3" ht="13">
      <c r="A272" s="72">
        <v>42494</v>
      </c>
      <c r="B272" s="71">
        <v>9.4058600000000006</v>
      </c>
      <c r="C272" s="71">
        <v>19303186.8055555</v>
      </c>
    </row>
    <row r="273" spans="1:3" ht="13">
      <c r="A273" s="72">
        <v>42495</v>
      </c>
      <c r="B273" s="71">
        <v>9.81006</v>
      </c>
      <c r="C273" s="71">
        <v>17003657.839721199</v>
      </c>
    </row>
    <row r="274" spans="1:3" ht="13">
      <c r="A274" s="72">
        <v>42496</v>
      </c>
      <c r="B274" s="71">
        <v>9.3249700000000004</v>
      </c>
      <c r="C274" s="71">
        <v>18242635.069444399</v>
      </c>
    </row>
    <row r="275" spans="1:3" ht="13">
      <c r="A275" s="72">
        <v>42497</v>
      </c>
      <c r="B275" s="71">
        <v>9.3942899999999998</v>
      </c>
      <c r="C275" s="71">
        <v>19139301.736111101</v>
      </c>
    </row>
    <row r="276" spans="1:3" ht="13">
      <c r="A276" s="72">
        <v>42498</v>
      </c>
      <c r="B276" s="71">
        <v>9.4794</v>
      </c>
      <c r="C276" s="71">
        <v>13037270.034843201</v>
      </c>
    </row>
    <row r="277" spans="1:3" ht="13">
      <c r="A277" s="72">
        <v>42499</v>
      </c>
      <c r="B277" s="71">
        <v>9.30335</v>
      </c>
      <c r="C277" s="71">
        <v>13317029.166666601</v>
      </c>
    </row>
    <row r="278" spans="1:3" ht="13">
      <c r="A278" s="72">
        <v>42500</v>
      </c>
      <c r="B278" s="71">
        <v>9.3501200000000004</v>
      </c>
      <c r="C278" s="71">
        <v>11260124.9652777</v>
      </c>
    </row>
    <row r="279" spans="1:3" ht="13">
      <c r="A279" s="72">
        <v>42501</v>
      </c>
      <c r="B279" s="71">
        <v>9.9929199999999998</v>
      </c>
      <c r="C279" s="71">
        <v>11975093.9583333</v>
      </c>
    </row>
    <row r="280" spans="1:3" ht="13">
      <c r="A280" s="72">
        <v>42502</v>
      </c>
      <c r="B280" s="71">
        <v>10.082000000000001</v>
      </c>
      <c r="C280" s="71">
        <v>18601918.118466899</v>
      </c>
    </row>
    <row r="281" spans="1:3" ht="13">
      <c r="A281" s="72">
        <v>42503</v>
      </c>
      <c r="B281" s="71">
        <v>10.545299999999999</v>
      </c>
      <c r="C281" s="71">
        <v>29654212.5</v>
      </c>
    </row>
    <row r="282" spans="1:3" ht="13">
      <c r="A282" s="72">
        <v>42504</v>
      </c>
      <c r="B282" s="71">
        <v>10.226100000000001</v>
      </c>
      <c r="C282" s="71">
        <v>26290877.777777702</v>
      </c>
    </row>
    <row r="283" spans="1:3" ht="13">
      <c r="A283" s="72">
        <v>42505</v>
      </c>
      <c r="B283" s="71">
        <v>9.9589200000000009</v>
      </c>
      <c r="C283" s="71">
        <v>13229632.6132404</v>
      </c>
    </row>
    <row r="284" spans="1:3" ht="13">
      <c r="A284" s="72">
        <v>42506</v>
      </c>
      <c r="B284" s="71">
        <v>11.172000000000001</v>
      </c>
      <c r="C284" s="71">
        <v>13552835.486111101</v>
      </c>
    </row>
    <row r="285" spans="1:3" ht="13">
      <c r="A285" s="72">
        <v>42507</v>
      </c>
      <c r="B285" s="71">
        <v>12.187099999999999</v>
      </c>
      <c r="C285" s="71">
        <v>37648225.347222202</v>
      </c>
    </row>
    <row r="286" spans="1:3" ht="13">
      <c r="A286" s="72">
        <v>42508</v>
      </c>
      <c r="B286" s="71">
        <v>13.4824</v>
      </c>
      <c r="C286" s="71">
        <v>52085614.049586698</v>
      </c>
    </row>
    <row r="287" spans="1:3" ht="13">
      <c r="A287" s="72">
        <v>42509</v>
      </c>
      <c r="B287" s="71">
        <v>14.8728</v>
      </c>
      <c r="C287" s="71">
        <v>55210500.348431997</v>
      </c>
    </row>
    <row r="288" spans="1:3" ht="13">
      <c r="A288" s="72">
        <v>42510</v>
      </c>
      <c r="B288" s="71">
        <v>13.608599999999999</v>
      </c>
      <c r="C288" s="71">
        <v>57157057.291666597</v>
      </c>
    </row>
    <row r="289" spans="1:3" ht="13">
      <c r="A289" s="72">
        <v>42511</v>
      </c>
      <c r="B289" s="71">
        <v>14.0276</v>
      </c>
      <c r="C289" s="71">
        <v>38614975.347222202</v>
      </c>
    </row>
    <row r="290" spans="1:3" ht="13">
      <c r="A290" s="72">
        <v>42512</v>
      </c>
      <c r="B290" s="71">
        <v>14.286199999999999</v>
      </c>
      <c r="C290" s="71">
        <v>18006934.146341398</v>
      </c>
    </row>
    <row r="291" spans="1:3" ht="13">
      <c r="A291" s="72">
        <v>42513</v>
      </c>
      <c r="B291" s="71">
        <v>13.283300000000001</v>
      </c>
      <c r="C291" s="71">
        <v>19512928.819444399</v>
      </c>
    </row>
    <row r="292" spans="1:3" ht="13">
      <c r="A292" s="72">
        <v>42514</v>
      </c>
      <c r="B292" s="71">
        <v>12.706200000000001</v>
      </c>
      <c r="C292" s="71">
        <v>31098171.527777702</v>
      </c>
    </row>
    <row r="293" spans="1:3" ht="13">
      <c r="A293" s="72">
        <v>42515</v>
      </c>
      <c r="B293" s="71">
        <v>12.5358</v>
      </c>
      <c r="C293" s="71">
        <v>36333525</v>
      </c>
    </row>
    <row r="294" spans="1:3" ht="13">
      <c r="A294" s="72">
        <v>42516</v>
      </c>
      <c r="B294" s="71">
        <v>12.457700000000001</v>
      </c>
      <c r="C294" s="71">
        <v>25821444.947735101</v>
      </c>
    </row>
    <row r="295" spans="1:3" ht="13">
      <c r="A295" s="72">
        <v>42517</v>
      </c>
      <c r="B295" s="71">
        <v>11.327</v>
      </c>
      <c r="C295" s="71">
        <v>44411655.902777702</v>
      </c>
    </row>
    <row r="296" spans="1:3" ht="13">
      <c r="A296" s="72">
        <v>42518</v>
      </c>
      <c r="B296" s="71">
        <v>11.82</v>
      </c>
      <c r="C296" s="71">
        <v>45870992.361111097</v>
      </c>
    </row>
    <row r="297" spans="1:3" ht="13">
      <c r="A297" s="72">
        <v>42519</v>
      </c>
      <c r="B297" s="71">
        <v>12.3872</v>
      </c>
      <c r="C297" s="71">
        <v>35697387.456445903</v>
      </c>
    </row>
    <row r="298" spans="1:3" ht="13">
      <c r="A298" s="72">
        <v>42520</v>
      </c>
      <c r="B298" s="71">
        <v>12.749700000000001</v>
      </c>
      <c r="C298" s="71">
        <v>22539601.736111101</v>
      </c>
    </row>
    <row r="299" spans="1:3" ht="13">
      <c r="A299" s="72">
        <v>42521</v>
      </c>
      <c r="B299" s="71">
        <v>14.0619</v>
      </c>
      <c r="C299" s="71">
        <v>22081905.5555555</v>
      </c>
    </row>
    <row r="300" spans="1:3" ht="13">
      <c r="A300" s="72">
        <v>42522</v>
      </c>
      <c r="B300" s="71">
        <v>13.9466</v>
      </c>
      <c r="C300" s="71">
        <v>41923554.513888799</v>
      </c>
    </row>
    <row r="301" spans="1:3" ht="13">
      <c r="A301" s="72">
        <v>42523</v>
      </c>
      <c r="B301" s="71">
        <v>13.740500000000001</v>
      </c>
      <c r="C301" s="71">
        <v>16266025.087107999</v>
      </c>
    </row>
    <row r="302" spans="1:3" ht="13">
      <c r="A302" s="72">
        <v>42524</v>
      </c>
      <c r="B302" s="71">
        <v>13.8139</v>
      </c>
      <c r="C302" s="71">
        <v>14901617.1180555</v>
      </c>
    </row>
    <row r="303" spans="1:3" ht="13">
      <c r="A303" s="72">
        <v>42525</v>
      </c>
      <c r="B303" s="71">
        <v>13.698499999999999</v>
      </c>
      <c r="C303" s="71">
        <v>21047566.666666601</v>
      </c>
    </row>
    <row r="304" spans="1:3" ht="13">
      <c r="A304" s="72">
        <v>42526</v>
      </c>
      <c r="B304" s="71">
        <v>13.9718</v>
      </c>
      <c r="C304" s="71">
        <v>13224108.432055701</v>
      </c>
    </row>
    <row r="305" spans="1:3" ht="13">
      <c r="A305" s="72">
        <v>42527</v>
      </c>
      <c r="B305" s="71">
        <v>13.9565</v>
      </c>
      <c r="C305" s="71">
        <v>10777972.5</v>
      </c>
    </row>
    <row r="306" spans="1:3" ht="13">
      <c r="A306" s="72">
        <v>42528</v>
      </c>
      <c r="B306" s="71">
        <v>14.497400000000001</v>
      </c>
      <c r="C306" s="71">
        <v>13243364.2708333</v>
      </c>
    </row>
    <row r="307" spans="1:3" ht="13">
      <c r="A307" s="72">
        <v>42529</v>
      </c>
      <c r="B307" s="71">
        <v>14.430400000000001</v>
      </c>
      <c r="C307" s="71">
        <v>21859655.208333299</v>
      </c>
    </row>
    <row r="308" spans="1:3" ht="13">
      <c r="A308" s="72">
        <v>42530</v>
      </c>
      <c r="B308" s="71">
        <v>14.391999999999999</v>
      </c>
      <c r="C308" s="71">
        <v>11256648.362369301</v>
      </c>
    </row>
    <row r="309" spans="1:3" ht="13">
      <c r="A309" s="72">
        <v>42531</v>
      </c>
      <c r="B309" s="71">
        <v>13.936400000000001</v>
      </c>
      <c r="C309" s="71">
        <v>9542344.3402777705</v>
      </c>
    </row>
    <row r="310" spans="1:3" ht="13">
      <c r="A310" s="72">
        <v>42532</v>
      </c>
      <c r="B310" s="71">
        <v>14.079800000000001</v>
      </c>
      <c r="C310" s="71">
        <v>11304141.423611101</v>
      </c>
    </row>
    <row r="311" spans="1:3" ht="13">
      <c r="A311" s="72">
        <v>42533</v>
      </c>
      <c r="B311" s="71">
        <v>15.7624</v>
      </c>
      <c r="C311" s="71">
        <v>22774380.4878048</v>
      </c>
    </row>
    <row r="312" spans="1:3" ht="13">
      <c r="A312" s="72">
        <v>42534</v>
      </c>
      <c r="B312" s="71">
        <v>17.569500000000001</v>
      </c>
      <c r="C312" s="71">
        <v>39511688.541666597</v>
      </c>
    </row>
    <row r="313" spans="1:3" ht="13">
      <c r="A313" s="72">
        <v>42535</v>
      </c>
      <c r="B313" s="71">
        <v>18.839500000000001</v>
      </c>
      <c r="C313" s="71">
        <v>53917917.013888799</v>
      </c>
    </row>
    <row r="314" spans="1:3" ht="13">
      <c r="A314" s="72">
        <v>42536</v>
      </c>
      <c r="B314" s="71">
        <v>18.4483</v>
      </c>
      <c r="C314" s="71">
        <v>40829647.916666597</v>
      </c>
    </row>
    <row r="315" spans="1:3" ht="13">
      <c r="A315" s="72">
        <v>42537</v>
      </c>
      <c r="B315" s="71">
        <v>20.592300000000002</v>
      </c>
      <c r="C315" s="71">
        <v>28354024.041811801</v>
      </c>
    </row>
    <row r="316" spans="1:3" ht="13">
      <c r="A316" s="72">
        <v>42538</v>
      </c>
      <c r="B316" s="71">
        <v>15.3559</v>
      </c>
      <c r="C316" s="71">
        <v>110313123.958333</v>
      </c>
    </row>
    <row r="317" spans="1:3" ht="13">
      <c r="A317" s="72">
        <v>42539</v>
      </c>
      <c r="B317" s="71">
        <v>11.1617</v>
      </c>
      <c r="C317" s="71">
        <v>156357760.416666</v>
      </c>
    </row>
    <row r="318" spans="1:3" ht="13">
      <c r="A318" s="72">
        <v>42540</v>
      </c>
      <c r="B318" s="71">
        <v>12.2547</v>
      </c>
      <c r="C318" s="71">
        <v>121913413.240418</v>
      </c>
    </row>
    <row r="319" spans="1:3" ht="13">
      <c r="A319" s="72">
        <v>42541</v>
      </c>
      <c r="B319" s="71">
        <v>11.863899999999999</v>
      </c>
      <c r="C319" s="71">
        <v>61802150.347222202</v>
      </c>
    </row>
    <row r="320" spans="1:3" ht="13">
      <c r="A320" s="72">
        <v>42542</v>
      </c>
      <c r="B320" s="71">
        <v>13.420400000000001</v>
      </c>
      <c r="C320" s="71">
        <v>52385767.708333299</v>
      </c>
    </row>
    <row r="321" spans="1:3" ht="13">
      <c r="A321" s="72">
        <v>42543</v>
      </c>
      <c r="B321" s="71">
        <v>13.160299999999999</v>
      </c>
      <c r="C321" s="71">
        <v>105479585.763888</v>
      </c>
    </row>
    <row r="322" spans="1:3" ht="13">
      <c r="A322" s="72">
        <v>42544</v>
      </c>
      <c r="B322" s="71">
        <v>13.6707</v>
      </c>
      <c r="C322" s="71">
        <v>54999772.125435501</v>
      </c>
    </row>
    <row r="323" spans="1:3" ht="13">
      <c r="A323" s="72">
        <v>42545</v>
      </c>
      <c r="B323" s="71">
        <v>14.264099999999999</v>
      </c>
      <c r="C323" s="71">
        <v>34491825</v>
      </c>
    </row>
    <row r="324" spans="1:3" ht="13">
      <c r="A324" s="72">
        <v>42546</v>
      </c>
      <c r="B324" s="71">
        <v>14.2818</v>
      </c>
      <c r="C324" s="71">
        <v>20042760.416666601</v>
      </c>
    </row>
    <row r="325" spans="1:3" ht="13">
      <c r="A325" s="72">
        <v>42547</v>
      </c>
      <c r="B325" s="71">
        <v>13.8262</v>
      </c>
      <c r="C325" s="71">
        <v>14044087.1080139</v>
      </c>
    </row>
    <row r="326" spans="1:3" ht="13">
      <c r="A326" s="72">
        <v>42548</v>
      </c>
      <c r="B326" s="71">
        <v>13.9018</v>
      </c>
      <c r="C326" s="71">
        <v>13513124.479166601</v>
      </c>
    </row>
    <row r="327" spans="1:3" ht="13">
      <c r="A327" s="72">
        <v>42549</v>
      </c>
      <c r="B327" s="71">
        <v>12.202500000000001</v>
      </c>
      <c r="C327" s="71">
        <v>20069829.513888799</v>
      </c>
    </row>
    <row r="328" spans="1:3" ht="13">
      <c r="A328" s="72">
        <v>42550</v>
      </c>
      <c r="B328" s="71">
        <v>12.6082</v>
      </c>
      <c r="C328" s="71">
        <v>42205664.111498199</v>
      </c>
    </row>
    <row r="329" spans="1:3" ht="13">
      <c r="A329" s="72">
        <v>42551</v>
      </c>
      <c r="B329" s="71">
        <v>12.4421</v>
      </c>
      <c r="C329" s="71">
        <v>21147277.083333299</v>
      </c>
    </row>
    <row r="330" spans="1:3" ht="13">
      <c r="A330" s="72">
        <v>42552</v>
      </c>
      <c r="B330" s="71">
        <v>12.2163</v>
      </c>
      <c r="C330" s="71">
        <v>16417418.75</v>
      </c>
    </row>
    <row r="331" spans="1:3" ht="13">
      <c r="A331" s="72">
        <v>42553</v>
      </c>
      <c r="B331" s="71">
        <v>12.135999999999999</v>
      </c>
      <c r="C331" s="71">
        <v>13162005.451388801</v>
      </c>
    </row>
    <row r="332" spans="1:3" ht="13">
      <c r="A332" s="72">
        <v>42554</v>
      </c>
      <c r="B332" s="71">
        <v>11.7989</v>
      </c>
      <c r="C332" s="71">
        <v>9905613.2752613202</v>
      </c>
    </row>
    <row r="333" spans="1:3" ht="13">
      <c r="A333" s="72">
        <v>42555</v>
      </c>
      <c r="B333" s="71">
        <v>11.437799999999999</v>
      </c>
      <c r="C333" s="71">
        <v>11066696.9097222</v>
      </c>
    </row>
    <row r="334" spans="1:3" ht="13">
      <c r="A334" s="72">
        <v>42556</v>
      </c>
      <c r="B334" s="71">
        <v>10.6158</v>
      </c>
      <c r="C334" s="71">
        <v>27890975.694444399</v>
      </c>
    </row>
    <row r="335" spans="1:3" ht="13">
      <c r="A335" s="72">
        <v>42557</v>
      </c>
      <c r="B335" s="71">
        <v>10.5246</v>
      </c>
      <c r="C335" s="71">
        <v>34813522.299651504</v>
      </c>
    </row>
    <row r="336" spans="1:3" ht="13">
      <c r="A336" s="72">
        <v>42558</v>
      </c>
      <c r="B336" s="71">
        <v>10.099</v>
      </c>
      <c r="C336" s="71">
        <v>15154216.319444399</v>
      </c>
    </row>
    <row r="337" spans="1:3" ht="13">
      <c r="A337" s="72">
        <v>42559</v>
      </c>
      <c r="B337" s="71">
        <v>11.405900000000001</v>
      </c>
      <c r="C337" s="71">
        <v>14207673.263888801</v>
      </c>
    </row>
    <row r="338" spans="1:3" ht="13">
      <c r="A338" s="72">
        <v>42560</v>
      </c>
      <c r="B338" s="71">
        <v>10.9626</v>
      </c>
      <c r="C338" s="71">
        <v>22127330.5555555</v>
      </c>
    </row>
    <row r="339" spans="1:3" ht="13">
      <c r="A339" s="72">
        <v>42561</v>
      </c>
      <c r="B339" s="71">
        <v>10.9373</v>
      </c>
      <c r="C339" s="71">
        <v>10906815.226480801</v>
      </c>
    </row>
    <row r="340" spans="1:3" ht="13">
      <c r="A340" s="72">
        <v>42562</v>
      </c>
      <c r="B340" s="71">
        <v>10.4772</v>
      </c>
      <c r="C340" s="71">
        <v>9118254.9305555504</v>
      </c>
    </row>
    <row r="341" spans="1:3" ht="13">
      <c r="A341" s="72">
        <v>42563</v>
      </c>
      <c r="B341" s="71">
        <v>10.557</v>
      </c>
      <c r="C341" s="71">
        <v>11195429.9652777</v>
      </c>
    </row>
    <row r="342" spans="1:3" ht="13">
      <c r="A342" s="72">
        <v>42564</v>
      </c>
      <c r="B342" s="71">
        <v>10.4587</v>
      </c>
      <c r="C342" s="71">
        <v>10010032.4041811</v>
      </c>
    </row>
    <row r="343" spans="1:3" ht="13">
      <c r="A343" s="72">
        <v>42565</v>
      </c>
      <c r="B343" s="71">
        <v>11.5519</v>
      </c>
      <c r="C343" s="71">
        <v>15642596.423611101</v>
      </c>
    </row>
    <row r="344" spans="1:3" ht="13">
      <c r="A344" s="72">
        <v>42566</v>
      </c>
      <c r="B344" s="71">
        <v>11.9497</v>
      </c>
      <c r="C344" s="71">
        <v>26653416.666666601</v>
      </c>
    </row>
    <row r="345" spans="1:3" ht="13">
      <c r="A345" s="72">
        <v>42567</v>
      </c>
      <c r="B345" s="71">
        <v>11.6471</v>
      </c>
      <c r="C345" s="71">
        <v>17140790.625</v>
      </c>
    </row>
    <row r="346" spans="1:3" ht="13">
      <c r="A346" s="72">
        <v>42568</v>
      </c>
      <c r="B346" s="71">
        <v>11.1549</v>
      </c>
      <c r="C346" s="71">
        <v>13467704.8601398</v>
      </c>
    </row>
    <row r="347" spans="1:3" ht="13">
      <c r="A347" s="72">
        <v>42569</v>
      </c>
      <c r="B347" s="71">
        <v>11.001899999999999</v>
      </c>
      <c r="C347" s="71">
        <v>16936240.625</v>
      </c>
    </row>
    <row r="348" spans="1:3" ht="13">
      <c r="A348" s="72">
        <v>42570</v>
      </c>
      <c r="B348" s="71">
        <v>11.6424</v>
      </c>
      <c r="C348" s="71">
        <v>15760018.75</v>
      </c>
    </row>
    <row r="349" spans="1:3" ht="13">
      <c r="A349" s="72">
        <v>42571</v>
      </c>
      <c r="B349" s="71">
        <v>12.448399999999999</v>
      </c>
      <c r="C349" s="71">
        <v>38660612.543554001</v>
      </c>
    </row>
    <row r="350" spans="1:3" ht="13">
      <c r="A350" s="72">
        <v>42572</v>
      </c>
      <c r="B350" s="71">
        <v>12.6305</v>
      </c>
      <c r="C350" s="71">
        <v>45992054.166666597</v>
      </c>
    </row>
    <row r="351" spans="1:3" ht="13">
      <c r="A351" s="72">
        <v>42573</v>
      </c>
      <c r="B351" s="71">
        <v>14.7156</v>
      </c>
      <c r="C351" s="71">
        <v>43571885.416666597</v>
      </c>
    </row>
    <row r="352" spans="1:3" ht="13">
      <c r="A352" s="72">
        <v>42574</v>
      </c>
      <c r="B352" s="71">
        <v>14.331099999999999</v>
      </c>
      <c r="C352" s="71">
        <v>65212477.083333299</v>
      </c>
    </row>
    <row r="353" spans="1:3" ht="13">
      <c r="A353" s="72">
        <v>42575</v>
      </c>
      <c r="B353" s="71">
        <v>12.766400000000001</v>
      </c>
      <c r="C353" s="71">
        <v>48999694.076655</v>
      </c>
    </row>
    <row r="354" spans="1:3" ht="13">
      <c r="A354" s="72">
        <v>42576</v>
      </c>
      <c r="B354" s="71">
        <v>13.810499999999999</v>
      </c>
      <c r="C354" s="71">
        <v>61688612.5</v>
      </c>
    </row>
    <row r="355" spans="1:3" ht="13">
      <c r="A355" s="72">
        <v>42577</v>
      </c>
      <c r="B355" s="71">
        <v>11.763199999999999</v>
      </c>
      <c r="C355" s="71">
        <v>57884411.458333299</v>
      </c>
    </row>
    <row r="356" spans="1:3" ht="13">
      <c r="A356" s="72">
        <v>42578</v>
      </c>
      <c r="B356" s="71">
        <v>12.964600000000001</v>
      </c>
      <c r="C356" s="71">
        <v>85890342.508710802</v>
      </c>
    </row>
    <row r="357" spans="1:3" ht="13">
      <c r="A357" s="72">
        <v>42579</v>
      </c>
      <c r="B357" s="71">
        <v>12.8619</v>
      </c>
      <c r="C357" s="71">
        <v>39144895.486111097</v>
      </c>
    </row>
    <row r="358" spans="1:3" ht="13">
      <c r="A358" s="72">
        <v>42580</v>
      </c>
      <c r="B358" s="71">
        <v>12.8162</v>
      </c>
      <c r="C358" s="71">
        <v>18773773.263888799</v>
      </c>
    </row>
    <row r="359" spans="1:3" ht="13">
      <c r="A359" s="72">
        <v>42581</v>
      </c>
      <c r="B359" s="71">
        <v>12.4765</v>
      </c>
      <c r="C359" s="71">
        <v>11592384.444444399</v>
      </c>
    </row>
    <row r="360" spans="1:3" ht="13">
      <c r="A360" s="72">
        <v>42582</v>
      </c>
      <c r="B360" s="71">
        <v>11.868</v>
      </c>
      <c r="C360" s="71">
        <v>16406538.1184668</v>
      </c>
    </row>
    <row r="361" spans="1:3" ht="13">
      <c r="A361" s="72">
        <v>42583</v>
      </c>
      <c r="B361" s="71">
        <v>10.958500000000001</v>
      </c>
      <c r="C361" s="71">
        <v>25051744.097222202</v>
      </c>
    </row>
    <row r="362" spans="1:3" ht="13">
      <c r="A362" s="72">
        <v>42584</v>
      </c>
      <c r="B362" s="71">
        <v>8.7338299999999993</v>
      </c>
      <c r="C362" s="71">
        <v>47590983.333333299</v>
      </c>
    </row>
    <row r="363" spans="1:3" ht="13">
      <c r="A363" s="72">
        <v>42585</v>
      </c>
      <c r="B363" s="71">
        <v>10.251200000000001</v>
      </c>
      <c r="C363" s="71">
        <v>88241803.135888502</v>
      </c>
    </row>
    <row r="364" spans="1:3" ht="13">
      <c r="A364" s="72">
        <v>42586</v>
      </c>
      <c r="B364" s="71">
        <v>11.0367</v>
      </c>
      <c r="C364" s="71">
        <v>44165448.958333299</v>
      </c>
    </row>
    <row r="365" spans="1:3" ht="13">
      <c r="A365" s="72">
        <v>42587</v>
      </c>
      <c r="B365" s="71">
        <v>10.9331</v>
      </c>
      <c r="C365" s="71">
        <v>28741819.097222202</v>
      </c>
    </row>
    <row r="366" spans="1:3" ht="13">
      <c r="A366" s="72">
        <v>42588</v>
      </c>
      <c r="B366" s="71">
        <v>10.899900000000001</v>
      </c>
      <c r="C366" s="71">
        <v>15442131.944444399</v>
      </c>
    </row>
    <row r="367" spans="1:3" ht="13">
      <c r="A367" s="72">
        <v>42589</v>
      </c>
      <c r="B367" s="71">
        <v>10.9175</v>
      </c>
      <c r="C367" s="71">
        <v>16019716.0278745</v>
      </c>
    </row>
    <row r="368" spans="1:3" ht="13">
      <c r="A368" s="72">
        <v>42590</v>
      </c>
      <c r="B368" s="71">
        <v>11.2433</v>
      </c>
      <c r="C368" s="71">
        <v>15453036.8055555</v>
      </c>
    </row>
    <row r="369" spans="1:3" ht="13">
      <c r="A369" s="72">
        <v>42591</v>
      </c>
      <c r="B369" s="71">
        <v>12.235200000000001</v>
      </c>
      <c r="C369" s="71">
        <v>23804683.333333299</v>
      </c>
    </row>
    <row r="370" spans="1:3" ht="13">
      <c r="A370" s="72">
        <v>42592</v>
      </c>
      <c r="B370" s="71">
        <v>12.128</v>
      </c>
      <c r="C370" s="71">
        <v>33156862.717769999</v>
      </c>
    </row>
    <row r="371" spans="1:3" ht="13">
      <c r="A371" s="72">
        <v>42593</v>
      </c>
      <c r="B371" s="71">
        <v>11.692500000000001</v>
      </c>
      <c r="C371" s="71">
        <v>25500770.833333299</v>
      </c>
    </row>
    <row r="372" spans="1:3" ht="13">
      <c r="A372" s="72">
        <v>42594</v>
      </c>
      <c r="B372" s="71">
        <v>11.774699999999999</v>
      </c>
      <c r="C372" s="71">
        <v>15262114.9305555</v>
      </c>
    </row>
    <row r="373" spans="1:3" ht="13">
      <c r="A373" s="72">
        <v>42595</v>
      </c>
      <c r="B373" s="71">
        <v>11.577199999999999</v>
      </c>
      <c r="C373" s="71">
        <v>9917453.6842105202</v>
      </c>
    </row>
    <row r="374" spans="1:3" ht="13">
      <c r="A374" s="72">
        <v>42596</v>
      </c>
      <c r="B374" s="71">
        <v>11.199299999999999</v>
      </c>
      <c r="C374" s="71">
        <v>7488496.5156794405</v>
      </c>
    </row>
    <row r="375" spans="1:3" ht="13">
      <c r="A375" s="72">
        <v>42597</v>
      </c>
      <c r="B375" s="71">
        <v>11.2151</v>
      </c>
      <c r="C375" s="71">
        <v>8184644.8611111101</v>
      </c>
    </row>
    <row r="376" spans="1:3" ht="13">
      <c r="A376" s="72">
        <v>42598</v>
      </c>
      <c r="B376" s="71">
        <v>11.145300000000001</v>
      </c>
      <c r="C376" s="71">
        <v>7828417.2916666605</v>
      </c>
    </row>
    <row r="377" spans="1:3" ht="13">
      <c r="A377" s="72">
        <v>42599</v>
      </c>
      <c r="B377" s="71">
        <v>10.758800000000001</v>
      </c>
      <c r="C377" s="71">
        <v>7431335.0522648003</v>
      </c>
    </row>
    <row r="378" spans="1:3" ht="13">
      <c r="A378" s="72">
        <v>42600</v>
      </c>
      <c r="B378" s="71">
        <v>10.756</v>
      </c>
      <c r="C378" s="71">
        <v>8336199.7222222202</v>
      </c>
    </row>
    <row r="379" spans="1:3" ht="13">
      <c r="A379" s="72">
        <v>42601</v>
      </c>
      <c r="B379" s="71">
        <v>10.7477</v>
      </c>
      <c r="C379" s="71">
        <v>6262662.1527777696</v>
      </c>
    </row>
    <row r="380" spans="1:3" ht="13">
      <c r="A380" s="72">
        <v>42602</v>
      </c>
      <c r="B380" s="71">
        <v>11.269399999999999</v>
      </c>
      <c r="C380" s="71">
        <v>7067487.2569444403</v>
      </c>
    </row>
    <row r="381" spans="1:3" ht="13">
      <c r="A381" s="72">
        <v>42603</v>
      </c>
      <c r="B381" s="71">
        <v>11.1753</v>
      </c>
      <c r="C381" s="71">
        <v>5510111.4982578401</v>
      </c>
    </row>
    <row r="382" spans="1:3" ht="13">
      <c r="A382" s="72">
        <v>42604</v>
      </c>
      <c r="B382" s="71">
        <v>11.1096</v>
      </c>
      <c r="C382" s="71">
        <v>4703239.4791666605</v>
      </c>
    </row>
    <row r="383" spans="1:3" ht="13">
      <c r="A383" s="72">
        <v>42605</v>
      </c>
      <c r="B383" s="71">
        <v>11.0273</v>
      </c>
      <c r="C383" s="71">
        <v>6881447.3611111101</v>
      </c>
    </row>
    <row r="384" spans="1:3" ht="13">
      <c r="A384" s="72">
        <v>42606</v>
      </c>
      <c r="B384" s="71">
        <v>11.039300000000001</v>
      </c>
      <c r="C384" s="71">
        <v>5882173.6585365804</v>
      </c>
    </row>
    <row r="385" spans="1:3" ht="13">
      <c r="A385" s="72">
        <v>42607</v>
      </c>
      <c r="B385" s="71">
        <v>11.3649</v>
      </c>
      <c r="C385" s="71">
        <v>6393578.0208333302</v>
      </c>
    </row>
    <row r="386" spans="1:3" ht="13">
      <c r="A386" s="72">
        <v>42608</v>
      </c>
      <c r="B386" s="71">
        <v>11.289899999999999</v>
      </c>
      <c r="C386" s="71">
        <v>7566063.2986111101</v>
      </c>
    </row>
    <row r="387" spans="1:3" ht="13">
      <c r="A387" s="72">
        <v>42609</v>
      </c>
      <c r="B387" s="71">
        <v>11.1492</v>
      </c>
      <c r="C387" s="71">
        <v>3603665.6597222202</v>
      </c>
    </row>
    <row r="388" spans="1:3" ht="13">
      <c r="A388" s="72">
        <v>42610</v>
      </c>
      <c r="B388" s="71">
        <v>10.930199999999999</v>
      </c>
      <c r="C388" s="71">
        <v>4162859.8257839698</v>
      </c>
    </row>
    <row r="389" spans="1:3" ht="13">
      <c r="A389" s="72">
        <v>42611</v>
      </c>
      <c r="B389" s="71">
        <v>10.9747</v>
      </c>
      <c r="C389" s="71">
        <v>7438111.4583333302</v>
      </c>
    </row>
    <row r="390" spans="1:3" ht="13">
      <c r="A390" s="72">
        <v>42612</v>
      </c>
      <c r="B390" s="71">
        <v>11.2309</v>
      </c>
      <c r="C390" s="71">
        <v>6722698.3680555504</v>
      </c>
    </row>
    <row r="391" spans="1:3" ht="13">
      <c r="A391" s="72">
        <v>42613</v>
      </c>
      <c r="B391" s="71">
        <v>11.680199999999999</v>
      </c>
      <c r="C391" s="71">
        <v>8934901.9512195103</v>
      </c>
    </row>
    <row r="392" spans="1:3" ht="13">
      <c r="A392" s="72">
        <v>42614</v>
      </c>
      <c r="B392" s="71">
        <v>12.016400000000001</v>
      </c>
      <c r="C392" s="71">
        <v>20683900</v>
      </c>
    </row>
    <row r="393" spans="1:3" ht="13">
      <c r="A393" s="72">
        <v>42615</v>
      </c>
      <c r="B393" s="71">
        <v>12.1142</v>
      </c>
      <c r="C393" s="71">
        <v>14530290.069444399</v>
      </c>
    </row>
    <row r="394" spans="1:3" ht="13">
      <c r="A394" s="72">
        <v>42616</v>
      </c>
      <c r="B394" s="71">
        <v>11.7873</v>
      </c>
      <c r="C394" s="71">
        <v>10981069.0277777</v>
      </c>
    </row>
    <row r="395" spans="1:3" ht="13">
      <c r="A395" s="72">
        <v>42617</v>
      </c>
      <c r="B395" s="71">
        <v>11.6753</v>
      </c>
      <c r="C395" s="71">
        <v>10503832.6829268</v>
      </c>
    </row>
    <row r="396" spans="1:3" ht="13">
      <c r="A396" s="72">
        <v>42618</v>
      </c>
      <c r="B396" s="71">
        <v>11.7347</v>
      </c>
      <c r="C396" s="71">
        <v>6512108.0902777696</v>
      </c>
    </row>
    <row r="397" spans="1:3" ht="13">
      <c r="A397" s="72">
        <v>42619</v>
      </c>
      <c r="B397" s="71">
        <v>11.692500000000001</v>
      </c>
      <c r="C397" s="71">
        <v>6139139.2708333302</v>
      </c>
    </row>
    <row r="398" spans="1:3" ht="13">
      <c r="A398" s="72">
        <v>42620</v>
      </c>
      <c r="B398" s="71">
        <v>11.5496</v>
      </c>
      <c r="C398" s="71">
        <v>6031820.9756097496</v>
      </c>
    </row>
    <row r="399" spans="1:3" ht="13">
      <c r="A399" s="72">
        <v>42621</v>
      </c>
      <c r="B399" s="71">
        <v>11.335699999999999</v>
      </c>
      <c r="C399" s="71">
        <v>8659592.7430555504</v>
      </c>
    </row>
    <row r="400" spans="1:3" ht="13">
      <c r="A400" s="72">
        <v>42622</v>
      </c>
      <c r="B400" s="71">
        <v>11.658300000000001</v>
      </c>
      <c r="C400" s="71">
        <v>8747283.3333333302</v>
      </c>
    </row>
    <row r="401" spans="1:3" ht="13">
      <c r="A401" s="72">
        <v>42623</v>
      </c>
      <c r="B401" s="71">
        <v>12.2151</v>
      </c>
      <c r="C401" s="71">
        <v>5409416.5505226403</v>
      </c>
    </row>
    <row r="402" spans="1:3" ht="13">
      <c r="A402" s="72">
        <v>42624</v>
      </c>
      <c r="B402" s="71">
        <v>11.6257</v>
      </c>
      <c r="C402" s="71">
        <v>8872992.2916666605</v>
      </c>
    </row>
    <row r="403" spans="1:3" ht="13">
      <c r="A403" s="72">
        <v>42625</v>
      </c>
      <c r="B403" s="71">
        <v>11.893000000000001</v>
      </c>
      <c r="C403" s="71">
        <v>9096470.1736111101</v>
      </c>
    </row>
    <row r="404" spans="1:3" ht="13">
      <c r="A404" s="72">
        <v>42626</v>
      </c>
      <c r="B404" s="71">
        <v>11.9251</v>
      </c>
      <c r="C404" s="71">
        <v>10019594.444444399</v>
      </c>
    </row>
    <row r="405" spans="1:3" ht="13">
      <c r="A405" s="72">
        <v>42627</v>
      </c>
      <c r="B405" s="71">
        <v>11.9368</v>
      </c>
      <c r="C405" s="71">
        <v>7533857.5609756</v>
      </c>
    </row>
    <row r="406" spans="1:3" ht="13">
      <c r="A406" s="72">
        <v>42628</v>
      </c>
      <c r="B406" s="71">
        <v>11.922700000000001</v>
      </c>
      <c r="C406" s="71">
        <v>7838576.0069444403</v>
      </c>
    </row>
    <row r="407" spans="1:3" ht="13">
      <c r="A407" s="72">
        <v>42629</v>
      </c>
      <c r="B407" s="71">
        <v>12.5519</v>
      </c>
      <c r="C407" s="71">
        <v>9385270.8333333302</v>
      </c>
    </row>
    <row r="408" spans="1:3" ht="13">
      <c r="A408" s="72">
        <v>42630</v>
      </c>
      <c r="B408" s="71">
        <v>12.687200000000001</v>
      </c>
      <c r="C408" s="71">
        <v>14674686.0627177</v>
      </c>
    </row>
    <row r="409" spans="1:3" ht="13">
      <c r="A409" s="72">
        <v>42631</v>
      </c>
      <c r="B409" s="71">
        <v>12.425000000000001</v>
      </c>
      <c r="C409" s="71">
        <v>10301093.888888801</v>
      </c>
    </row>
    <row r="410" spans="1:3" ht="13">
      <c r="A410" s="72">
        <v>42632</v>
      </c>
      <c r="B410" s="71">
        <v>13.1587</v>
      </c>
      <c r="C410" s="71">
        <v>22734005.902777702</v>
      </c>
    </row>
    <row r="411" spans="1:3" ht="13">
      <c r="A411" s="72">
        <v>42633</v>
      </c>
      <c r="B411" s="71">
        <v>14.2948</v>
      </c>
      <c r="C411" s="71">
        <v>22961830.313588802</v>
      </c>
    </row>
    <row r="412" spans="1:3" ht="13">
      <c r="A412" s="72">
        <v>42634</v>
      </c>
      <c r="B412" s="71">
        <v>13.792400000000001</v>
      </c>
      <c r="C412" s="71">
        <v>31466555.052264798</v>
      </c>
    </row>
    <row r="413" spans="1:3" ht="13">
      <c r="A413" s="72">
        <v>42635</v>
      </c>
      <c r="B413" s="71">
        <v>13.271100000000001</v>
      </c>
      <c r="C413" s="71">
        <v>25082250.347222202</v>
      </c>
    </row>
    <row r="414" spans="1:3" ht="13">
      <c r="A414" s="72">
        <v>42636</v>
      </c>
      <c r="B414" s="71">
        <v>13.3285</v>
      </c>
      <c r="C414" s="71">
        <v>20136617.222222202</v>
      </c>
    </row>
    <row r="415" spans="1:3" ht="13">
      <c r="A415" s="72">
        <v>42637</v>
      </c>
      <c r="B415" s="71">
        <v>12.879</v>
      </c>
      <c r="C415" s="71">
        <v>8997598.0139372796</v>
      </c>
    </row>
    <row r="416" spans="1:3" ht="13">
      <c r="A416" s="72">
        <v>42638</v>
      </c>
      <c r="B416" s="71">
        <v>13.0848</v>
      </c>
      <c r="C416" s="71">
        <v>7392460.2430555504</v>
      </c>
    </row>
    <row r="417" spans="1:3" ht="13">
      <c r="A417" s="72">
        <v>42639</v>
      </c>
      <c r="B417" s="71">
        <v>12.818199999999999</v>
      </c>
      <c r="C417" s="71">
        <v>6501998.0208333302</v>
      </c>
    </row>
    <row r="418" spans="1:3" ht="13">
      <c r="A418" s="72">
        <v>42640</v>
      </c>
      <c r="B418" s="71">
        <v>13.093500000000001</v>
      </c>
      <c r="C418" s="71">
        <v>6445580.7638888797</v>
      </c>
    </row>
    <row r="419" spans="1:3" ht="13">
      <c r="A419" s="72">
        <v>42641</v>
      </c>
      <c r="B419" s="71">
        <v>13.2836</v>
      </c>
      <c r="C419" s="71">
        <v>10146274.8083623</v>
      </c>
    </row>
    <row r="420" spans="1:3" ht="13">
      <c r="A420" s="72">
        <v>42642</v>
      </c>
      <c r="B420" s="71">
        <v>13.118</v>
      </c>
      <c r="C420" s="71">
        <v>7018328.2291666605</v>
      </c>
    </row>
    <row r="421" spans="1:3" ht="13">
      <c r="A421" s="72">
        <v>42643</v>
      </c>
      <c r="B421" s="71">
        <v>13.2286</v>
      </c>
      <c r="C421" s="71">
        <v>5803531.9791666605</v>
      </c>
    </row>
    <row r="422" spans="1:3" ht="13">
      <c r="A422" s="72">
        <v>42644</v>
      </c>
      <c r="B422" s="71">
        <v>13.175599999999999</v>
      </c>
      <c r="C422" s="71">
        <v>6233940.9756097496</v>
      </c>
    </row>
    <row r="423" spans="1:3" ht="13">
      <c r="A423" s="72">
        <v>42645</v>
      </c>
      <c r="B423" s="71">
        <v>13.203200000000001</v>
      </c>
      <c r="C423" s="71">
        <v>5347055.4166666605</v>
      </c>
    </row>
    <row r="424" spans="1:3" ht="13">
      <c r="A424" s="72">
        <v>42646</v>
      </c>
      <c r="B424" s="71">
        <v>13.4741</v>
      </c>
      <c r="C424" s="71">
        <v>4715874.4444444403</v>
      </c>
    </row>
    <row r="425" spans="1:3" ht="13">
      <c r="A425" s="72">
        <v>42647</v>
      </c>
      <c r="B425" s="71">
        <v>13.2768</v>
      </c>
      <c r="C425" s="71">
        <v>8722107.4652777705</v>
      </c>
    </row>
    <row r="426" spans="1:3" ht="13">
      <c r="A426" s="72">
        <v>42648</v>
      </c>
      <c r="B426" s="71">
        <v>13.038399999999999</v>
      </c>
      <c r="C426" s="71">
        <v>8598037.3867595792</v>
      </c>
    </row>
    <row r="427" spans="1:3" ht="13">
      <c r="A427" s="72">
        <v>42649</v>
      </c>
      <c r="B427" s="71">
        <v>12.8704</v>
      </c>
      <c r="C427" s="71">
        <v>12094674.3402777</v>
      </c>
    </row>
    <row r="428" spans="1:3" ht="13">
      <c r="A428" s="72">
        <v>42650</v>
      </c>
      <c r="B428" s="71">
        <v>12.662599999999999</v>
      </c>
      <c r="C428" s="71">
        <v>10061950.5208333</v>
      </c>
    </row>
    <row r="429" spans="1:3" ht="13">
      <c r="A429" s="72">
        <v>42651</v>
      </c>
      <c r="B429" s="71">
        <v>12.1972</v>
      </c>
      <c r="C429" s="71">
        <v>10892189.7212543</v>
      </c>
    </row>
    <row r="430" spans="1:3" ht="13">
      <c r="A430" s="72">
        <v>42652</v>
      </c>
      <c r="B430" s="71">
        <v>12.056800000000001</v>
      </c>
      <c r="C430" s="71">
        <v>8377451.3888888797</v>
      </c>
    </row>
    <row r="431" spans="1:3" ht="13">
      <c r="A431" s="72">
        <v>42653</v>
      </c>
      <c r="B431" s="71">
        <v>11.756600000000001</v>
      </c>
      <c r="C431" s="71">
        <v>9555934.2361111101</v>
      </c>
    </row>
    <row r="432" spans="1:3" ht="13">
      <c r="A432" s="72">
        <v>42654</v>
      </c>
      <c r="B432" s="71">
        <v>11.785</v>
      </c>
      <c r="C432" s="71">
        <v>10797627.256944399</v>
      </c>
    </row>
    <row r="433" spans="1:3" ht="13">
      <c r="A433" s="72">
        <v>42655</v>
      </c>
      <c r="B433" s="71">
        <v>11.961</v>
      </c>
      <c r="C433" s="71">
        <v>10709527.909407601</v>
      </c>
    </row>
    <row r="434" spans="1:3" ht="13">
      <c r="A434" s="72">
        <v>42656</v>
      </c>
      <c r="B434" s="71">
        <v>12.013199999999999</v>
      </c>
      <c r="C434" s="71">
        <v>9185893.7847222202</v>
      </c>
    </row>
    <row r="435" spans="1:3" ht="13">
      <c r="A435" s="72">
        <v>42657</v>
      </c>
      <c r="B435" s="71">
        <v>11.934699999999999</v>
      </c>
      <c r="C435" s="71">
        <v>6951259.5486111101</v>
      </c>
    </row>
    <row r="436" spans="1:3" ht="13">
      <c r="A436" s="72">
        <v>42658</v>
      </c>
      <c r="B436" s="71">
        <v>11.955</v>
      </c>
      <c r="C436" s="71">
        <v>4429515.9233449399</v>
      </c>
    </row>
    <row r="437" spans="1:3" ht="13">
      <c r="A437" s="72">
        <v>42659</v>
      </c>
      <c r="B437" s="71">
        <v>11.954800000000001</v>
      </c>
      <c r="C437" s="71">
        <v>4279897.1180555504</v>
      </c>
    </row>
    <row r="438" spans="1:3" ht="13">
      <c r="A438" s="72">
        <v>42660</v>
      </c>
      <c r="B438" s="71">
        <v>11.996</v>
      </c>
      <c r="C438" s="71">
        <v>4756415.5208333302</v>
      </c>
    </row>
    <row r="439" spans="1:3" ht="13">
      <c r="A439" s="72">
        <v>42661</v>
      </c>
      <c r="B439" s="71">
        <v>12.574400000000001</v>
      </c>
      <c r="C439" s="71">
        <v>12927443.4027777</v>
      </c>
    </row>
    <row r="440" spans="1:3" ht="13">
      <c r="A440" s="72">
        <v>42662</v>
      </c>
      <c r="B440" s="71">
        <v>12.0274</v>
      </c>
      <c r="C440" s="71">
        <v>13890840.0696864</v>
      </c>
    </row>
    <row r="441" spans="1:3" ht="13">
      <c r="A441" s="72">
        <v>42663</v>
      </c>
      <c r="B441" s="71">
        <v>12.0947</v>
      </c>
      <c r="C441" s="71">
        <v>9986609.2361111101</v>
      </c>
    </row>
    <row r="442" spans="1:3" ht="13">
      <c r="A442" s="72">
        <v>42664</v>
      </c>
      <c r="B442" s="71">
        <v>12.0802</v>
      </c>
      <c r="C442" s="71">
        <v>6696773.2291666605</v>
      </c>
    </row>
    <row r="443" spans="1:3" ht="13">
      <c r="A443" s="72">
        <v>42665</v>
      </c>
      <c r="B443" s="71">
        <v>12.070499999999999</v>
      </c>
      <c r="C443" s="71">
        <v>6355408.85017421</v>
      </c>
    </row>
    <row r="444" spans="1:3" ht="13">
      <c r="A444" s="72">
        <v>42666</v>
      </c>
      <c r="B444" s="71">
        <v>12.03</v>
      </c>
      <c r="C444" s="71">
        <v>7386878.9236111101</v>
      </c>
    </row>
    <row r="445" spans="1:3" ht="13">
      <c r="A445" s="72">
        <v>42667</v>
      </c>
      <c r="B445" s="71">
        <v>11.9649</v>
      </c>
      <c r="C445" s="71">
        <v>5344224.6527777696</v>
      </c>
    </row>
    <row r="446" spans="1:3" ht="13">
      <c r="A446" s="72">
        <v>42668</v>
      </c>
      <c r="B446" s="71">
        <v>11.3934</v>
      </c>
      <c r="C446" s="71">
        <v>12716638.4375</v>
      </c>
    </row>
    <row r="447" spans="1:3" ht="13">
      <c r="A447" s="72">
        <v>42669</v>
      </c>
      <c r="B447" s="71">
        <v>11.5739</v>
      </c>
      <c r="C447" s="71">
        <v>14694247.0383275</v>
      </c>
    </row>
    <row r="448" spans="1:3" ht="13">
      <c r="A448" s="72">
        <v>42670</v>
      </c>
      <c r="B448" s="71">
        <v>11.4978</v>
      </c>
      <c r="C448" s="71">
        <v>12713041.736111101</v>
      </c>
    </row>
    <row r="449" spans="1:3" ht="13">
      <c r="A449" s="72">
        <v>42671</v>
      </c>
      <c r="B449" s="71">
        <v>11.101100000000001</v>
      </c>
      <c r="C449" s="71">
        <v>12075987.8472222</v>
      </c>
    </row>
    <row r="450" spans="1:3" ht="13">
      <c r="A450" s="72">
        <v>42672</v>
      </c>
      <c r="B450" s="71">
        <v>10.424200000000001</v>
      </c>
      <c r="C450" s="71">
        <v>19465974.825174801</v>
      </c>
    </row>
    <row r="451" spans="1:3" ht="13">
      <c r="A451" s="72">
        <v>42673</v>
      </c>
      <c r="B451" s="71">
        <v>11.193199999999999</v>
      </c>
      <c r="C451" s="71">
        <v>22471018.0555555</v>
      </c>
    </row>
    <row r="452" spans="1:3" ht="13">
      <c r="A452" s="72">
        <v>42674</v>
      </c>
      <c r="B452" s="71">
        <v>10.969200000000001</v>
      </c>
      <c r="C452" s="71">
        <v>16198118.75</v>
      </c>
    </row>
    <row r="453" spans="1:3" ht="13">
      <c r="A453" s="72">
        <v>42675</v>
      </c>
      <c r="B453" s="71">
        <v>10.777900000000001</v>
      </c>
      <c r="C453" s="71">
        <v>16493433.3333333</v>
      </c>
    </row>
    <row r="454" spans="1:3" ht="13">
      <c r="A454" s="72">
        <v>42676</v>
      </c>
      <c r="B454" s="71">
        <v>10.739699999999999</v>
      </c>
      <c r="C454" s="71">
        <v>18475392.334494699</v>
      </c>
    </row>
    <row r="455" spans="1:3" ht="13">
      <c r="A455" s="72">
        <v>42677</v>
      </c>
      <c r="B455" s="71">
        <v>10.846399999999999</v>
      </c>
      <c r="C455" s="71">
        <v>12381688.541666601</v>
      </c>
    </row>
    <row r="456" spans="1:3" ht="13">
      <c r="A456" s="72">
        <v>42678</v>
      </c>
      <c r="B456" s="71">
        <v>11.0893</v>
      </c>
      <c r="C456" s="71">
        <v>13841560.173611101</v>
      </c>
    </row>
    <row r="457" spans="1:3" ht="13">
      <c r="A457" s="72">
        <v>42679</v>
      </c>
      <c r="B457" s="71">
        <v>10.9986</v>
      </c>
      <c r="C457" s="71">
        <v>8541966.1324041802</v>
      </c>
    </row>
    <row r="458" spans="1:3" ht="13">
      <c r="A458" s="72">
        <v>42680</v>
      </c>
      <c r="B458" s="71">
        <v>10.902900000000001</v>
      </c>
      <c r="C458" s="71">
        <v>5112642.4275362296</v>
      </c>
    </row>
    <row r="459" spans="1:3" ht="13">
      <c r="A459" s="72">
        <v>42681</v>
      </c>
      <c r="B459" s="71">
        <v>10.8352</v>
      </c>
      <c r="C459" s="71">
        <v>5902854.3402777696</v>
      </c>
    </row>
    <row r="460" spans="1:3" ht="13">
      <c r="A460" s="72">
        <v>42682</v>
      </c>
      <c r="B460" s="71">
        <v>10.8314</v>
      </c>
      <c r="C460" s="71">
        <v>6235654.9305555504</v>
      </c>
    </row>
    <row r="461" spans="1:3" ht="13">
      <c r="A461" s="72">
        <v>42683</v>
      </c>
      <c r="B461" s="71">
        <v>10.6891</v>
      </c>
      <c r="C461" s="71">
        <v>12666451.9860627</v>
      </c>
    </row>
    <row r="462" spans="1:3" ht="13">
      <c r="A462" s="72">
        <v>42684</v>
      </c>
      <c r="B462" s="71">
        <v>10.5329</v>
      </c>
      <c r="C462" s="71">
        <v>6954196.7013888797</v>
      </c>
    </row>
    <row r="463" spans="1:3" ht="13">
      <c r="A463" s="72">
        <v>42685</v>
      </c>
      <c r="B463" s="71">
        <v>10.2925</v>
      </c>
      <c r="C463" s="71">
        <v>5270998.6805555504</v>
      </c>
    </row>
    <row r="464" spans="1:3" ht="13">
      <c r="A464" s="72">
        <v>42686</v>
      </c>
      <c r="B464" s="71">
        <v>9.87669</v>
      </c>
      <c r="C464" s="71">
        <v>7119411.4634146299</v>
      </c>
    </row>
    <row r="465" spans="1:3" ht="13">
      <c r="A465" s="72">
        <v>42687</v>
      </c>
      <c r="B465" s="71">
        <v>10.0954</v>
      </c>
      <c r="C465" s="71">
        <v>10942129.5833333</v>
      </c>
    </row>
    <row r="466" spans="1:3" ht="13">
      <c r="A466" s="72">
        <v>42688</v>
      </c>
      <c r="B466" s="71">
        <v>9.9750800000000002</v>
      </c>
      <c r="C466" s="71">
        <v>5111867.9513888797</v>
      </c>
    </row>
    <row r="467" spans="1:3" ht="13">
      <c r="A467" s="72">
        <v>42689</v>
      </c>
      <c r="B467" s="71">
        <v>10.205299999999999</v>
      </c>
      <c r="C467" s="71">
        <v>4909753.6585365804</v>
      </c>
    </row>
    <row r="468" spans="1:3" ht="13">
      <c r="A468" s="72">
        <v>42690</v>
      </c>
      <c r="B468" s="71">
        <v>10.065200000000001</v>
      </c>
      <c r="C468" s="71">
        <v>7338048.4027777696</v>
      </c>
    </row>
    <row r="469" spans="1:3" ht="13">
      <c r="A469" s="72">
        <v>42691</v>
      </c>
      <c r="B469" s="71">
        <v>9.98048</v>
      </c>
      <c r="C469" s="71">
        <v>9461523.5763888806</v>
      </c>
    </row>
    <row r="470" spans="1:3" ht="13">
      <c r="A470" s="72">
        <v>42692</v>
      </c>
      <c r="B470" s="71">
        <v>9.4927100000000006</v>
      </c>
      <c r="C470" s="71">
        <v>8293926.9444444403</v>
      </c>
    </row>
    <row r="471" spans="1:3" ht="13">
      <c r="A471" s="72">
        <v>42693</v>
      </c>
      <c r="B471" s="71">
        <v>9.6680200000000003</v>
      </c>
      <c r="C471" s="71">
        <v>8587913.6585365795</v>
      </c>
    </row>
    <row r="472" spans="1:3" ht="13">
      <c r="A472" s="72">
        <v>42694</v>
      </c>
      <c r="B472" s="71">
        <v>9.5801599999999993</v>
      </c>
      <c r="C472" s="71">
        <v>4342482.9166666605</v>
      </c>
    </row>
    <row r="473" spans="1:3" ht="13">
      <c r="A473" s="72">
        <v>42695</v>
      </c>
      <c r="B473" s="71">
        <v>9.6281999999999996</v>
      </c>
      <c r="C473" s="71">
        <v>4860615.6445992999</v>
      </c>
    </row>
    <row r="474" spans="1:3" ht="13">
      <c r="A474" s="72">
        <v>42696</v>
      </c>
      <c r="B474" s="71">
        <v>9.9057399999999998</v>
      </c>
      <c r="C474" s="71">
        <v>7624681.74216027</v>
      </c>
    </row>
    <row r="475" spans="1:3" ht="13">
      <c r="A475" s="72">
        <v>42697</v>
      </c>
      <c r="B475" s="71">
        <v>9.8285099999999996</v>
      </c>
      <c r="C475" s="71">
        <v>7913985.7291666605</v>
      </c>
    </row>
    <row r="476" spans="1:3" ht="13">
      <c r="A476" s="72">
        <v>42698</v>
      </c>
      <c r="B476" s="71">
        <v>9.2468199999999996</v>
      </c>
      <c r="C476" s="71">
        <v>8060375.5208333302</v>
      </c>
    </row>
    <row r="477" spans="1:3" ht="13">
      <c r="A477" s="72">
        <v>42699</v>
      </c>
      <c r="B477" s="71">
        <v>9.4081899999999994</v>
      </c>
      <c r="C477" s="71">
        <v>13995566.4583333</v>
      </c>
    </row>
    <row r="478" spans="1:3" ht="13">
      <c r="A478" s="72">
        <v>42700</v>
      </c>
      <c r="B478" s="71">
        <v>9.3246699999999993</v>
      </c>
      <c r="C478" s="71">
        <v>5931575.2961672395</v>
      </c>
    </row>
    <row r="479" spans="1:3" ht="13">
      <c r="A479" s="72">
        <v>42701</v>
      </c>
      <c r="B479" s="71">
        <v>8.9959500000000006</v>
      </c>
      <c r="C479" s="71">
        <v>5041851.3888888797</v>
      </c>
    </row>
    <row r="480" spans="1:3" ht="13">
      <c r="A480" s="72">
        <v>42702</v>
      </c>
      <c r="B480" s="71">
        <v>8.7236100000000008</v>
      </c>
      <c r="C480" s="71">
        <v>8381741.7708333302</v>
      </c>
    </row>
    <row r="481" spans="1:3" ht="13">
      <c r="A481" s="72">
        <v>42703</v>
      </c>
      <c r="B481" s="71">
        <v>8.1834399999999992</v>
      </c>
      <c r="C481" s="71">
        <v>12044456.5156794</v>
      </c>
    </row>
    <row r="482" spans="1:3" ht="13">
      <c r="A482" s="72">
        <v>42704</v>
      </c>
      <c r="B482" s="71">
        <v>8.5900700000000008</v>
      </c>
      <c r="C482" s="71">
        <v>13414425</v>
      </c>
    </row>
    <row r="483" spans="1:3" ht="13">
      <c r="A483" s="72">
        <v>42705</v>
      </c>
      <c r="B483" s="71">
        <v>8.4567200000000007</v>
      </c>
      <c r="C483" s="71">
        <v>8249167.0877192896</v>
      </c>
    </row>
    <row r="484" spans="1:3" ht="13">
      <c r="A484" s="72">
        <v>42706</v>
      </c>
      <c r="B484" s="71">
        <v>7.7411099999999999</v>
      </c>
      <c r="C484" s="71">
        <v>9966261.9163763002</v>
      </c>
    </row>
    <row r="485" spans="1:3" ht="13">
      <c r="A485" s="72">
        <v>42707</v>
      </c>
      <c r="B485" s="71">
        <v>7.9272799999999997</v>
      </c>
      <c r="C485" s="71">
        <v>18091111.498257801</v>
      </c>
    </row>
    <row r="486" spans="1:3" ht="13">
      <c r="A486" s="72">
        <v>42708</v>
      </c>
      <c r="B486" s="71">
        <v>7.4599500000000001</v>
      </c>
      <c r="C486" s="71">
        <v>9036683.2986111101</v>
      </c>
    </row>
    <row r="487" spans="1:3" ht="13">
      <c r="A487" s="72">
        <v>42709</v>
      </c>
      <c r="B487" s="71">
        <v>6.8301499999999997</v>
      </c>
      <c r="C487" s="71">
        <v>11276455.104166601</v>
      </c>
    </row>
    <row r="488" spans="1:3" ht="13">
      <c r="A488" s="72">
        <v>42710</v>
      </c>
      <c r="B488" s="71">
        <v>7.8520300000000001</v>
      </c>
      <c r="C488" s="71">
        <v>33736345.993031301</v>
      </c>
    </row>
    <row r="489" spans="1:3" ht="13">
      <c r="A489" s="72">
        <v>42711</v>
      </c>
      <c r="B489" s="71">
        <v>8.3821300000000001</v>
      </c>
      <c r="C489" s="71">
        <v>36290904.861111097</v>
      </c>
    </row>
    <row r="490" spans="1:3" ht="13">
      <c r="A490" s="72">
        <v>42712</v>
      </c>
      <c r="B490" s="71">
        <v>8.2552199999999996</v>
      </c>
      <c r="C490" s="71">
        <v>21612321.527777702</v>
      </c>
    </row>
    <row r="491" spans="1:3" ht="13">
      <c r="A491" s="72">
        <v>42713</v>
      </c>
      <c r="B491" s="71">
        <v>8.4578299999999995</v>
      </c>
      <c r="C491" s="71">
        <v>14143410.763888801</v>
      </c>
    </row>
    <row r="492" spans="1:3" ht="13">
      <c r="A492" s="72">
        <v>42714</v>
      </c>
      <c r="B492" s="71">
        <v>8.1188300000000009</v>
      </c>
      <c r="C492" s="71">
        <v>9322912.5783972107</v>
      </c>
    </row>
    <row r="493" spans="1:3" ht="13">
      <c r="A493" s="72">
        <v>42715</v>
      </c>
      <c r="B493" s="71">
        <v>8.2072299999999991</v>
      </c>
      <c r="C493" s="71">
        <v>7703577.4652777696</v>
      </c>
    </row>
    <row r="494" spans="1:3" ht="13">
      <c r="A494" s="72">
        <v>42716</v>
      </c>
      <c r="B494" s="71">
        <v>8.5144099999999998</v>
      </c>
      <c r="C494" s="71">
        <v>6362954.6875</v>
      </c>
    </row>
    <row r="495" spans="1:3" ht="13">
      <c r="A495" s="72">
        <v>42717</v>
      </c>
      <c r="B495" s="71">
        <v>8.4206299999999992</v>
      </c>
      <c r="C495" s="71">
        <v>7800358.8421052601</v>
      </c>
    </row>
    <row r="496" spans="1:3" ht="13">
      <c r="A496" s="72">
        <v>42718</v>
      </c>
      <c r="B496" s="71">
        <v>8.2757299999999994</v>
      </c>
      <c r="C496" s="71">
        <v>5110121.5625</v>
      </c>
    </row>
    <row r="497" spans="1:3" ht="13">
      <c r="A497" s="72">
        <v>42719</v>
      </c>
      <c r="B497" s="71">
        <v>7.8269099999999998</v>
      </c>
      <c r="C497" s="71">
        <v>11261944.7222222</v>
      </c>
    </row>
    <row r="498" spans="1:3" ht="13">
      <c r="A498" s="72">
        <v>42720</v>
      </c>
      <c r="B498" s="71">
        <v>7.8532400000000004</v>
      </c>
      <c r="C498" s="71">
        <v>8823737.4652777705</v>
      </c>
    </row>
    <row r="499" spans="1:3" ht="13">
      <c r="A499" s="72">
        <v>42721</v>
      </c>
      <c r="B499" s="71">
        <v>7.8991100000000003</v>
      </c>
      <c r="C499" s="71">
        <v>6799050.13937282</v>
      </c>
    </row>
    <row r="500" spans="1:3" ht="13">
      <c r="A500" s="72">
        <v>42722</v>
      </c>
      <c r="B500" s="71">
        <v>7.8668899999999997</v>
      </c>
      <c r="C500" s="71">
        <v>7297837.8472222202</v>
      </c>
    </row>
    <row r="501" spans="1:3" ht="13">
      <c r="A501" s="72">
        <v>42723</v>
      </c>
      <c r="B501" s="71">
        <v>7.6408300000000002</v>
      </c>
      <c r="C501" s="71">
        <v>5533752.5694444403</v>
      </c>
    </row>
    <row r="502" spans="1:3" ht="13">
      <c r="A502" s="72">
        <v>42724</v>
      </c>
      <c r="B502" s="71">
        <v>7.6504500000000002</v>
      </c>
      <c r="C502" s="71">
        <v>6024789.1637630602</v>
      </c>
    </row>
    <row r="503" spans="1:3" ht="13">
      <c r="A503" s="72">
        <v>42725</v>
      </c>
      <c r="B503" s="71">
        <v>7.8952400000000003</v>
      </c>
      <c r="C503" s="71">
        <v>7492643.6805555504</v>
      </c>
    </row>
    <row r="504" spans="1:3" ht="13">
      <c r="A504" s="72">
        <v>42726</v>
      </c>
      <c r="B504" s="71">
        <v>7.5792599999999997</v>
      </c>
      <c r="C504" s="71">
        <v>15433361.9097222</v>
      </c>
    </row>
    <row r="505" spans="1:3" ht="13">
      <c r="A505" s="72">
        <v>42727</v>
      </c>
      <c r="B505" s="71">
        <v>7.2032999999999996</v>
      </c>
      <c r="C505" s="71">
        <v>16003046.1805555</v>
      </c>
    </row>
    <row r="506" spans="1:3" ht="13">
      <c r="A506" s="72">
        <v>42728</v>
      </c>
      <c r="B506" s="71">
        <v>7.2684100000000003</v>
      </c>
      <c r="C506" s="71">
        <v>14031099.7212543</v>
      </c>
    </row>
    <row r="507" spans="1:3" ht="13">
      <c r="A507" s="72">
        <v>42729</v>
      </c>
      <c r="B507" s="71">
        <v>7.1814400000000003</v>
      </c>
      <c r="C507" s="71">
        <v>7866930.3472222202</v>
      </c>
    </row>
    <row r="508" spans="1:3" ht="13">
      <c r="A508" s="72">
        <v>42730</v>
      </c>
      <c r="B508" s="71">
        <v>7.2550999999999997</v>
      </c>
      <c r="C508" s="71">
        <v>7753399.5486111101</v>
      </c>
    </row>
    <row r="509" spans="1:3" ht="13">
      <c r="A509" s="72">
        <v>42731</v>
      </c>
      <c r="B509" s="71">
        <v>7.1753999999999998</v>
      </c>
      <c r="C509" s="71">
        <v>5684809.6167247295</v>
      </c>
    </row>
    <row r="510" spans="1:3" ht="13">
      <c r="A510" s="72">
        <v>42732</v>
      </c>
      <c r="B510" s="71">
        <v>7.54068</v>
      </c>
      <c r="C510" s="71">
        <v>11635737.1875</v>
      </c>
    </row>
    <row r="511" spans="1:3" ht="13">
      <c r="A511" s="72">
        <v>42733</v>
      </c>
      <c r="B511" s="71">
        <v>8.2766099999999998</v>
      </c>
      <c r="C511" s="71">
        <v>25831085.416666601</v>
      </c>
    </row>
    <row r="512" spans="1:3" ht="13">
      <c r="A512" s="72">
        <v>42734</v>
      </c>
      <c r="B512" s="71">
        <v>8.1598799999999994</v>
      </c>
      <c r="C512" s="71">
        <v>20695832.291666601</v>
      </c>
    </row>
    <row r="513" spans="1:3" ht="13">
      <c r="A513" s="72">
        <v>42735</v>
      </c>
      <c r="B513" s="71">
        <v>7.9602199999999996</v>
      </c>
      <c r="C513" s="71">
        <v>11151551.3937282</v>
      </c>
    </row>
    <row r="514" spans="1:3" ht="13">
      <c r="A514" s="72">
        <v>42736</v>
      </c>
      <c r="B514" s="71">
        <v>8.1755800000000001</v>
      </c>
      <c r="C514" s="71">
        <v>11462846.875</v>
      </c>
    </row>
    <row r="515" spans="1:3" ht="13">
      <c r="A515" s="72">
        <v>42737</v>
      </c>
      <c r="B515" s="71">
        <v>8.37087</v>
      </c>
      <c r="C515" s="71">
        <v>14252558.3333333</v>
      </c>
    </row>
    <row r="516" spans="1:3" ht="13">
      <c r="A516" s="72">
        <v>42738</v>
      </c>
      <c r="B516" s="71">
        <v>9.7458600000000004</v>
      </c>
      <c r="C516" s="71">
        <v>19180598.606271699</v>
      </c>
    </row>
    <row r="517" spans="1:3" ht="13">
      <c r="A517" s="72">
        <v>42739</v>
      </c>
      <c r="B517" s="71">
        <v>11.276400000000001</v>
      </c>
      <c r="C517" s="71">
        <v>43719271.875</v>
      </c>
    </row>
    <row r="518" spans="1:3" ht="13">
      <c r="A518" s="72">
        <v>42740</v>
      </c>
      <c r="B518" s="71">
        <v>10.2677</v>
      </c>
      <c r="C518" s="71">
        <v>43687098.958333299</v>
      </c>
    </row>
    <row r="519" spans="1:3" ht="13">
      <c r="A519" s="72">
        <v>42741</v>
      </c>
      <c r="B519" s="71">
        <v>10.248699999999999</v>
      </c>
      <c r="C519" s="71">
        <v>33692071.1805555</v>
      </c>
    </row>
    <row r="520" spans="1:3" ht="13">
      <c r="A520" s="72">
        <v>42742</v>
      </c>
      <c r="B520" s="71">
        <v>9.8415700000000008</v>
      </c>
      <c r="C520" s="71">
        <v>26890279.0940766</v>
      </c>
    </row>
    <row r="521" spans="1:3" ht="13">
      <c r="A521" s="72">
        <v>42743</v>
      </c>
      <c r="B521" s="71">
        <v>10.279299999999999</v>
      </c>
      <c r="C521" s="71">
        <v>18929680.208333299</v>
      </c>
    </row>
    <row r="522" spans="1:3" ht="13">
      <c r="A522" s="72">
        <v>42744</v>
      </c>
      <c r="B522" s="71">
        <v>10.3668</v>
      </c>
      <c r="C522" s="71">
        <v>21969669.097222202</v>
      </c>
    </row>
    <row r="523" spans="1:3" ht="13">
      <c r="A523" s="72">
        <v>42745</v>
      </c>
      <c r="B523" s="71">
        <v>10.565</v>
      </c>
      <c r="C523" s="71">
        <v>19039191.2891986</v>
      </c>
    </row>
    <row r="524" spans="1:3" ht="13">
      <c r="A524" s="72">
        <v>42746</v>
      </c>
      <c r="B524" s="71">
        <v>9.7324000000000002</v>
      </c>
      <c r="C524" s="71">
        <v>16967191.666666601</v>
      </c>
    </row>
    <row r="525" spans="1:3" ht="13">
      <c r="A525" s="72">
        <v>42747</v>
      </c>
      <c r="B525" s="71">
        <v>9.8565100000000001</v>
      </c>
      <c r="C525" s="71">
        <v>31415812.152777702</v>
      </c>
    </row>
    <row r="526" spans="1:3" ht="13">
      <c r="A526" s="72">
        <v>42748</v>
      </c>
      <c r="B526" s="71">
        <v>9.6766699999999997</v>
      </c>
      <c r="C526" s="71">
        <v>25859660.069444399</v>
      </c>
    </row>
    <row r="527" spans="1:3" ht="13">
      <c r="A527" s="72">
        <v>42749</v>
      </c>
      <c r="B527" s="71">
        <v>9.7837700000000005</v>
      </c>
      <c r="C527" s="71">
        <v>23559817.770034801</v>
      </c>
    </row>
    <row r="528" spans="1:3" ht="13">
      <c r="A528" s="72">
        <v>42750</v>
      </c>
      <c r="B528" s="71">
        <v>9.9087999999999994</v>
      </c>
      <c r="C528" s="71">
        <v>17861915.972222202</v>
      </c>
    </row>
    <row r="529" spans="1:3" ht="13">
      <c r="A529" s="72">
        <v>42751</v>
      </c>
      <c r="B529" s="71">
        <v>9.5835699999999999</v>
      </c>
      <c r="C529" s="71">
        <v>14726904.513888801</v>
      </c>
    </row>
    <row r="530" spans="1:3" ht="13">
      <c r="A530" s="72">
        <v>42752</v>
      </c>
      <c r="B530" s="71">
        <v>10.328200000000001</v>
      </c>
      <c r="C530" s="71">
        <v>16400871.7770034</v>
      </c>
    </row>
    <row r="531" spans="1:3" ht="13">
      <c r="A531" s="72">
        <v>42753</v>
      </c>
      <c r="B531" s="71">
        <v>10.1958</v>
      </c>
      <c r="C531" s="71">
        <v>16651697.569444399</v>
      </c>
    </row>
    <row r="532" spans="1:3" ht="13">
      <c r="A532" s="72">
        <v>42754</v>
      </c>
      <c r="B532" s="71">
        <v>10.396599999999999</v>
      </c>
      <c r="C532" s="71">
        <v>9039361.5972222202</v>
      </c>
    </row>
    <row r="533" spans="1:3" ht="13">
      <c r="A533" s="72">
        <v>42755</v>
      </c>
      <c r="B533" s="71">
        <v>10.5946</v>
      </c>
      <c r="C533" s="71">
        <v>10790520.3832752</v>
      </c>
    </row>
    <row r="534" spans="1:3" ht="13">
      <c r="A534" s="72">
        <v>42756</v>
      </c>
      <c r="B534" s="71">
        <v>10.9109</v>
      </c>
      <c r="C534" s="71">
        <v>11085033.6805555</v>
      </c>
    </row>
    <row r="535" spans="1:3" ht="13">
      <c r="A535" s="72">
        <v>42757</v>
      </c>
      <c r="B535" s="71">
        <v>10.734400000000001</v>
      </c>
      <c r="C535" s="71">
        <v>9884301.0416666605</v>
      </c>
    </row>
    <row r="536" spans="1:3" ht="13">
      <c r="A536" s="72">
        <v>42758</v>
      </c>
      <c r="B536" s="71">
        <v>10.819699999999999</v>
      </c>
      <c r="C536" s="71">
        <v>8074103.1944444403</v>
      </c>
    </row>
    <row r="537" spans="1:3" ht="13">
      <c r="A537" s="72">
        <v>42759</v>
      </c>
      <c r="B537" s="71">
        <v>10.597</v>
      </c>
      <c r="C537" s="71">
        <v>7790677.6306620203</v>
      </c>
    </row>
    <row r="538" spans="1:3" ht="13">
      <c r="A538" s="72">
        <v>42760</v>
      </c>
      <c r="B538" s="71">
        <v>10.5694</v>
      </c>
      <c r="C538" s="71">
        <v>7588452.2916666605</v>
      </c>
    </row>
    <row r="539" spans="1:3" ht="13">
      <c r="A539" s="72">
        <v>42761</v>
      </c>
      <c r="B539" s="71">
        <v>10.594799999999999</v>
      </c>
      <c r="C539" s="71">
        <v>6995888.0902777696</v>
      </c>
    </row>
    <row r="540" spans="1:3" ht="13">
      <c r="A540" s="72">
        <v>42762</v>
      </c>
      <c r="B540" s="71">
        <v>10.5383</v>
      </c>
      <c r="C540" s="71">
        <v>8641288.7456445992</v>
      </c>
    </row>
    <row r="541" spans="1:3" ht="13">
      <c r="A541" s="72">
        <v>42763</v>
      </c>
      <c r="B541" s="71">
        <v>10.5548</v>
      </c>
      <c r="C541" s="71">
        <v>6194957.2569444403</v>
      </c>
    </row>
    <row r="542" spans="1:3" ht="13">
      <c r="A542" s="72">
        <v>42764</v>
      </c>
      <c r="B542" s="71">
        <v>10.4887</v>
      </c>
      <c r="C542" s="71">
        <v>5979955.9027777696</v>
      </c>
    </row>
    <row r="543" spans="1:3" ht="13">
      <c r="A543" s="72">
        <v>42765</v>
      </c>
      <c r="B543" s="71">
        <v>10.5703</v>
      </c>
      <c r="C543" s="71">
        <v>5556701.6319444403</v>
      </c>
    </row>
    <row r="544" spans="1:3" ht="13">
      <c r="A544" s="72">
        <v>42766</v>
      </c>
      <c r="B544" s="71">
        <v>10.709300000000001</v>
      </c>
      <c r="C544" s="71">
        <v>9532228.0487804804</v>
      </c>
    </row>
    <row r="545" spans="1:3" ht="13">
      <c r="A545" s="72">
        <v>42767</v>
      </c>
      <c r="B545" s="71">
        <v>10.728</v>
      </c>
      <c r="C545" s="71">
        <v>12903907.317073099</v>
      </c>
    </row>
    <row r="546" spans="1:3" ht="13">
      <c r="A546" s="72">
        <v>42768</v>
      </c>
      <c r="B546" s="71">
        <v>10.821899999999999</v>
      </c>
      <c r="C546" s="71">
        <v>11173959.791666601</v>
      </c>
    </row>
    <row r="547" spans="1:3" ht="13">
      <c r="A547" s="72">
        <v>42769</v>
      </c>
      <c r="B547" s="71">
        <v>11.0929</v>
      </c>
      <c r="C547" s="71">
        <v>12455267.9442508</v>
      </c>
    </row>
    <row r="548" spans="1:3" ht="13">
      <c r="A548" s="72">
        <v>42770</v>
      </c>
      <c r="B548" s="71">
        <v>11.4175</v>
      </c>
      <c r="C548" s="71">
        <v>14224122.916666601</v>
      </c>
    </row>
    <row r="549" spans="1:3" ht="13">
      <c r="A549" s="72">
        <v>42771</v>
      </c>
      <c r="B549" s="71">
        <v>11.372400000000001</v>
      </c>
      <c r="C549" s="71">
        <v>9102411.9097222202</v>
      </c>
    </row>
    <row r="550" spans="1:3" ht="13">
      <c r="A550" s="72">
        <v>42772</v>
      </c>
      <c r="B550" s="71">
        <v>11.396599999999999</v>
      </c>
      <c r="C550" s="71">
        <v>6003560.4166666605</v>
      </c>
    </row>
    <row r="551" spans="1:3" ht="13">
      <c r="A551" s="72">
        <v>42773</v>
      </c>
      <c r="B551" s="71">
        <v>11.516500000000001</v>
      </c>
      <c r="C551" s="71">
        <v>6813575.1219512196</v>
      </c>
    </row>
    <row r="552" spans="1:3" ht="13">
      <c r="A552" s="72">
        <v>42774</v>
      </c>
      <c r="B552" s="71">
        <v>11.4299</v>
      </c>
      <c r="C552" s="71">
        <v>9293696.9097222202</v>
      </c>
    </row>
    <row r="553" spans="1:3" ht="13">
      <c r="A553" s="72">
        <v>42775</v>
      </c>
      <c r="B553" s="71">
        <v>11.0372</v>
      </c>
      <c r="C553" s="71">
        <v>12082857.291666601</v>
      </c>
    </row>
    <row r="554" spans="1:3" ht="13">
      <c r="A554" s="72">
        <v>42776</v>
      </c>
      <c r="B554" s="71">
        <v>11.2781</v>
      </c>
      <c r="C554" s="71">
        <v>16154139.0243902</v>
      </c>
    </row>
    <row r="555" spans="1:3" ht="13">
      <c r="A555" s="72">
        <v>42777</v>
      </c>
      <c r="B555" s="71">
        <v>11.356400000000001</v>
      </c>
      <c r="C555" s="71">
        <v>10400897.1180555</v>
      </c>
    </row>
    <row r="556" spans="1:3" ht="13">
      <c r="A556" s="72">
        <v>42778</v>
      </c>
      <c r="B556" s="71">
        <v>11.3919</v>
      </c>
      <c r="C556" s="71">
        <v>6514081.1805555504</v>
      </c>
    </row>
    <row r="557" spans="1:3" ht="13">
      <c r="A557" s="72">
        <v>42779</v>
      </c>
      <c r="B557" s="71">
        <v>11.2719</v>
      </c>
      <c r="C557" s="71">
        <v>6434830</v>
      </c>
    </row>
    <row r="558" spans="1:3" ht="13">
      <c r="A558" s="72">
        <v>42780</v>
      </c>
      <c r="B558" s="71">
        <v>13.0009</v>
      </c>
      <c r="C558" s="71">
        <v>23703186.350877099</v>
      </c>
    </row>
    <row r="559" spans="1:3" ht="13">
      <c r="A559" s="72">
        <v>42781</v>
      </c>
      <c r="B559" s="71">
        <v>12.9314</v>
      </c>
      <c r="C559" s="71">
        <v>32551123.958333299</v>
      </c>
    </row>
    <row r="560" spans="1:3" ht="13">
      <c r="A560" s="72">
        <v>42782</v>
      </c>
      <c r="B560" s="71">
        <v>12.906499999999999</v>
      </c>
      <c r="C560" s="71">
        <v>24340629.166666601</v>
      </c>
    </row>
    <row r="561" spans="1:3" ht="13">
      <c r="A561" s="72">
        <v>42783</v>
      </c>
      <c r="B561" s="71">
        <v>12.681900000000001</v>
      </c>
      <c r="C561" s="71">
        <v>27716233.101045199</v>
      </c>
    </row>
    <row r="562" spans="1:3" ht="13">
      <c r="A562" s="72">
        <v>42784</v>
      </c>
      <c r="B562" s="71">
        <v>12.805899999999999</v>
      </c>
      <c r="C562" s="71">
        <v>10809146.1458333</v>
      </c>
    </row>
    <row r="563" spans="1:3" ht="13">
      <c r="A563" s="72">
        <v>42785</v>
      </c>
      <c r="B563" s="71">
        <v>12.7545</v>
      </c>
      <c r="C563" s="71">
        <v>8994524.3055555504</v>
      </c>
    </row>
    <row r="564" spans="1:3" ht="13">
      <c r="A564" s="72">
        <v>42786</v>
      </c>
      <c r="B564" s="71">
        <v>12.4787</v>
      </c>
      <c r="C564" s="71">
        <v>9088736.4930555504</v>
      </c>
    </row>
    <row r="565" spans="1:3" ht="13">
      <c r="A565" s="72">
        <v>42787</v>
      </c>
      <c r="B565" s="71">
        <v>12.675599999999999</v>
      </c>
      <c r="C565" s="71">
        <v>16604426.1324041</v>
      </c>
    </row>
    <row r="566" spans="1:3" ht="13">
      <c r="A566" s="72">
        <v>42788</v>
      </c>
      <c r="B566" s="71">
        <v>12.600899999999999</v>
      </c>
      <c r="C566" s="71">
        <v>10933115.9722222</v>
      </c>
    </row>
    <row r="567" spans="1:3" ht="13">
      <c r="A567" s="72">
        <v>42789</v>
      </c>
      <c r="B567" s="71">
        <v>13.136699999999999</v>
      </c>
      <c r="C567" s="71">
        <v>11279432.013888801</v>
      </c>
    </row>
    <row r="568" spans="1:3" ht="13">
      <c r="A568" s="72">
        <v>42790</v>
      </c>
      <c r="B568" s="71">
        <v>13.067</v>
      </c>
      <c r="C568" s="71">
        <v>20022019.512195099</v>
      </c>
    </row>
    <row r="569" spans="1:3" ht="13">
      <c r="A569" s="72">
        <v>42791</v>
      </c>
      <c r="B569" s="71">
        <v>13.547000000000001</v>
      </c>
      <c r="C569" s="71">
        <v>16553178.819444399</v>
      </c>
    </row>
    <row r="570" spans="1:3" ht="13">
      <c r="A570" s="72">
        <v>42792</v>
      </c>
      <c r="B570" s="71">
        <v>14.542199999999999</v>
      </c>
      <c r="C570" s="71">
        <v>17419250.347222202</v>
      </c>
    </row>
    <row r="571" spans="1:3" ht="13">
      <c r="A571" s="72">
        <v>42793</v>
      </c>
      <c r="B571" s="71">
        <v>15.3491</v>
      </c>
      <c r="C571" s="71">
        <v>24248830.5555555</v>
      </c>
    </row>
    <row r="572" spans="1:3" ht="13">
      <c r="A572" s="72">
        <v>42794</v>
      </c>
      <c r="B572" s="71">
        <v>15.8672</v>
      </c>
      <c r="C572" s="71">
        <v>51587033.098591499</v>
      </c>
    </row>
    <row r="573" spans="1:3" ht="13">
      <c r="A573" s="72">
        <v>42795</v>
      </c>
      <c r="B573" s="71">
        <v>17.371099999999998</v>
      </c>
      <c r="C573" s="71">
        <v>47174355.5555555</v>
      </c>
    </row>
    <row r="574" spans="1:3" ht="13">
      <c r="A574" s="72">
        <v>42796</v>
      </c>
      <c r="B574" s="71">
        <v>19.0929</v>
      </c>
      <c r="C574" s="71">
        <v>67001078.125</v>
      </c>
    </row>
    <row r="575" spans="1:3" ht="13">
      <c r="A575" s="72">
        <v>42797</v>
      </c>
      <c r="B575" s="71">
        <v>19.4679</v>
      </c>
      <c r="C575" s="71">
        <v>97374145.644599304</v>
      </c>
    </row>
    <row r="576" spans="1:3" ht="13">
      <c r="A576" s="72">
        <v>42798</v>
      </c>
      <c r="B576" s="71">
        <v>18.626200000000001</v>
      </c>
      <c r="C576" s="71">
        <v>59257613.194444403</v>
      </c>
    </row>
    <row r="577" spans="1:3" ht="13">
      <c r="A577" s="72">
        <v>42799</v>
      </c>
      <c r="B577" s="71">
        <v>19.300799999999999</v>
      </c>
      <c r="C577" s="71">
        <v>29671303.819444399</v>
      </c>
    </row>
    <row r="578" spans="1:3" ht="13">
      <c r="A578" s="72">
        <v>42800</v>
      </c>
      <c r="B578" s="71">
        <v>19.629100000000001</v>
      </c>
      <c r="C578" s="71">
        <v>25135185.416666601</v>
      </c>
    </row>
    <row r="579" spans="1:3" ht="13">
      <c r="A579" s="72">
        <v>42801</v>
      </c>
      <c r="B579" s="71">
        <v>18.875699999999998</v>
      </c>
      <c r="C579" s="71">
        <v>37463179.790940702</v>
      </c>
    </row>
    <row r="580" spans="1:3" ht="13">
      <c r="A580" s="72">
        <v>42802</v>
      </c>
      <c r="B580" s="71">
        <v>16.708200000000001</v>
      </c>
      <c r="C580" s="71">
        <v>44056947.916666597</v>
      </c>
    </row>
    <row r="581" spans="1:3" ht="13">
      <c r="A581" s="72">
        <v>42803</v>
      </c>
      <c r="B581" s="71">
        <v>17.747399999999999</v>
      </c>
      <c r="C581" s="71">
        <v>39316072.222222202</v>
      </c>
    </row>
    <row r="582" spans="1:3" ht="13">
      <c r="A582" s="72">
        <v>42804</v>
      </c>
      <c r="B582" s="71">
        <v>19.294</v>
      </c>
      <c r="C582" s="71">
        <v>37081833.101045199</v>
      </c>
    </row>
    <row r="583" spans="1:3" ht="13">
      <c r="A583" s="72">
        <v>42805</v>
      </c>
      <c r="B583" s="71">
        <v>21.502800000000001</v>
      </c>
      <c r="C583" s="71">
        <v>92579259.375</v>
      </c>
    </row>
    <row r="584" spans="1:3" ht="13">
      <c r="A584" s="72">
        <v>42806</v>
      </c>
      <c r="B584" s="71">
        <v>23.370200000000001</v>
      </c>
      <c r="C584" s="71">
        <v>80407065.625</v>
      </c>
    </row>
    <row r="585" spans="1:3" ht="13">
      <c r="A585" s="72">
        <v>42807</v>
      </c>
      <c r="B585" s="71">
        <v>28.5474</v>
      </c>
      <c r="C585" s="71">
        <v>165689279.513888</v>
      </c>
    </row>
    <row r="586" spans="1:3" ht="13">
      <c r="A586" s="72">
        <v>42808</v>
      </c>
      <c r="B586" s="71">
        <v>28.6585</v>
      </c>
      <c r="C586" s="71">
        <v>179968080.41958001</v>
      </c>
    </row>
    <row r="587" spans="1:3" ht="13">
      <c r="A587" s="72">
        <v>42809</v>
      </c>
      <c r="B587" s="71">
        <v>34.7211</v>
      </c>
      <c r="C587" s="71">
        <v>102411952.430555</v>
      </c>
    </row>
    <row r="588" spans="1:3" ht="13">
      <c r="A588" s="72">
        <v>42810</v>
      </c>
      <c r="B588" s="71">
        <v>45.817599999999999</v>
      </c>
      <c r="C588" s="71">
        <v>352364513.888888</v>
      </c>
    </row>
    <row r="589" spans="1:3" ht="13">
      <c r="A589" s="72">
        <v>42811</v>
      </c>
      <c r="B589" s="71">
        <v>46.380800000000001</v>
      </c>
      <c r="C589" s="71">
        <v>490736550.52264798</v>
      </c>
    </row>
    <row r="590" spans="1:3" ht="13">
      <c r="A590" s="72">
        <v>42812</v>
      </c>
      <c r="B590" s="71">
        <v>33.009500000000003</v>
      </c>
      <c r="C590" s="71">
        <v>331299496.52777702</v>
      </c>
    </row>
    <row r="591" spans="1:3" ht="13">
      <c r="A591" s="72">
        <v>42813</v>
      </c>
      <c r="B591" s="71">
        <v>44.343000000000004</v>
      </c>
      <c r="C591" s="71">
        <v>273082395.83333302</v>
      </c>
    </row>
    <row r="592" spans="1:3" ht="13">
      <c r="A592" s="72">
        <v>42814</v>
      </c>
      <c r="B592" s="71">
        <v>43.124099999999999</v>
      </c>
      <c r="C592" s="71">
        <v>196496410.526315</v>
      </c>
    </row>
    <row r="593" spans="1:3" ht="13">
      <c r="A593" s="72">
        <v>42815</v>
      </c>
      <c r="B593" s="71">
        <v>43.166200000000003</v>
      </c>
      <c r="C593" s="71">
        <v>121683463.066202</v>
      </c>
    </row>
    <row r="594" spans="1:3" ht="13">
      <c r="A594" s="72">
        <v>42816</v>
      </c>
      <c r="B594" s="71">
        <v>42.257899999999999</v>
      </c>
      <c r="C594" s="71">
        <v>98118738.541666597</v>
      </c>
    </row>
    <row r="595" spans="1:3" ht="13">
      <c r="A595" s="72">
        <v>42817</v>
      </c>
      <c r="B595" s="71">
        <v>43.805700000000002</v>
      </c>
      <c r="C595" s="71">
        <v>99793212.152777702</v>
      </c>
    </row>
    <row r="596" spans="1:3" ht="13">
      <c r="A596" s="72">
        <v>42818</v>
      </c>
      <c r="B596" s="71">
        <v>52.7926</v>
      </c>
      <c r="C596" s="71">
        <v>164960334.843205</v>
      </c>
    </row>
    <row r="597" spans="1:3" ht="13">
      <c r="A597" s="72">
        <v>42819</v>
      </c>
      <c r="B597" s="71">
        <v>51.163899999999998</v>
      </c>
      <c r="C597" s="71">
        <v>307740659.72222197</v>
      </c>
    </row>
    <row r="598" spans="1:3" ht="13">
      <c r="A598" s="72">
        <v>42820</v>
      </c>
      <c r="B598" s="71">
        <v>50.342100000000002</v>
      </c>
      <c r="C598" s="71">
        <v>149130906.25</v>
      </c>
    </row>
    <row r="599" spans="1:3" ht="13">
      <c r="A599" s="72">
        <v>42821</v>
      </c>
      <c r="B599" s="71">
        <v>49.594200000000001</v>
      </c>
      <c r="C599" s="71">
        <v>120948809.027777</v>
      </c>
    </row>
    <row r="600" spans="1:3" ht="13">
      <c r="A600" s="72">
        <v>42822</v>
      </c>
      <c r="B600" s="71">
        <v>50.717700000000001</v>
      </c>
      <c r="C600" s="71">
        <v>116282402.78745601</v>
      </c>
    </row>
    <row r="601" spans="1:3" ht="13">
      <c r="A601" s="72">
        <v>42823</v>
      </c>
      <c r="B601" s="71">
        <v>53.155299999999997</v>
      </c>
      <c r="C601" s="71">
        <v>130847575.347222</v>
      </c>
    </row>
    <row r="602" spans="1:3" ht="13">
      <c r="A602" s="72">
        <v>42824</v>
      </c>
      <c r="B602" s="71">
        <v>52.2622</v>
      </c>
      <c r="C602" s="71">
        <v>106740225</v>
      </c>
    </row>
    <row r="603" spans="1:3" ht="13">
      <c r="A603" s="72">
        <v>42825</v>
      </c>
      <c r="B603" s="71">
        <v>50.024700000000003</v>
      </c>
      <c r="C603" s="71">
        <v>119428854.3554</v>
      </c>
    </row>
    <row r="604" spans="1:3" ht="13">
      <c r="A604" s="72">
        <v>42826</v>
      </c>
      <c r="B604" s="71">
        <v>50.692900000000002</v>
      </c>
      <c r="C604" s="71">
        <v>113075503.125</v>
      </c>
    </row>
    <row r="605" spans="1:3" ht="13">
      <c r="A605" s="72">
        <v>42827</v>
      </c>
      <c r="B605" s="71">
        <v>48.798499999999997</v>
      </c>
      <c r="C605" s="71">
        <v>94340774.305555493</v>
      </c>
    </row>
    <row r="606" spans="1:3" ht="13">
      <c r="A606" s="72">
        <v>42828</v>
      </c>
      <c r="B606" s="71">
        <v>44.291600000000003</v>
      </c>
      <c r="C606" s="71">
        <v>205192696.86411101</v>
      </c>
    </row>
    <row r="607" spans="1:3" ht="13">
      <c r="A607" s="72">
        <v>42829</v>
      </c>
      <c r="B607" s="71">
        <v>44.850499999999997</v>
      </c>
      <c r="C607" s="71">
        <v>165294097.222222</v>
      </c>
    </row>
    <row r="608" spans="1:3" ht="13">
      <c r="A608" s="72">
        <v>42830</v>
      </c>
      <c r="B608" s="71">
        <v>45.530099999999997</v>
      </c>
      <c r="C608" s="71">
        <v>125525384.722222</v>
      </c>
    </row>
    <row r="609" spans="1:3" ht="13">
      <c r="A609" s="72">
        <v>42831</v>
      </c>
      <c r="B609" s="71">
        <v>43.233199999999997</v>
      </c>
      <c r="C609" s="71">
        <v>121439871.527777</v>
      </c>
    </row>
    <row r="610" spans="1:3" ht="13">
      <c r="A610" s="72">
        <v>42832</v>
      </c>
      <c r="B610" s="71">
        <v>42.238500000000002</v>
      </c>
      <c r="C610" s="71">
        <v>122697741.811846</v>
      </c>
    </row>
    <row r="611" spans="1:3" ht="13">
      <c r="A611" s="72">
        <v>42833</v>
      </c>
      <c r="B611" s="71">
        <v>44.413800000000002</v>
      </c>
      <c r="C611" s="71">
        <v>86906038.194444403</v>
      </c>
    </row>
    <row r="612" spans="1:3" ht="13">
      <c r="A612" s="72">
        <v>42834</v>
      </c>
      <c r="B612" s="71">
        <v>43.2898</v>
      </c>
      <c r="C612" s="71">
        <v>48713650</v>
      </c>
    </row>
    <row r="613" spans="1:3" ht="13">
      <c r="A613" s="72">
        <v>42835</v>
      </c>
      <c r="B613" s="71">
        <v>43.489800000000002</v>
      </c>
      <c r="C613" s="71">
        <v>48871562.717770003</v>
      </c>
    </row>
    <row r="614" spans="1:3" ht="13">
      <c r="A614" s="72">
        <v>42836</v>
      </c>
      <c r="B614" s="71">
        <v>43.425600000000003</v>
      </c>
      <c r="C614" s="71">
        <v>45688047.222222202</v>
      </c>
    </row>
    <row r="615" spans="1:3" ht="13">
      <c r="A615" s="72">
        <v>42837</v>
      </c>
      <c r="B615" s="71">
        <v>46.274700000000003</v>
      </c>
      <c r="C615" s="71">
        <v>43640872.916666597</v>
      </c>
    </row>
    <row r="616" spans="1:3" ht="13">
      <c r="A616" s="72">
        <v>42838</v>
      </c>
      <c r="B616" s="71">
        <v>50.164000000000001</v>
      </c>
      <c r="C616" s="71">
        <v>140874146.52777699</v>
      </c>
    </row>
    <row r="617" spans="1:3" ht="13">
      <c r="A617" s="72">
        <v>42839</v>
      </c>
      <c r="B617" s="71">
        <v>47.662700000000001</v>
      </c>
      <c r="C617" s="71">
        <v>126346993.031358</v>
      </c>
    </row>
    <row r="618" spans="1:3" ht="13">
      <c r="A618" s="72">
        <v>42840</v>
      </c>
      <c r="B618" s="71">
        <v>49.167900000000003</v>
      </c>
      <c r="C618" s="71">
        <v>69612802.777777702</v>
      </c>
    </row>
    <row r="619" spans="1:3" ht="13">
      <c r="A619" s="72">
        <v>42841</v>
      </c>
      <c r="B619" s="71">
        <v>48.6751</v>
      </c>
      <c r="C619" s="71">
        <v>55064705.902777702</v>
      </c>
    </row>
    <row r="620" spans="1:3" ht="13">
      <c r="A620" s="72">
        <v>42842</v>
      </c>
      <c r="B620" s="71">
        <v>48.295000000000002</v>
      </c>
      <c r="C620" s="71">
        <v>33584987.108013898</v>
      </c>
    </row>
    <row r="621" spans="1:3" ht="13">
      <c r="A621" s="72">
        <v>42843</v>
      </c>
      <c r="B621" s="71">
        <v>50.720300000000002</v>
      </c>
      <c r="C621" s="71">
        <v>63492852.4305555</v>
      </c>
    </row>
    <row r="622" spans="1:3" ht="13">
      <c r="A622" s="72">
        <v>42844</v>
      </c>
      <c r="B622" s="71">
        <v>48.304900000000004</v>
      </c>
      <c r="C622" s="71">
        <v>67088604.166666597</v>
      </c>
    </row>
    <row r="623" spans="1:3" ht="13">
      <c r="A623" s="72">
        <v>42845</v>
      </c>
      <c r="B623" s="71">
        <v>49.720999999999997</v>
      </c>
      <c r="C623" s="71">
        <v>96962787.152777702</v>
      </c>
    </row>
    <row r="624" spans="1:3" ht="13">
      <c r="A624" s="72">
        <v>42846</v>
      </c>
      <c r="B624" s="71">
        <v>48.267800000000001</v>
      </c>
      <c r="C624" s="71">
        <v>55431468.641114898</v>
      </c>
    </row>
    <row r="625" spans="1:3" ht="13">
      <c r="A625" s="72">
        <v>42847</v>
      </c>
      <c r="B625" s="71">
        <v>48.570500000000003</v>
      </c>
      <c r="C625" s="71">
        <v>43041760.069444403</v>
      </c>
    </row>
    <row r="626" spans="1:3" ht="13">
      <c r="A626" s="72">
        <v>42848</v>
      </c>
      <c r="B626" s="71">
        <v>48.433500000000002</v>
      </c>
      <c r="C626" s="71">
        <v>37712262.847222202</v>
      </c>
    </row>
    <row r="627" spans="1:3" ht="13">
      <c r="A627" s="72">
        <v>42849</v>
      </c>
      <c r="B627" s="71">
        <v>50.100299999999997</v>
      </c>
      <c r="C627" s="71">
        <v>49389928.5714285</v>
      </c>
    </row>
    <row r="628" spans="1:3" ht="13">
      <c r="A628" s="72">
        <v>42850</v>
      </c>
      <c r="B628" s="71">
        <v>49.868600000000001</v>
      </c>
      <c r="C628" s="71">
        <v>44046019.444444403</v>
      </c>
    </row>
    <row r="629" spans="1:3" ht="13">
      <c r="A629" s="72">
        <v>42851</v>
      </c>
      <c r="B629" s="71">
        <v>52.756900000000002</v>
      </c>
      <c r="C629" s="71">
        <v>62968681.944444403</v>
      </c>
    </row>
    <row r="630" spans="1:3" ht="13">
      <c r="A630" s="72">
        <v>42852</v>
      </c>
      <c r="B630" s="71">
        <v>61.967399999999998</v>
      </c>
      <c r="C630" s="71">
        <v>174853406.25</v>
      </c>
    </row>
    <row r="631" spans="1:3" ht="13">
      <c r="A631" s="72">
        <v>42853</v>
      </c>
      <c r="B631" s="71">
        <v>70.549000000000007</v>
      </c>
      <c r="C631" s="71">
        <v>312066954.70383197</v>
      </c>
    </row>
    <row r="632" spans="1:3" ht="13">
      <c r="A632" s="72">
        <v>42854</v>
      </c>
      <c r="B632" s="71">
        <v>68.534099999999995</v>
      </c>
      <c r="C632" s="71">
        <v>205516767.36111099</v>
      </c>
    </row>
    <row r="633" spans="1:3" ht="13">
      <c r="A633" s="72">
        <v>42855</v>
      </c>
      <c r="B633" s="71">
        <v>78.982600000000005</v>
      </c>
      <c r="C633" s="71">
        <v>145038395.83333299</v>
      </c>
    </row>
    <row r="634" spans="1:3" ht="13">
      <c r="A634" s="72">
        <v>42856</v>
      </c>
      <c r="B634" s="71">
        <v>76.382099999999994</v>
      </c>
      <c r="C634" s="71">
        <v>338727696.86411101</v>
      </c>
    </row>
    <row r="635" spans="1:3" ht="13">
      <c r="A635" s="72">
        <v>42857</v>
      </c>
      <c r="B635" s="71">
        <v>77.5702</v>
      </c>
      <c r="C635" s="71">
        <v>293542420.138888</v>
      </c>
    </row>
    <row r="636" spans="1:3" ht="13">
      <c r="A636" s="72">
        <v>42858</v>
      </c>
      <c r="B636" s="71">
        <v>79.640299999999996</v>
      </c>
      <c r="C636" s="71">
        <v>163972569.444444</v>
      </c>
    </row>
    <row r="637" spans="1:3" ht="13">
      <c r="A637" s="72">
        <v>42859</v>
      </c>
      <c r="B637" s="71">
        <v>96.883700000000005</v>
      </c>
      <c r="C637" s="71">
        <v>221560329.86111099</v>
      </c>
    </row>
    <row r="638" spans="1:3" ht="13">
      <c r="A638" s="72">
        <v>42860</v>
      </c>
      <c r="B638" s="71">
        <v>94.351799999999997</v>
      </c>
      <c r="C638" s="71">
        <v>398734362.36933798</v>
      </c>
    </row>
    <row r="639" spans="1:3" ht="13">
      <c r="A639" s="72">
        <v>42861</v>
      </c>
      <c r="B639" s="71">
        <v>97.875900000000001</v>
      </c>
      <c r="C639" s="71">
        <v>231372236.11111099</v>
      </c>
    </row>
    <row r="640" spans="1:3" ht="13">
      <c r="A640" s="72">
        <v>42862</v>
      </c>
      <c r="B640" s="71">
        <v>93.863900000000001</v>
      </c>
      <c r="C640" s="71">
        <v>139018395.83333299</v>
      </c>
    </row>
    <row r="641" spans="1:3" ht="13">
      <c r="A641" s="72">
        <v>42863</v>
      </c>
      <c r="B641" s="71">
        <v>91.671800000000005</v>
      </c>
      <c r="C641" s="71">
        <v>241501198.606271</v>
      </c>
    </row>
    <row r="642" spans="1:3" ht="13">
      <c r="A642" s="72">
        <v>42864</v>
      </c>
      <c r="B642" s="71">
        <v>90.411600000000007</v>
      </c>
      <c r="C642" s="71">
        <v>285297336.80555499</v>
      </c>
    </row>
    <row r="643" spans="1:3" ht="13">
      <c r="A643" s="72">
        <v>42865</v>
      </c>
      <c r="B643" s="71">
        <v>89.383200000000002</v>
      </c>
      <c r="C643" s="71">
        <v>220714274.30555499</v>
      </c>
    </row>
    <row r="644" spans="1:3" ht="13">
      <c r="A644" s="72">
        <v>42866</v>
      </c>
      <c r="B644" s="71">
        <v>89.935400000000001</v>
      </c>
      <c r="C644" s="71">
        <v>140974836.80555499</v>
      </c>
    </row>
    <row r="645" spans="1:3" ht="13">
      <c r="A645" s="72">
        <v>42867</v>
      </c>
      <c r="B645" s="71">
        <v>88.796199999999999</v>
      </c>
      <c r="C645" s="71">
        <v>139099327.52613199</v>
      </c>
    </row>
    <row r="646" spans="1:3" ht="13">
      <c r="A646" s="72">
        <v>42868</v>
      </c>
      <c r="B646" s="71">
        <v>90.956900000000005</v>
      </c>
      <c r="C646" s="71">
        <v>126206415.625</v>
      </c>
    </row>
    <row r="647" spans="1:3" ht="13">
      <c r="A647" s="72">
        <v>42869</v>
      </c>
      <c r="B647" s="71">
        <v>90.788200000000003</v>
      </c>
      <c r="C647" s="71">
        <v>68456439.583333299</v>
      </c>
    </row>
    <row r="648" spans="1:3" ht="13">
      <c r="A648" s="72">
        <v>42870</v>
      </c>
      <c r="B648" s="71">
        <v>92.317800000000005</v>
      </c>
      <c r="C648" s="71">
        <v>115961646.341463</v>
      </c>
    </row>
    <row r="649" spans="1:3" ht="13">
      <c r="A649" s="72">
        <v>42871</v>
      </c>
      <c r="B649" s="71">
        <v>89.397499999999994</v>
      </c>
      <c r="C649" s="71">
        <v>164450197.916666</v>
      </c>
    </row>
    <row r="650" spans="1:3" ht="13">
      <c r="A650" s="72">
        <v>42872</v>
      </c>
      <c r="B650" s="71">
        <v>89.891400000000004</v>
      </c>
      <c r="C650" s="71">
        <v>183089569.444444</v>
      </c>
    </row>
    <row r="651" spans="1:3" ht="13">
      <c r="A651" s="72">
        <v>42873</v>
      </c>
      <c r="B651" s="71">
        <v>96.842500000000001</v>
      </c>
      <c r="C651" s="71">
        <v>179343031.25</v>
      </c>
    </row>
    <row r="652" spans="1:3" ht="13">
      <c r="A652" s="72">
        <v>42874</v>
      </c>
      <c r="B652" s="71">
        <v>129.97900000000001</v>
      </c>
      <c r="C652" s="71">
        <v>389799773.51916301</v>
      </c>
    </row>
    <row r="653" spans="1:3" ht="13">
      <c r="A653" s="72">
        <v>42875</v>
      </c>
      <c r="B653" s="71">
        <v>126.746</v>
      </c>
      <c r="C653" s="71">
        <v>507954166.66666597</v>
      </c>
    </row>
    <row r="654" spans="1:3" ht="13">
      <c r="A654" s="72">
        <v>42876</v>
      </c>
      <c r="B654" s="71">
        <v>159.02600000000001</v>
      </c>
      <c r="C654" s="71">
        <v>366534208.33333302</v>
      </c>
    </row>
    <row r="655" spans="1:3" ht="13">
      <c r="A655" s="72">
        <v>42877</v>
      </c>
      <c r="B655" s="71">
        <v>173.505</v>
      </c>
      <c r="C655" s="71">
        <v>1007932163.76306</v>
      </c>
    </row>
    <row r="656" spans="1:3" ht="13">
      <c r="A656" s="72">
        <v>42878</v>
      </c>
      <c r="B656" s="71">
        <v>181.69399999999999</v>
      </c>
      <c r="C656" s="71">
        <v>858118027.77777696</v>
      </c>
    </row>
    <row r="657" spans="1:3" ht="13">
      <c r="A657" s="72">
        <v>42879</v>
      </c>
      <c r="B657" s="71">
        <v>189.82599999999999</v>
      </c>
      <c r="C657" s="71">
        <v>595174927.08333302</v>
      </c>
    </row>
    <row r="658" spans="1:3" ht="13">
      <c r="A658" s="72">
        <v>42880</v>
      </c>
      <c r="B658" s="71">
        <v>175.84200000000001</v>
      </c>
      <c r="C658" s="71">
        <v>749347148.40989399</v>
      </c>
    </row>
    <row r="659" spans="1:3" ht="13">
      <c r="A659" s="72">
        <v>42881</v>
      </c>
      <c r="B659" s="71">
        <v>161.47399999999999</v>
      </c>
      <c r="C659" s="71">
        <v>858982024.39024305</v>
      </c>
    </row>
    <row r="660" spans="1:3" ht="13">
      <c r="A660" s="72">
        <v>42882</v>
      </c>
      <c r="B660" s="71">
        <v>156.55199999999999</v>
      </c>
      <c r="C660" s="71">
        <v>1038639003.4722199</v>
      </c>
    </row>
    <row r="661" spans="1:3" ht="13">
      <c r="A661" s="72">
        <v>42883</v>
      </c>
      <c r="B661" s="71">
        <v>170.476</v>
      </c>
      <c r="C661" s="71">
        <v>985611194.44444394</v>
      </c>
    </row>
    <row r="662" spans="1:3" ht="13">
      <c r="A662" s="72">
        <v>42884</v>
      </c>
      <c r="B662" s="71">
        <v>193.72399999999999</v>
      </c>
      <c r="C662" s="71">
        <v>560768770.03484297</v>
      </c>
    </row>
    <row r="663" spans="1:3" ht="13">
      <c r="A663" s="72">
        <v>42885</v>
      </c>
      <c r="B663" s="71">
        <v>232.256</v>
      </c>
      <c r="C663" s="71">
        <v>1153165927.0833299</v>
      </c>
    </row>
    <row r="664" spans="1:3" ht="13">
      <c r="A664" s="72">
        <v>42886</v>
      </c>
      <c r="B664" s="71">
        <v>231.27699999999999</v>
      </c>
      <c r="C664" s="71">
        <v>1574107604.1666601</v>
      </c>
    </row>
    <row r="665" spans="1:3" ht="13">
      <c r="A665" s="72">
        <v>42887</v>
      </c>
      <c r="B665" s="71">
        <v>221.43700000000001</v>
      </c>
      <c r="C665" s="71">
        <v>976928794.42508698</v>
      </c>
    </row>
    <row r="666" spans="1:3" ht="13">
      <c r="A666" s="72">
        <v>42888</v>
      </c>
      <c r="B666" s="71">
        <v>223.83500000000001</v>
      </c>
      <c r="C666" s="71">
        <v>629737576.388888</v>
      </c>
    </row>
    <row r="667" spans="1:3" ht="13">
      <c r="A667" s="72">
        <v>42889</v>
      </c>
      <c r="B667" s="71">
        <v>224.26499999999999</v>
      </c>
      <c r="C667" s="71">
        <v>439662666.66666597</v>
      </c>
    </row>
    <row r="668" spans="1:3" ht="13">
      <c r="A668" s="72">
        <v>42890</v>
      </c>
      <c r="B668" s="71">
        <v>245.49799999999999</v>
      </c>
      <c r="C668" s="71">
        <v>594325562.5</v>
      </c>
    </row>
    <row r="669" spans="1:3" ht="13">
      <c r="A669" s="72">
        <v>42891</v>
      </c>
      <c r="B669" s="71">
        <v>248.72300000000001</v>
      </c>
      <c r="C669" s="71">
        <v>584860261.32404101</v>
      </c>
    </row>
    <row r="670" spans="1:3" ht="13">
      <c r="A670" s="72">
        <v>42892</v>
      </c>
      <c r="B670" s="71">
        <v>264.73200000000003</v>
      </c>
      <c r="C670" s="71">
        <v>608830597.22222197</v>
      </c>
    </row>
    <row r="671" spans="1:3" ht="13">
      <c r="A671" s="72">
        <v>42893</v>
      </c>
      <c r="B671" s="71">
        <v>258.89400000000001</v>
      </c>
      <c r="C671" s="71">
        <v>558103857.14285696</v>
      </c>
    </row>
    <row r="672" spans="1:3" ht="13">
      <c r="A672" s="72">
        <v>42894</v>
      </c>
      <c r="B672" s="71">
        <v>261.94799999999998</v>
      </c>
      <c r="C672" s="71">
        <v>453941038.32752597</v>
      </c>
    </row>
    <row r="673" spans="1:3" ht="13">
      <c r="A673" s="72">
        <v>42895</v>
      </c>
      <c r="B673" s="71">
        <v>282.62099999999998</v>
      </c>
      <c r="C673" s="71">
        <v>397973500</v>
      </c>
    </row>
    <row r="674" spans="1:3" ht="13">
      <c r="A674" s="72">
        <v>42896</v>
      </c>
      <c r="B674" s="71">
        <v>336.733</v>
      </c>
      <c r="C674" s="71">
        <v>944314878.47222197</v>
      </c>
    </row>
    <row r="675" spans="1:3" ht="13">
      <c r="A675" s="72">
        <v>42897</v>
      </c>
      <c r="B675" s="71">
        <v>339.97300000000001</v>
      </c>
      <c r="C675" s="71">
        <v>1825628854.1666601</v>
      </c>
    </row>
    <row r="676" spans="1:3" ht="13">
      <c r="A676" s="72">
        <v>42898</v>
      </c>
      <c r="B676" s="71">
        <v>398.57900000000001</v>
      </c>
      <c r="C676" s="71">
        <v>1834558188.1533101</v>
      </c>
    </row>
    <row r="677" spans="1:3" ht="13">
      <c r="A677" s="72">
        <v>42899</v>
      </c>
      <c r="B677" s="71">
        <v>397.05500000000001</v>
      </c>
      <c r="C677" s="71">
        <v>2556142195.1219501</v>
      </c>
    </row>
    <row r="678" spans="1:3" ht="13">
      <c r="A678" s="72">
        <v>42900</v>
      </c>
      <c r="B678" s="71">
        <v>358.52800000000002</v>
      </c>
      <c r="C678" s="71">
        <v>1220430170.13888</v>
      </c>
    </row>
    <row r="679" spans="1:3" ht="13">
      <c r="A679" s="72">
        <v>42901</v>
      </c>
      <c r="B679" s="71">
        <v>361.27199999999999</v>
      </c>
      <c r="C679" s="71">
        <v>1899657630.66202</v>
      </c>
    </row>
    <row r="680" spans="1:3" ht="13">
      <c r="A680" s="72">
        <v>42902</v>
      </c>
      <c r="B680" s="71">
        <v>370.29</v>
      </c>
      <c r="C680" s="71">
        <v>1824192604.1666601</v>
      </c>
    </row>
    <row r="681" spans="1:3" ht="13">
      <c r="A681" s="72">
        <v>42903</v>
      </c>
      <c r="B681" s="71">
        <v>378.96</v>
      </c>
      <c r="C681" s="71">
        <v>930510717.77003396</v>
      </c>
    </row>
    <row r="682" spans="1:3" ht="13">
      <c r="A682" s="72">
        <v>42904</v>
      </c>
      <c r="B682" s="71">
        <v>371.65699999999998</v>
      </c>
      <c r="C682" s="71">
        <v>951099006.94444394</v>
      </c>
    </row>
    <row r="683" spans="1:3" ht="13">
      <c r="A683" s="72">
        <v>42905</v>
      </c>
      <c r="B683" s="71">
        <v>370.10599999999999</v>
      </c>
      <c r="C683" s="71">
        <v>744366250.87108004</v>
      </c>
    </row>
    <row r="684" spans="1:3" ht="13">
      <c r="A684" s="72">
        <v>42906</v>
      </c>
      <c r="B684" s="71">
        <v>358.98399999999998</v>
      </c>
      <c r="C684" s="71">
        <v>780757871.52777696</v>
      </c>
    </row>
    <row r="685" spans="1:3" ht="13">
      <c r="A685" s="72">
        <v>42907</v>
      </c>
      <c r="B685" s="71">
        <v>335.16699999999997</v>
      </c>
      <c r="C685" s="71">
        <v>1133066090.27777</v>
      </c>
    </row>
    <row r="686" spans="1:3" ht="13">
      <c r="A686" s="72">
        <v>42908</v>
      </c>
      <c r="B686" s="71">
        <v>336.11399999999998</v>
      </c>
      <c r="C686" s="71">
        <v>1361937508.7107999</v>
      </c>
    </row>
    <row r="687" spans="1:3" ht="13">
      <c r="A687" s="72">
        <v>42909</v>
      </c>
      <c r="B687" s="71">
        <v>341.84100000000001</v>
      </c>
      <c r="C687" s="71">
        <v>764128354.16666603</v>
      </c>
    </row>
    <row r="688" spans="1:3" ht="13">
      <c r="A688" s="72">
        <v>42910</v>
      </c>
      <c r="B688" s="71">
        <v>324.05599999999998</v>
      </c>
      <c r="C688" s="71">
        <v>576645222.22222197</v>
      </c>
    </row>
    <row r="689" spans="1:3" ht="13">
      <c r="A689" s="72">
        <v>42911</v>
      </c>
      <c r="B689" s="71">
        <v>303.76400000000001</v>
      </c>
      <c r="C689" s="71">
        <v>832706177.08333302</v>
      </c>
    </row>
    <row r="690" spans="1:3" ht="13">
      <c r="A690" s="72">
        <v>42912</v>
      </c>
      <c r="B690" s="71">
        <v>273.64699999999999</v>
      </c>
      <c r="C690" s="71">
        <v>1446035582.3293099</v>
      </c>
    </row>
    <row r="691" spans="1:3" ht="13">
      <c r="A691" s="72">
        <v>42913</v>
      </c>
      <c r="B691" s="71">
        <v>291.03100000000001</v>
      </c>
      <c r="C691" s="71">
        <v>1894637938.9312899</v>
      </c>
    </row>
    <row r="692" spans="1:3" ht="13">
      <c r="A692" s="72">
        <v>42914</v>
      </c>
      <c r="B692" s="71">
        <v>329.09800000000001</v>
      </c>
      <c r="C692" s="71">
        <v>2134729818.1818099</v>
      </c>
    </row>
    <row r="693" spans="1:3" ht="13">
      <c r="A693" s="72">
        <v>42915</v>
      </c>
      <c r="B693" s="71">
        <v>303.24</v>
      </c>
      <c r="C693" s="71">
        <v>1851822638.88888</v>
      </c>
    </row>
    <row r="694" spans="1:3" ht="13">
      <c r="A694" s="72">
        <v>42916</v>
      </c>
      <c r="B694" s="71">
        <v>292.678</v>
      </c>
      <c r="C694" s="71">
        <v>1208240501.7421601</v>
      </c>
    </row>
    <row r="695" spans="1:3" ht="13">
      <c r="A695" s="72">
        <v>42917</v>
      </c>
      <c r="B695" s="71">
        <v>274.44400000000002</v>
      </c>
      <c r="C695" s="71">
        <v>1105637211.8055501</v>
      </c>
    </row>
    <row r="696" spans="1:3" ht="13">
      <c r="A696" s="72">
        <v>42918</v>
      </c>
      <c r="B696" s="71">
        <v>289.40600000000001</v>
      </c>
      <c r="C696" s="71">
        <v>1018498836.80555</v>
      </c>
    </row>
    <row r="697" spans="1:3" ht="13">
      <c r="A697" s="72">
        <v>42919</v>
      </c>
      <c r="B697" s="71">
        <v>283.22399999999999</v>
      </c>
      <c r="C697" s="71">
        <v>1048193194.44444</v>
      </c>
    </row>
    <row r="698" spans="1:3" ht="13">
      <c r="A698" s="72">
        <v>42920</v>
      </c>
      <c r="B698" s="71">
        <v>273.77100000000002</v>
      </c>
      <c r="C698" s="71">
        <v>722996243.902439</v>
      </c>
    </row>
    <row r="699" spans="1:3" ht="13">
      <c r="A699" s="72">
        <v>42921</v>
      </c>
      <c r="B699" s="71">
        <v>268.87400000000002</v>
      </c>
      <c r="C699" s="71">
        <v>751841770.83333302</v>
      </c>
    </row>
    <row r="700" spans="1:3" ht="13">
      <c r="A700" s="72">
        <v>42922</v>
      </c>
      <c r="B700" s="71">
        <v>270.964</v>
      </c>
      <c r="C700" s="71">
        <v>731961871.52777696</v>
      </c>
    </row>
    <row r="701" spans="1:3" ht="13">
      <c r="A701" s="72">
        <v>42923</v>
      </c>
      <c r="B701" s="71">
        <v>247.29</v>
      </c>
      <c r="C701" s="71">
        <v>587920940.76654994</v>
      </c>
    </row>
    <row r="702" spans="1:3" ht="13">
      <c r="A702" s="72">
        <v>42924</v>
      </c>
      <c r="B702" s="71">
        <v>251.21899999999999</v>
      </c>
      <c r="C702" s="71">
        <v>811300430.55555499</v>
      </c>
    </row>
    <row r="703" spans="1:3" ht="13">
      <c r="A703" s="72">
        <v>42925</v>
      </c>
      <c r="B703" s="71">
        <v>242.22900000000001</v>
      </c>
      <c r="C703" s="71">
        <v>590868611.11111104</v>
      </c>
    </row>
    <row r="704" spans="1:3" ht="13">
      <c r="A704" s="72">
        <v>42926</v>
      </c>
      <c r="B704" s="71">
        <v>215.89599999999999</v>
      </c>
      <c r="C704" s="71">
        <v>555229729.16666603</v>
      </c>
    </row>
    <row r="705" spans="1:3" ht="13">
      <c r="A705" s="72">
        <v>42927</v>
      </c>
      <c r="B705" s="71">
        <v>198.541</v>
      </c>
      <c r="C705" s="71">
        <v>1421803679.4425001</v>
      </c>
    </row>
    <row r="706" spans="1:3" ht="13">
      <c r="A706" s="72">
        <v>42928</v>
      </c>
      <c r="B706" s="71">
        <v>228.99</v>
      </c>
      <c r="C706" s="71">
        <v>1150225370.5583701</v>
      </c>
    </row>
    <row r="707" spans="1:3" ht="13">
      <c r="A707" s="72">
        <v>42929</v>
      </c>
      <c r="B707" s="71">
        <v>210.38</v>
      </c>
      <c r="C707" s="71">
        <v>1090167275.6183701</v>
      </c>
    </row>
    <row r="708" spans="1:3" ht="13">
      <c r="A708" s="72">
        <v>42930</v>
      </c>
      <c r="B708" s="71">
        <v>199.672</v>
      </c>
      <c r="C708" s="71">
        <v>712557689.89547002</v>
      </c>
    </row>
    <row r="709" spans="1:3" ht="13">
      <c r="A709" s="72">
        <v>42931</v>
      </c>
      <c r="B709" s="71">
        <v>171.77</v>
      </c>
      <c r="C709" s="71">
        <v>799601381.94444394</v>
      </c>
    </row>
    <row r="710" spans="1:3" ht="13">
      <c r="A710" s="72">
        <v>42932</v>
      </c>
      <c r="B710" s="71">
        <v>158.797</v>
      </c>
      <c r="C710" s="71">
        <v>1098166329.86111</v>
      </c>
    </row>
    <row r="711" spans="1:3" ht="13">
      <c r="A711" s="72">
        <v>42933</v>
      </c>
      <c r="B711" s="71">
        <v>192.82400000000001</v>
      </c>
      <c r="C711" s="71">
        <v>1592966666.6666601</v>
      </c>
    </row>
    <row r="712" spans="1:3" ht="13">
      <c r="A712" s="72">
        <v>42934</v>
      </c>
      <c r="B712" s="71">
        <v>233.001</v>
      </c>
      <c r="C712" s="71">
        <v>1812455400.6968601</v>
      </c>
    </row>
    <row r="713" spans="1:3" ht="13">
      <c r="A713" s="72">
        <v>42935</v>
      </c>
      <c r="B713" s="71">
        <v>198.36699999999999</v>
      </c>
      <c r="C713" s="71">
        <v>2900202152.77777</v>
      </c>
    </row>
    <row r="714" spans="1:3" ht="13">
      <c r="A714" s="72">
        <v>42936</v>
      </c>
      <c r="B714" s="71">
        <v>225.32300000000001</v>
      </c>
      <c r="C714" s="71">
        <v>2409100972.2222199</v>
      </c>
    </row>
    <row r="715" spans="1:3" ht="13">
      <c r="A715" s="72">
        <v>42937</v>
      </c>
      <c r="B715" s="71">
        <v>218.167</v>
      </c>
      <c r="C715" s="71">
        <v>1611893240.4181099</v>
      </c>
    </row>
    <row r="716" spans="1:3" ht="13">
      <c r="A716" s="72">
        <v>42938</v>
      </c>
      <c r="B716" s="71">
        <v>229.86799999999999</v>
      </c>
      <c r="C716" s="71">
        <v>763443996.52777696</v>
      </c>
    </row>
    <row r="717" spans="1:3" ht="13">
      <c r="A717" s="72">
        <v>42939</v>
      </c>
      <c r="B717" s="71">
        <v>225.54499999999999</v>
      </c>
      <c r="C717" s="71">
        <v>656075732.638888</v>
      </c>
    </row>
    <row r="718" spans="1:3" ht="13">
      <c r="A718" s="72">
        <v>42940</v>
      </c>
      <c r="B718" s="71">
        <v>224.40899999999999</v>
      </c>
      <c r="C718" s="71">
        <v>525091069.68641102</v>
      </c>
    </row>
    <row r="719" spans="1:3" ht="13">
      <c r="A719" s="72">
        <v>42941</v>
      </c>
      <c r="B719" s="71">
        <v>208.14500000000001</v>
      </c>
      <c r="C719" s="71">
        <v>709261912.89198601</v>
      </c>
    </row>
    <row r="720" spans="1:3" ht="13">
      <c r="A720" s="72">
        <v>42942</v>
      </c>
      <c r="B720" s="71">
        <v>203.72800000000001</v>
      </c>
      <c r="C720" s="71">
        <v>983763829.86111104</v>
      </c>
    </row>
    <row r="721" spans="1:3" ht="13">
      <c r="A721" s="72">
        <v>42943</v>
      </c>
      <c r="B721" s="71">
        <v>204.24299999999999</v>
      </c>
      <c r="C721" s="71">
        <v>493846975.694444</v>
      </c>
    </row>
    <row r="722" spans="1:3" ht="13">
      <c r="A722" s="72">
        <v>42944</v>
      </c>
      <c r="B722" s="71">
        <v>193.12299999999999</v>
      </c>
      <c r="C722" s="71">
        <v>482326655.05226398</v>
      </c>
    </row>
    <row r="723" spans="1:3" ht="13">
      <c r="A723" s="72">
        <v>42945</v>
      </c>
      <c r="B723" s="71">
        <v>205.33</v>
      </c>
      <c r="C723" s="71">
        <v>607861309.02777696</v>
      </c>
    </row>
    <row r="724" spans="1:3" ht="13">
      <c r="A724" s="72">
        <v>42946</v>
      </c>
      <c r="B724" s="71">
        <v>197.67500000000001</v>
      </c>
      <c r="C724" s="71">
        <v>811532604.16666603</v>
      </c>
    </row>
    <row r="725" spans="1:3" ht="13">
      <c r="A725" s="72">
        <v>42947</v>
      </c>
      <c r="B725" s="71">
        <v>203.15100000000001</v>
      </c>
      <c r="C725" s="71">
        <v>498212458.33333302</v>
      </c>
    </row>
    <row r="726" spans="1:3" ht="13">
      <c r="A726" s="72">
        <v>42948</v>
      </c>
      <c r="B726" s="71">
        <v>226.92500000000001</v>
      </c>
      <c r="C726" s="71">
        <v>1212208177.70034</v>
      </c>
    </row>
    <row r="727" spans="1:3" ht="13">
      <c r="A727" s="72">
        <v>42949</v>
      </c>
      <c r="B727" s="71">
        <v>219.83199999999999</v>
      </c>
      <c r="C727" s="71">
        <v>1013559704.86111</v>
      </c>
    </row>
    <row r="728" spans="1:3" ht="13">
      <c r="A728" s="72">
        <v>42950</v>
      </c>
      <c r="B728" s="71">
        <v>225.26300000000001</v>
      </c>
      <c r="C728" s="71">
        <v>572708364.58333302</v>
      </c>
    </row>
    <row r="729" spans="1:3" ht="13">
      <c r="A729" s="72">
        <v>42951</v>
      </c>
      <c r="B729" s="71">
        <v>223.07300000000001</v>
      </c>
      <c r="C729" s="71">
        <v>587391543.55400598</v>
      </c>
    </row>
    <row r="730" spans="1:3" ht="13">
      <c r="A730" s="72">
        <v>42952</v>
      </c>
      <c r="B730" s="71">
        <v>254.876</v>
      </c>
      <c r="C730" s="71">
        <v>865395451.388888</v>
      </c>
    </row>
    <row r="731" spans="1:3" ht="13">
      <c r="A731" s="72">
        <v>42953</v>
      </c>
      <c r="B731" s="71">
        <v>262.40199999999999</v>
      </c>
      <c r="C731" s="71">
        <v>1571352187.5</v>
      </c>
    </row>
    <row r="732" spans="1:3" ht="13">
      <c r="A732" s="72">
        <v>42954</v>
      </c>
      <c r="B732" s="71">
        <v>269.02</v>
      </c>
      <c r="C732" s="71">
        <v>1098853916.6666601</v>
      </c>
    </row>
    <row r="733" spans="1:3" ht="13">
      <c r="A733" s="72">
        <v>42955</v>
      </c>
      <c r="B733" s="71">
        <v>296.11</v>
      </c>
      <c r="C733" s="71">
        <v>1104590045.29616</v>
      </c>
    </row>
    <row r="734" spans="1:3" ht="13">
      <c r="A734" s="72">
        <v>42956</v>
      </c>
      <c r="B734" s="71">
        <v>296.39600000000002</v>
      </c>
      <c r="C734" s="71">
        <v>2357694965.27777</v>
      </c>
    </row>
    <row r="735" spans="1:3" ht="13">
      <c r="A735" s="72">
        <v>42957</v>
      </c>
      <c r="B735" s="71">
        <v>297.00400000000002</v>
      </c>
      <c r="C735" s="71">
        <v>1676833888.88888</v>
      </c>
    </row>
    <row r="736" spans="1:3" ht="13">
      <c r="A736" s="72">
        <v>42958</v>
      </c>
      <c r="B736" s="71">
        <v>309.209</v>
      </c>
      <c r="C736" s="71">
        <v>976080393.72822297</v>
      </c>
    </row>
    <row r="737" spans="1:3" ht="13">
      <c r="A737" s="72">
        <v>42959</v>
      </c>
      <c r="B737" s="71">
        <v>310.834</v>
      </c>
      <c r="C737" s="71">
        <v>1141006263.88888</v>
      </c>
    </row>
    <row r="738" spans="1:3" ht="13">
      <c r="A738" s="72">
        <v>42960</v>
      </c>
      <c r="B738" s="71">
        <v>297.55</v>
      </c>
      <c r="C738" s="71">
        <v>1281718645.8333299</v>
      </c>
    </row>
    <row r="739" spans="1:3" ht="13">
      <c r="A739" s="72">
        <v>42961</v>
      </c>
      <c r="B739" s="71">
        <v>300.15899999999999</v>
      </c>
      <c r="C739" s="71">
        <v>1016987496.52777</v>
      </c>
    </row>
    <row r="740" spans="1:3" ht="13">
      <c r="A740" s="72">
        <v>42962</v>
      </c>
      <c r="B740" s="71">
        <v>289.49900000000002</v>
      </c>
      <c r="C740" s="71">
        <v>947935926.82926798</v>
      </c>
    </row>
    <row r="741" spans="1:3" ht="13">
      <c r="A741" s="72">
        <v>42963</v>
      </c>
      <c r="B741" s="71">
        <v>302.392</v>
      </c>
      <c r="C741" s="71">
        <v>974781708.33333302</v>
      </c>
    </row>
    <row r="742" spans="1:3" ht="13">
      <c r="A742" s="72">
        <v>42964</v>
      </c>
      <c r="B742" s="71">
        <v>302.46300000000002</v>
      </c>
      <c r="C742" s="71">
        <v>926224826.388888</v>
      </c>
    </row>
    <row r="743" spans="1:3" ht="13">
      <c r="A743" s="72">
        <v>42965</v>
      </c>
      <c r="B743" s="71">
        <v>295.60599999999999</v>
      </c>
      <c r="C743" s="71">
        <v>927705860.627177</v>
      </c>
    </row>
    <row r="744" spans="1:3" ht="13">
      <c r="A744" s="72">
        <v>42966</v>
      </c>
      <c r="B744" s="71">
        <v>297.577</v>
      </c>
      <c r="C744" s="71">
        <v>887060788.19444394</v>
      </c>
    </row>
    <row r="745" spans="1:3" ht="13">
      <c r="A745" s="72">
        <v>42967</v>
      </c>
      <c r="B745" s="71">
        <v>301.29500000000002</v>
      </c>
      <c r="C745" s="71">
        <v>708165437.5</v>
      </c>
    </row>
    <row r="746" spans="1:3" ht="13">
      <c r="A746" s="72">
        <v>42968</v>
      </c>
      <c r="B746" s="71">
        <v>321.43400000000003</v>
      </c>
      <c r="C746" s="71">
        <v>1603635916.3763001</v>
      </c>
    </row>
    <row r="747" spans="1:3" ht="13">
      <c r="A747" s="72">
        <v>42969</v>
      </c>
      <c r="B747" s="71">
        <v>315.476</v>
      </c>
      <c r="C747" s="71">
        <v>1949140000</v>
      </c>
    </row>
    <row r="748" spans="1:3" ht="13">
      <c r="A748" s="72">
        <v>42970</v>
      </c>
      <c r="B748" s="71">
        <v>318.02600000000001</v>
      </c>
      <c r="C748" s="71">
        <v>951500677.08333302</v>
      </c>
    </row>
    <row r="749" spans="1:3" ht="13">
      <c r="A749" s="72">
        <v>42971</v>
      </c>
      <c r="B749" s="71">
        <v>325.51600000000002</v>
      </c>
      <c r="C749" s="71">
        <v>723216420.138888</v>
      </c>
    </row>
    <row r="750" spans="1:3" ht="13">
      <c r="A750" s="72">
        <v>42972</v>
      </c>
      <c r="B750" s="71">
        <v>331.87099999999998</v>
      </c>
      <c r="C750" s="71">
        <v>793723418.11846602</v>
      </c>
    </row>
    <row r="751" spans="1:3" ht="13">
      <c r="A751" s="72">
        <v>42973</v>
      </c>
      <c r="B751" s="71">
        <v>333.86099999999999</v>
      </c>
      <c r="C751" s="71">
        <v>592930847.22222197</v>
      </c>
    </row>
    <row r="752" spans="1:3" ht="13">
      <c r="A752" s="72">
        <v>42974</v>
      </c>
      <c r="B752" s="71">
        <v>346.58800000000002</v>
      </c>
      <c r="C752" s="71">
        <v>548394982.57839704</v>
      </c>
    </row>
    <row r="753" spans="1:3" ht="13">
      <c r="A753" s="72">
        <v>42975</v>
      </c>
      <c r="B753" s="71">
        <v>347.834</v>
      </c>
      <c r="C753" s="71">
        <v>853799013.98601401</v>
      </c>
    </row>
    <row r="754" spans="1:3" ht="13">
      <c r="A754" s="72">
        <v>42976</v>
      </c>
      <c r="B754" s="71">
        <v>371.23099999999999</v>
      </c>
      <c r="C754" s="71">
        <v>913974306.62020898</v>
      </c>
    </row>
    <row r="755" spans="1:3" ht="13">
      <c r="A755" s="72">
        <v>42977</v>
      </c>
      <c r="B755" s="71">
        <v>378.346</v>
      </c>
      <c r="C755" s="71">
        <v>1388277534.7222199</v>
      </c>
    </row>
    <row r="756" spans="1:3" ht="13">
      <c r="A756" s="72">
        <v>42978</v>
      </c>
      <c r="B756" s="71">
        <v>383.08499999999998</v>
      </c>
      <c r="C756" s="71">
        <v>946931592.05776095</v>
      </c>
    </row>
    <row r="757" spans="1:3" ht="13">
      <c r="A757" s="72">
        <v>42979</v>
      </c>
      <c r="B757" s="71">
        <v>387.58100000000002</v>
      </c>
      <c r="C757" s="71">
        <v>787536327.52613199</v>
      </c>
    </row>
    <row r="758" spans="1:3" ht="13">
      <c r="A758" s="72">
        <v>42980</v>
      </c>
      <c r="B758" s="71">
        <v>347.19799999999998</v>
      </c>
      <c r="C758" s="71">
        <v>1182787109.1549201</v>
      </c>
    </row>
    <row r="759" spans="1:3" ht="13">
      <c r="A759" s="72">
        <v>42981</v>
      </c>
      <c r="B759" s="71">
        <v>347.41800000000001</v>
      </c>
      <c r="C759" s="71">
        <v>1249670620.2090499</v>
      </c>
    </row>
    <row r="760" spans="1:3" ht="13">
      <c r="A760" s="72">
        <v>42982</v>
      </c>
      <c r="B760" s="71">
        <v>295.25099999999998</v>
      </c>
      <c r="C760" s="71">
        <v>1252982957.74647</v>
      </c>
    </row>
    <row r="761" spans="1:3" ht="13">
      <c r="A761" s="72">
        <v>42983</v>
      </c>
      <c r="B761" s="71">
        <v>313.19600000000003</v>
      </c>
      <c r="C761" s="71">
        <v>1829807909.40766</v>
      </c>
    </row>
    <row r="762" spans="1:3" ht="13">
      <c r="A762" s="72">
        <v>42984</v>
      </c>
      <c r="B762" s="71">
        <v>334.04500000000002</v>
      </c>
      <c r="C762" s="71">
        <v>1308790138.88888</v>
      </c>
    </row>
    <row r="763" spans="1:3" ht="13">
      <c r="A763" s="72">
        <v>42985</v>
      </c>
      <c r="B763" s="71">
        <v>329.17200000000003</v>
      </c>
      <c r="C763" s="71">
        <v>821700647.48201394</v>
      </c>
    </row>
    <row r="764" spans="1:3" ht="13">
      <c r="A764" s="72">
        <v>42986</v>
      </c>
      <c r="B764" s="71">
        <v>296.66199999999998</v>
      </c>
      <c r="C764" s="71">
        <v>754892458.04195797</v>
      </c>
    </row>
    <row r="765" spans="1:3" ht="13">
      <c r="A765" s="72">
        <v>42987</v>
      </c>
      <c r="B765" s="71">
        <v>294.31700000000001</v>
      </c>
      <c r="C765" s="71">
        <v>946916233.44947696</v>
      </c>
    </row>
    <row r="766" spans="1:3" ht="13">
      <c r="A766" s="72">
        <v>42988</v>
      </c>
      <c r="B766" s="71">
        <v>288.72199999999998</v>
      </c>
      <c r="C766" s="71">
        <v>600371355.40069604</v>
      </c>
    </row>
    <row r="767" spans="1:3" ht="13">
      <c r="A767" s="72">
        <v>42989</v>
      </c>
      <c r="B767" s="71">
        <v>294.32600000000002</v>
      </c>
      <c r="C767" s="71">
        <v>653834947.91666603</v>
      </c>
    </row>
    <row r="768" spans="1:3" ht="13">
      <c r="A768" s="72">
        <v>42990</v>
      </c>
      <c r="B768" s="71">
        <v>291.464</v>
      </c>
      <c r="C768" s="71">
        <v>624702083.94160497</v>
      </c>
    </row>
    <row r="769" spans="1:3" ht="13">
      <c r="A769" s="72">
        <v>42991</v>
      </c>
      <c r="B769" s="71">
        <v>277.13299999999998</v>
      </c>
      <c r="C769" s="71">
        <v>843924340.27777696</v>
      </c>
    </row>
    <row r="770" spans="1:3" ht="13">
      <c r="A770" s="72">
        <v>42992</v>
      </c>
      <c r="B770" s="71">
        <v>214.172</v>
      </c>
      <c r="C770" s="71">
        <v>942577809.02777696</v>
      </c>
    </row>
    <row r="771" spans="1:3" ht="13">
      <c r="A771" s="72">
        <v>42993</v>
      </c>
      <c r="B771" s="71">
        <v>251.18700000000001</v>
      </c>
      <c r="C771" s="71">
        <v>1667455749.1289101</v>
      </c>
    </row>
    <row r="772" spans="1:3" ht="13">
      <c r="A772" s="72">
        <v>42994</v>
      </c>
      <c r="B772" s="71">
        <v>246.41900000000001</v>
      </c>
      <c r="C772" s="71">
        <v>1370265975.60975</v>
      </c>
    </row>
    <row r="773" spans="1:3" ht="13">
      <c r="A773" s="72">
        <v>42995</v>
      </c>
      <c r="B773" s="71">
        <v>251.904</v>
      </c>
      <c r="C773" s="71">
        <v>507871132.404181</v>
      </c>
    </row>
    <row r="774" spans="1:3" ht="13">
      <c r="A774" s="72">
        <v>42996</v>
      </c>
      <c r="B774" s="71">
        <v>292.83199999999999</v>
      </c>
      <c r="C774" s="71">
        <v>917516275.26132405</v>
      </c>
    </row>
    <row r="775" spans="1:3" ht="13">
      <c r="A775" s="72">
        <v>42997</v>
      </c>
      <c r="B775" s="71">
        <v>282.92200000000003</v>
      </c>
      <c r="C775" s="71">
        <v>796395097.90209794</v>
      </c>
    </row>
    <row r="776" spans="1:3" ht="13">
      <c r="A776" s="72">
        <v>42998</v>
      </c>
      <c r="B776" s="71">
        <v>284.25200000000001</v>
      </c>
      <c r="C776" s="71">
        <v>496045996.52777702</v>
      </c>
    </row>
    <row r="777" spans="1:3" ht="13">
      <c r="A777" s="72">
        <v>42999</v>
      </c>
      <c r="B777" s="71">
        <v>258.70499999999998</v>
      </c>
      <c r="C777" s="71">
        <v>446610751.74825102</v>
      </c>
    </row>
    <row r="778" spans="1:3" ht="13">
      <c r="A778" s="72">
        <v>43000</v>
      </c>
      <c r="B778" s="71">
        <v>264.85399999999998</v>
      </c>
      <c r="C778" s="71">
        <v>593948006.96864104</v>
      </c>
    </row>
    <row r="779" spans="1:3" ht="13">
      <c r="A779" s="72">
        <v>43001</v>
      </c>
      <c r="B779" s="71">
        <v>285.83800000000002</v>
      </c>
      <c r="C779" s="71">
        <v>423384975.694444</v>
      </c>
    </row>
    <row r="780" spans="1:3" ht="13">
      <c r="A780" s="72">
        <v>43002</v>
      </c>
      <c r="B780" s="71">
        <v>282.36700000000002</v>
      </c>
      <c r="C780" s="71">
        <v>574672629.37062895</v>
      </c>
    </row>
    <row r="781" spans="1:3" ht="13">
      <c r="A781" s="72">
        <v>43003</v>
      </c>
      <c r="B781" s="71">
        <v>292.23399999999998</v>
      </c>
      <c r="C781" s="71">
        <v>474581324.04181099</v>
      </c>
    </row>
    <row r="782" spans="1:3" ht="13">
      <c r="A782" s="72">
        <v>43004</v>
      </c>
      <c r="B782" s="71">
        <v>287.50400000000002</v>
      </c>
      <c r="C782" s="71">
        <v>420600418.11846602</v>
      </c>
    </row>
    <row r="783" spans="1:3" ht="13">
      <c r="A783" s="72">
        <v>43005</v>
      </c>
      <c r="B783" s="71">
        <v>306.72699999999998</v>
      </c>
      <c r="C783" s="71">
        <v>391579343.75</v>
      </c>
    </row>
    <row r="784" spans="1:3" ht="13">
      <c r="A784" s="72">
        <v>43006</v>
      </c>
      <c r="B784" s="71">
        <v>299.41199999999998</v>
      </c>
      <c r="C784" s="71">
        <v>597511916.66666603</v>
      </c>
    </row>
    <row r="785" spans="1:3" ht="13">
      <c r="A785" s="72">
        <v>43007</v>
      </c>
      <c r="B785" s="71">
        <v>289.10986098000001</v>
      </c>
      <c r="C785" s="71">
        <v>500767824.581967</v>
      </c>
    </row>
    <row r="786" spans="1:3" ht="13">
      <c r="A786" s="72">
        <v>43008</v>
      </c>
      <c r="B786" s="71">
        <v>298.85433847899998</v>
      </c>
      <c r="C786" s="71">
        <v>296228739.13558102</v>
      </c>
    </row>
    <row r="787" spans="1:3" ht="13">
      <c r="A787" s="72">
        <v>43009</v>
      </c>
      <c r="B787" s="71">
        <v>300.49606467900003</v>
      </c>
      <c r="C787" s="71">
        <v>242131736.636989</v>
      </c>
    </row>
    <row r="788" spans="1:3" ht="13">
      <c r="A788" s="72">
        <v>43010</v>
      </c>
      <c r="B788" s="71">
        <v>296.38081430599999</v>
      </c>
      <c r="C788" s="71">
        <v>259497811.008086</v>
      </c>
    </row>
    <row r="789" spans="1:3" ht="13">
      <c r="A789" s="72">
        <v>43011</v>
      </c>
      <c r="B789" s="71">
        <v>291.67619820300001</v>
      </c>
      <c r="C789" s="71">
        <v>254936127.95972401</v>
      </c>
    </row>
    <row r="790" spans="1:3" ht="13">
      <c r="A790" s="72">
        <v>43012</v>
      </c>
      <c r="B790" s="71">
        <v>293.705334112</v>
      </c>
      <c r="C790" s="71">
        <v>222612235.586808</v>
      </c>
    </row>
    <row r="791" spans="1:3" ht="13">
      <c r="A791" s="72">
        <v>43013</v>
      </c>
      <c r="B791" s="71">
        <v>294.67751087900001</v>
      </c>
      <c r="C791" s="71">
        <v>204906065.08928901</v>
      </c>
    </row>
    <row r="792" spans="1:3" ht="13">
      <c r="A792" s="72">
        <v>43014</v>
      </c>
      <c r="B792" s="71">
        <v>307.93478715800001</v>
      </c>
      <c r="C792" s="71">
        <v>185611459.82755199</v>
      </c>
    </row>
    <row r="793" spans="1:3" ht="13">
      <c r="A793" s="72">
        <v>43015</v>
      </c>
      <c r="B793" s="71">
        <v>309.98952585199999</v>
      </c>
      <c r="C793" s="71">
        <v>303773548.28077197</v>
      </c>
    </row>
    <row r="794" spans="1:3" ht="13">
      <c r="A794" s="72">
        <v>43016</v>
      </c>
      <c r="B794" s="71">
        <v>309.81132196499999</v>
      </c>
      <c r="C794" s="71">
        <v>218218314.332921</v>
      </c>
    </row>
    <row r="795" spans="1:3" ht="13">
      <c r="A795" s="72">
        <v>43017</v>
      </c>
      <c r="B795" s="71">
        <v>296.99615998199999</v>
      </c>
      <c r="C795" s="71">
        <v>364090464.79537201</v>
      </c>
    </row>
    <row r="796" spans="1:3" ht="13">
      <c r="A796" s="72">
        <v>43018</v>
      </c>
      <c r="B796" s="71">
        <v>300.27540771700001</v>
      </c>
      <c r="C796" s="71">
        <v>451829981.35487598</v>
      </c>
    </row>
    <row r="797" spans="1:3" ht="13">
      <c r="A797" s="72">
        <v>43019</v>
      </c>
      <c r="B797" s="71">
        <v>302.93834253400001</v>
      </c>
      <c r="C797" s="71">
        <v>270450879.03483802</v>
      </c>
    </row>
    <row r="798" spans="1:3" ht="13">
      <c r="A798" s="72">
        <v>43020</v>
      </c>
      <c r="B798" s="71">
        <v>305.08686136699998</v>
      </c>
      <c r="C798" s="71">
        <v>227339745.166302</v>
      </c>
    </row>
    <row r="799" spans="1:3" ht="13">
      <c r="A799" s="72">
        <v>43021</v>
      </c>
      <c r="B799" s="71">
        <v>338.77490360500002</v>
      </c>
      <c r="C799" s="71">
        <v>478264997.03213501</v>
      </c>
    </row>
    <row r="800" spans="1:3" ht="13">
      <c r="A800" s="72">
        <v>43022</v>
      </c>
      <c r="B800" s="71">
        <v>337.770502196</v>
      </c>
      <c r="C800" s="71">
        <v>419297728.78853202</v>
      </c>
    </row>
    <row r="801" spans="1:3" ht="13">
      <c r="A801" s="72">
        <v>43023</v>
      </c>
      <c r="B801" s="71">
        <v>334.30663015200003</v>
      </c>
      <c r="C801" s="71">
        <v>294041028.58955401</v>
      </c>
    </row>
    <row r="802" spans="1:3" ht="13">
      <c r="A802" s="72">
        <v>43024</v>
      </c>
      <c r="B802" s="71">
        <v>332.442126186</v>
      </c>
      <c r="C802" s="71">
        <v>599787079.73997998</v>
      </c>
    </row>
    <row r="803" spans="1:3" ht="13">
      <c r="A803" s="72">
        <v>43025</v>
      </c>
      <c r="B803" s="71">
        <v>317.124947357</v>
      </c>
      <c r="C803" s="71">
        <v>407771701.09591901</v>
      </c>
    </row>
    <row r="804" spans="1:3" ht="13">
      <c r="A804" s="72">
        <v>43026</v>
      </c>
      <c r="B804" s="71">
        <v>314.56296557299999</v>
      </c>
      <c r="C804" s="71">
        <v>435905774.282947</v>
      </c>
    </row>
    <row r="805" spans="1:3" ht="13">
      <c r="A805" s="72">
        <v>43027</v>
      </c>
      <c r="B805" s="71">
        <v>307.35455037399998</v>
      </c>
      <c r="C805" s="71">
        <v>401589561.876342</v>
      </c>
    </row>
    <row r="806" spans="1:3" ht="13">
      <c r="A806" s="72">
        <v>43028</v>
      </c>
      <c r="B806" s="71">
        <v>303.57775302099998</v>
      </c>
      <c r="C806" s="71">
        <v>267373144.406066</v>
      </c>
    </row>
    <row r="807" spans="1:3" ht="13">
      <c r="A807" s="72">
        <v>43029</v>
      </c>
      <c r="B807" s="71">
        <v>299.01070671500003</v>
      </c>
      <c r="C807" s="71">
        <v>356941385.71820801</v>
      </c>
    </row>
    <row r="808" spans="1:3" ht="13">
      <c r="A808" s="72">
        <v>43030</v>
      </c>
      <c r="B808" s="71">
        <v>295.58627196200001</v>
      </c>
      <c r="C808" s="71">
        <v>303108213.05508</v>
      </c>
    </row>
    <row r="809" spans="1:3" ht="13">
      <c r="A809" s="72">
        <v>43031</v>
      </c>
      <c r="B809" s="71">
        <v>286.51823329400003</v>
      </c>
      <c r="C809" s="71">
        <v>298479368.12546802</v>
      </c>
    </row>
    <row r="810" spans="1:3" ht="13">
      <c r="A810" s="72">
        <v>43032</v>
      </c>
      <c r="B810" s="71">
        <v>298.15027660499999</v>
      </c>
      <c r="C810" s="71">
        <v>625394852.585096</v>
      </c>
    </row>
    <row r="811" spans="1:3" ht="13">
      <c r="A811" s="72">
        <v>43033</v>
      </c>
      <c r="B811" s="71">
        <v>296.947125422</v>
      </c>
      <c r="C811" s="71">
        <v>343749997.96190703</v>
      </c>
    </row>
    <row r="812" spans="1:3" ht="13">
      <c r="A812" s="72">
        <v>43034</v>
      </c>
      <c r="B812" s="71">
        <v>296.346265776</v>
      </c>
      <c r="C812" s="71">
        <v>214586076.073605</v>
      </c>
    </row>
    <row r="813" spans="1:3" ht="13">
      <c r="A813" s="72">
        <v>43035</v>
      </c>
      <c r="B813" s="71">
        <v>295.55888008599999</v>
      </c>
      <c r="C813" s="71">
        <v>196901366.23559901</v>
      </c>
    </row>
    <row r="814" spans="1:3" ht="13">
      <c r="A814" s="72">
        <v>43036</v>
      </c>
      <c r="B814" s="71">
        <v>295.743887718</v>
      </c>
      <c r="C814" s="71">
        <v>191348960.71539399</v>
      </c>
    </row>
    <row r="815" spans="1:3" ht="13">
      <c r="A815" s="72">
        <v>43037</v>
      </c>
      <c r="B815" s="71">
        <v>303.924248116</v>
      </c>
      <c r="C815" s="71">
        <v>295689163.00650299</v>
      </c>
    </row>
    <row r="816" spans="1:3" ht="13">
      <c r="A816" s="72">
        <v>43038</v>
      </c>
      <c r="B816" s="71">
        <v>302.72973254700003</v>
      </c>
      <c r="C816" s="71">
        <v>387421791.03629702</v>
      </c>
    </row>
    <row r="817" spans="1:3" ht="13">
      <c r="A817" s="72">
        <v>43039</v>
      </c>
      <c r="B817" s="71">
        <v>302.33390919200002</v>
      </c>
      <c r="C817" s="71">
        <v>257264483.43013299</v>
      </c>
    </row>
    <row r="818" spans="1:3" ht="13">
      <c r="A818" s="72">
        <v>43040</v>
      </c>
      <c r="B818" s="71">
        <v>292.024883827</v>
      </c>
      <c r="C818" s="71">
        <v>348739577.16227102</v>
      </c>
    </row>
    <row r="819" spans="1:3" ht="13">
      <c r="A819" s="72">
        <v>43041</v>
      </c>
      <c r="B819" s="71">
        <v>285.40667944400002</v>
      </c>
      <c r="C819" s="71">
        <v>634024746.87918794</v>
      </c>
    </row>
    <row r="820" spans="1:3" ht="13">
      <c r="A820" s="72">
        <v>43042</v>
      </c>
      <c r="B820" s="71">
        <v>304.68868071200001</v>
      </c>
      <c r="C820" s="71">
        <v>570785762.43848205</v>
      </c>
    </row>
    <row r="821" spans="1:3" ht="13">
      <c r="A821" s="72">
        <v>43043</v>
      </c>
      <c r="B821" s="71">
        <v>300.50183058699997</v>
      </c>
      <c r="C821" s="71">
        <v>434572535.82537001</v>
      </c>
    </row>
    <row r="822" spans="1:3" ht="13">
      <c r="A822" s="72">
        <v>43044</v>
      </c>
      <c r="B822" s="71">
        <v>291.933178752</v>
      </c>
      <c r="C822" s="71">
        <v>257007936.616485</v>
      </c>
    </row>
    <row r="823" spans="1:3" ht="13">
      <c r="A823" s="72">
        <v>43045</v>
      </c>
      <c r="B823" s="71">
        <v>300.38355046200002</v>
      </c>
      <c r="C823" s="71">
        <v>334799976.71432</v>
      </c>
    </row>
    <row r="824" spans="1:3" ht="13">
      <c r="A824" s="72">
        <v>43046</v>
      </c>
      <c r="B824" s="71">
        <v>294.91568897500002</v>
      </c>
      <c r="C824" s="71">
        <v>428239686.52720398</v>
      </c>
    </row>
    <row r="825" spans="1:3" ht="13">
      <c r="A825" s="72">
        <v>43047</v>
      </c>
      <c r="B825" s="71">
        <v>309.87738424399998</v>
      </c>
      <c r="C825" s="71">
        <v>484581973.48309201</v>
      </c>
    </row>
    <row r="826" spans="1:3" ht="13">
      <c r="A826" s="72">
        <v>43048</v>
      </c>
      <c r="B826" s="71">
        <v>321.20671519799998</v>
      </c>
      <c r="C826" s="71">
        <v>916193852.47926903</v>
      </c>
    </row>
    <row r="827" spans="1:3" ht="13">
      <c r="A827" s="72">
        <v>43049</v>
      </c>
      <c r="B827" s="71">
        <v>299.56278467099997</v>
      </c>
      <c r="C827" s="71">
        <v>704803813.40336096</v>
      </c>
    </row>
    <row r="828" spans="1:3" ht="13">
      <c r="A828" s="72">
        <v>43050</v>
      </c>
      <c r="B828" s="71">
        <v>314.55764111500002</v>
      </c>
      <c r="C828" s="71">
        <v>695902126.15040898</v>
      </c>
    </row>
    <row r="829" spans="1:3" ht="13">
      <c r="A829" s="72">
        <v>43051</v>
      </c>
      <c r="B829" s="71">
        <v>310.43458853700002</v>
      </c>
      <c r="C829" s="71">
        <v>1017162128.65528</v>
      </c>
    </row>
    <row r="830" spans="1:3" ht="13">
      <c r="A830" s="72">
        <v>43052</v>
      </c>
      <c r="B830" s="71">
        <v>317.81783780299997</v>
      </c>
      <c r="C830" s="71">
        <v>1135068570.9283099</v>
      </c>
    </row>
    <row r="831" spans="1:3" ht="13">
      <c r="A831" s="72">
        <v>43053</v>
      </c>
      <c r="B831" s="71">
        <v>337.57159644000001</v>
      </c>
      <c r="C831" s="71">
        <v>829348110.98759604</v>
      </c>
    </row>
    <row r="832" spans="1:3" ht="13">
      <c r="A832" s="72">
        <v>43054</v>
      </c>
      <c r="B832" s="71">
        <v>334.15194150100001</v>
      </c>
      <c r="C832" s="71">
        <v>722007863.04969299</v>
      </c>
    </row>
    <row r="833" spans="1:3" ht="13">
      <c r="A833" s="72">
        <v>43055</v>
      </c>
      <c r="B833" s="71">
        <v>330.27302856699998</v>
      </c>
      <c r="C833" s="71">
        <v>548134331.85836399</v>
      </c>
    </row>
    <row r="834" spans="1:3" ht="13">
      <c r="A834" s="72">
        <v>43056</v>
      </c>
      <c r="B834" s="71">
        <v>332.33209246400003</v>
      </c>
      <c r="C834" s="71">
        <v>620955714.38770103</v>
      </c>
    </row>
    <row r="835" spans="1:3" ht="13">
      <c r="A835" s="72">
        <v>43057</v>
      </c>
      <c r="B835" s="71">
        <v>347.15811366899999</v>
      </c>
      <c r="C835" s="71">
        <v>460652227.131648</v>
      </c>
    </row>
    <row r="836" spans="1:3" ht="13">
      <c r="A836" s="72">
        <v>43058</v>
      </c>
      <c r="B836" s="71">
        <v>353.76060495799999</v>
      </c>
      <c r="C836" s="71">
        <v>840060152.48194599</v>
      </c>
    </row>
    <row r="837" spans="1:3" ht="13">
      <c r="A837" s="72">
        <v>43059</v>
      </c>
      <c r="B837" s="71">
        <v>366.09297582900001</v>
      </c>
      <c r="C837" s="71">
        <v>735660805.68125701</v>
      </c>
    </row>
    <row r="838" spans="1:3" ht="13">
      <c r="A838" s="72">
        <v>43060</v>
      </c>
      <c r="B838" s="71">
        <v>360.679181406</v>
      </c>
      <c r="C838" s="71">
        <v>787133843.50811398</v>
      </c>
    </row>
    <row r="839" spans="1:3" ht="13">
      <c r="A839" s="72">
        <v>43061</v>
      </c>
      <c r="B839" s="71">
        <v>378.83061119899997</v>
      </c>
      <c r="C839" s="71">
        <v>553333595.13652897</v>
      </c>
    </row>
    <row r="840" spans="1:3" ht="13">
      <c r="A840" s="72">
        <v>43062</v>
      </c>
      <c r="B840" s="71">
        <v>411.18512287300001</v>
      </c>
      <c r="C840" s="71">
        <v>1032364427.87049</v>
      </c>
    </row>
    <row r="841" spans="1:3" ht="13">
      <c r="A841" s="72">
        <v>43063</v>
      </c>
      <c r="B841" s="71">
        <v>473.39867063999998</v>
      </c>
      <c r="C841" s="71">
        <v>1598152348.39344</v>
      </c>
    </row>
    <row r="842" spans="1:3" ht="13">
      <c r="A842" s="72">
        <v>43064</v>
      </c>
      <c r="B842" s="71">
        <v>467.68579010500002</v>
      </c>
      <c r="C842" s="71">
        <v>1700147883.6245501</v>
      </c>
    </row>
    <row r="843" spans="1:3" ht="13">
      <c r="A843" s="72">
        <v>43065</v>
      </c>
      <c r="B843" s="71">
        <v>472.546411116</v>
      </c>
      <c r="C843" s="71">
        <v>924293827.85128701</v>
      </c>
    </row>
    <row r="844" spans="1:3" ht="13">
      <c r="A844" s="72">
        <v>43066</v>
      </c>
      <c r="B844" s="71">
        <v>482.126582928</v>
      </c>
      <c r="C844" s="71">
        <v>1035827091.27282</v>
      </c>
    </row>
    <row r="845" spans="1:3" ht="13">
      <c r="A845" s="72">
        <v>43067</v>
      </c>
      <c r="B845" s="71">
        <v>475.90329864799997</v>
      </c>
      <c r="C845" s="71">
        <v>964205966.05522895</v>
      </c>
    </row>
    <row r="846" spans="1:3" ht="13">
      <c r="A846" s="72">
        <v>43068</v>
      </c>
      <c r="B846" s="71">
        <v>427.233001468</v>
      </c>
      <c r="C846" s="71">
        <v>1497273126.88871</v>
      </c>
    </row>
    <row r="847" spans="1:3" ht="13">
      <c r="A847" s="72">
        <v>43069</v>
      </c>
      <c r="B847" s="71">
        <v>447.889008252</v>
      </c>
      <c r="C847" s="71">
        <v>1803252298.4171901</v>
      </c>
    </row>
    <row r="848" spans="1:3" ht="13">
      <c r="A848" s="72">
        <v>43070</v>
      </c>
      <c r="B848" s="71">
        <v>465.68864801299998</v>
      </c>
      <c r="C848" s="71">
        <v>1071946882.5115401</v>
      </c>
    </row>
    <row r="849" spans="1:3" ht="13">
      <c r="A849" s="72">
        <v>43071</v>
      </c>
      <c r="B849" s="71">
        <v>465.19569227300002</v>
      </c>
      <c r="C849" s="71">
        <v>810598782.55801702</v>
      </c>
    </row>
    <row r="850" spans="1:3" ht="13">
      <c r="A850" s="72">
        <v>43072</v>
      </c>
      <c r="B850" s="71">
        <v>466.483835134</v>
      </c>
      <c r="C850" s="71">
        <v>605733711.80495298</v>
      </c>
    </row>
    <row r="851" spans="1:3" ht="13">
      <c r="A851" s="72">
        <v>43073</v>
      </c>
      <c r="B851" s="71">
        <v>469.85799270500002</v>
      </c>
      <c r="C851" s="71">
        <v>769163454.85007596</v>
      </c>
    </row>
    <row r="852" spans="1:3" ht="13">
      <c r="A852" s="72">
        <v>43074</v>
      </c>
      <c r="B852" s="71">
        <v>464.66956108300002</v>
      </c>
      <c r="C852" s="71">
        <v>812164216.85479105</v>
      </c>
    </row>
    <row r="853" spans="1:3" ht="13">
      <c r="A853" s="72">
        <v>43075</v>
      </c>
      <c r="B853" s="71">
        <v>431.45225231199998</v>
      </c>
      <c r="C853" s="71">
        <v>1225234738.8441</v>
      </c>
    </row>
    <row r="854" spans="1:3" ht="13">
      <c r="A854" s="72">
        <v>43076</v>
      </c>
      <c r="B854" s="71">
        <v>432.29229369799998</v>
      </c>
      <c r="C854" s="71">
        <v>1609865405.80726</v>
      </c>
    </row>
    <row r="855" spans="1:3" ht="13">
      <c r="A855" s="72">
        <v>43077</v>
      </c>
      <c r="B855" s="71">
        <v>454.71348640799999</v>
      </c>
      <c r="C855" s="71">
        <v>1690967209.0390501</v>
      </c>
    </row>
    <row r="856" spans="1:3" ht="13">
      <c r="A856" s="72">
        <v>43078</v>
      </c>
      <c r="B856" s="71">
        <v>473.01552696900001</v>
      </c>
      <c r="C856" s="71">
        <v>1609258306.35429</v>
      </c>
    </row>
    <row r="857" spans="1:3" ht="13">
      <c r="A857" s="72">
        <v>43079</v>
      </c>
      <c r="B857" s="71">
        <v>439.46215747500003</v>
      </c>
      <c r="C857" s="71">
        <v>1213610122.38146</v>
      </c>
    </row>
    <row r="858" spans="1:3" ht="13">
      <c r="A858" s="72">
        <v>43080</v>
      </c>
      <c r="B858" s="71">
        <v>514.71335238999995</v>
      </c>
      <c r="C858" s="71">
        <v>1010179126.46272</v>
      </c>
    </row>
    <row r="859" spans="1:3" ht="13">
      <c r="A859" s="72">
        <v>43081</v>
      </c>
      <c r="B859" s="71">
        <v>646.26445547699996</v>
      </c>
      <c r="C859" s="71">
        <v>2560562898.1166101</v>
      </c>
    </row>
    <row r="860" spans="1:3" ht="13">
      <c r="A860" s="72">
        <v>43082</v>
      </c>
      <c r="B860" s="71">
        <v>697.28837632499994</v>
      </c>
      <c r="C860" s="71">
        <v>3881246869.6031699</v>
      </c>
    </row>
    <row r="861" spans="1:3" ht="13">
      <c r="A861" s="72">
        <v>43083</v>
      </c>
      <c r="B861" s="71">
        <v>695.38765360599996</v>
      </c>
      <c r="C861" s="71">
        <v>3448637143.4144301</v>
      </c>
    </row>
    <row r="862" spans="1:3" ht="13">
      <c r="A862" s="72">
        <v>43084</v>
      </c>
      <c r="B862" s="71">
        <v>683.21966770799997</v>
      </c>
      <c r="C862" s="71">
        <v>2512050116.88343</v>
      </c>
    </row>
    <row r="863" spans="1:3" ht="13">
      <c r="A863" s="72">
        <v>43085</v>
      </c>
      <c r="B863" s="71">
        <v>693.18724236100002</v>
      </c>
      <c r="C863" s="71">
        <v>1627635765.69768</v>
      </c>
    </row>
    <row r="864" spans="1:3" ht="13">
      <c r="A864" s="72">
        <v>43086</v>
      </c>
      <c r="B864" s="71">
        <v>722.69643556300002</v>
      </c>
      <c r="C864" s="71">
        <v>1699781095.2185099</v>
      </c>
    </row>
    <row r="865" spans="1:3" ht="13">
      <c r="A865" s="72">
        <v>43087</v>
      </c>
      <c r="B865" s="71">
        <v>797.52469039899995</v>
      </c>
      <c r="C865" s="71">
        <v>1943635717.03409</v>
      </c>
    </row>
    <row r="866" spans="1:3" ht="13">
      <c r="A866" s="72">
        <v>43088</v>
      </c>
      <c r="B866" s="71">
        <v>819.78418776399997</v>
      </c>
      <c r="C866" s="71">
        <v>3373795508.2544999</v>
      </c>
    </row>
    <row r="867" spans="1:3" ht="13">
      <c r="A867" s="72">
        <v>43089</v>
      </c>
      <c r="B867" s="71">
        <v>818.40938564800001</v>
      </c>
      <c r="C867" s="71">
        <v>3392805988.52953</v>
      </c>
    </row>
    <row r="868" spans="1:3" ht="13">
      <c r="A868" s="72">
        <v>43090</v>
      </c>
      <c r="B868" s="71">
        <v>813.23588563500005</v>
      </c>
      <c r="C868" s="71">
        <v>2967482231.3136001</v>
      </c>
    </row>
    <row r="869" spans="1:3" ht="13">
      <c r="A869" s="72">
        <v>43091</v>
      </c>
      <c r="B869" s="71">
        <v>667.55613754700005</v>
      </c>
      <c r="C869" s="71">
        <v>3343845529.5261302</v>
      </c>
    </row>
    <row r="870" spans="1:3" ht="13">
      <c r="A870" s="72">
        <v>43092</v>
      </c>
      <c r="B870" s="71">
        <v>708.38140963700005</v>
      </c>
      <c r="C870" s="71">
        <v>3121710907.9900799</v>
      </c>
    </row>
    <row r="871" spans="1:3" ht="13">
      <c r="A871" s="72">
        <v>43093</v>
      </c>
      <c r="B871" s="71">
        <v>667.49993923900001</v>
      </c>
      <c r="C871" s="71">
        <v>1700431700.3847301</v>
      </c>
    </row>
    <row r="872" spans="1:3" ht="13">
      <c r="A872" s="72">
        <v>43094</v>
      </c>
      <c r="B872" s="71">
        <v>764.88733381300005</v>
      </c>
      <c r="C872" s="71">
        <v>1940737822.0634999</v>
      </c>
    </row>
    <row r="873" spans="1:3" ht="13">
      <c r="A873" s="72">
        <v>43095</v>
      </c>
      <c r="B873" s="71">
        <v>777.95459279500005</v>
      </c>
      <c r="C873" s="71">
        <v>1899995299.582</v>
      </c>
    </row>
    <row r="874" spans="1:3" ht="13">
      <c r="A874" s="72">
        <v>43096</v>
      </c>
      <c r="B874" s="71">
        <v>765.83952080500001</v>
      </c>
      <c r="C874" s="71">
        <v>1659023080.2732999</v>
      </c>
    </row>
    <row r="875" spans="1:3" ht="13">
      <c r="A875" s="72">
        <v>43097</v>
      </c>
      <c r="B875" s="71">
        <v>734.70201435000001</v>
      </c>
      <c r="C875" s="71">
        <v>1873135244.90834</v>
      </c>
    </row>
    <row r="876" spans="1:3" ht="13">
      <c r="A876" s="72">
        <v>43098</v>
      </c>
      <c r="B876" s="71">
        <v>753.82605066999997</v>
      </c>
      <c r="C876" s="71">
        <v>1977761700.8354299</v>
      </c>
    </row>
    <row r="877" spans="1:3" ht="13">
      <c r="A877" s="72">
        <v>43099</v>
      </c>
      <c r="B877" s="71">
        <v>699.26885802200002</v>
      </c>
      <c r="C877" s="71">
        <v>2313983303.1094398</v>
      </c>
    </row>
    <row r="878" spans="1:3" ht="13">
      <c r="A878" s="72">
        <v>43100</v>
      </c>
      <c r="B878" s="71">
        <v>756.91229290800004</v>
      </c>
      <c r="C878" s="71">
        <v>2147375826.82722</v>
      </c>
    </row>
    <row r="879" spans="1:3" ht="13">
      <c r="A879" s="72">
        <v>43101</v>
      </c>
      <c r="B879" s="71">
        <v>772.50611822300004</v>
      </c>
      <c r="C879" s="71">
        <v>1947147408.4455099</v>
      </c>
    </row>
    <row r="880" spans="1:3" ht="13">
      <c r="A880" s="72">
        <v>43102</v>
      </c>
      <c r="B880" s="71">
        <v>881.36462163800002</v>
      </c>
      <c r="C880" s="71">
        <v>3723596932.19417</v>
      </c>
    </row>
    <row r="881" spans="1:3" ht="13">
      <c r="A881" s="72">
        <v>43103</v>
      </c>
      <c r="B881" s="71">
        <v>963.69605015399998</v>
      </c>
      <c r="C881" s="71">
        <v>4042826273.5510001</v>
      </c>
    </row>
    <row r="882" spans="1:3" ht="13">
      <c r="A882" s="72">
        <v>43104</v>
      </c>
      <c r="B882" s="71">
        <v>952.06554871499998</v>
      </c>
      <c r="C882" s="71">
        <v>4892043150.9860697</v>
      </c>
    </row>
    <row r="883" spans="1:3" ht="13">
      <c r="A883" s="72">
        <v>43105</v>
      </c>
      <c r="B883" s="71">
        <v>967.70849457600002</v>
      </c>
      <c r="C883" s="71">
        <v>5455871448.19279</v>
      </c>
    </row>
    <row r="884" spans="1:3" ht="13">
      <c r="A884" s="72">
        <v>43106</v>
      </c>
      <c r="B884" s="71">
        <v>1004.694291325</v>
      </c>
      <c r="C884" s="71">
        <v>4502973879.0195198</v>
      </c>
    </row>
    <row r="885" spans="1:3" ht="13">
      <c r="A885" s="72">
        <v>43107</v>
      </c>
      <c r="B885" s="71">
        <v>1111.2426804639999</v>
      </c>
      <c r="C885" s="71">
        <v>4332726424.5114098</v>
      </c>
    </row>
    <row r="886" spans="1:3" ht="13">
      <c r="A886" s="72">
        <v>43108</v>
      </c>
      <c r="B886" s="71">
        <v>1200.9829494180001</v>
      </c>
      <c r="C886" s="71">
        <v>6782505639.0987501</v>
      </c>
    </row>
    <row r="887" spans="1:3" ht="13">
      <c r="A887" s="72">
        <v>43109</v>
      </c>
      <c r="B887" s="71">
        <v>1221.7578550809999</v>
      </c>
      <c r="C887" s="71">
        <v>7229324494.0441904</v>
      </c>
    </row>
    <row r="888" spans="1:3" ht="13">
      <c r="A888" s="72">
        <v>43110</v>
      </c>
      <c r="B888" s="71">
        <v>1316.2413527179999</v>
      </c>
      <c r="C888" s="71">
        <v>9428820178.6581593</v>
      </c>
    </row>
    <row r="889" spans="1:3" ht="13">
      <c r="A889" s="72">
        <v>43111</v>
      </c>
      <c r="B889" s="71">
        <v>1218.569810704</v>
      </c>
      <c r="C889" s="71">
        <v>8111547056.7149897</v>
      </c>
    </row>
    <row r="890" spans="1:3" ht="13">
      <c r="A890" s="72">
        <v>43112</v>
      </c>
      <c r="B890" s="71">
        <v>1356.513745681</v>
      </c>
      <c r="C890" s="71">
        <v>5779217502.7814102</v>
      </c>
    </row>
    <row r="891" spans="1:3" ht="13">
      <c r="A891" s="72">
        <v>43113</v>
      </c>
      <c r="B891" s="71">
        <v>1456.138411102</v>
      </c>
      <c r="C891" s="71">
        <v>5198392803.5349998</v>
      </c>
    </row>
    <row r="892" spans="1:3" ht="13">
      <c r="A892" s="72">
        <v>43114</v>
      </c>
      <c r="B892" s="71">
        <v>1404.053681481</v>
      </c>
      <c r="C892" s="71">
        <v>5313428393.4705696</v>
      </c>
    </row>
    <row r="893" spans="1:3" ht="13">
      <c r="A893" s="72">
        <v>43115</v>
      </c>
      <c r="B893" s="71">
        <v>1324.1349494430001</v>
      </c>
      <c r="C893" s="71">
        <v>4527897263.6613598</v>
      </c>
    </row>
    <row r="894" spans="1:3" ht="13">
      <c r="A894" s="72">
        <v>43116</v>
      </c>
      <c r="B894" s="71">
        <v>1068.4951192680001</v>
      </c>
      <c r="C894" s="71">
        <v>5362532487.7340002</v>
      </c>
    </row>
    <row r="895" spans="1:3" ht="13">
      <c r="A895" s="72">
        <v>43117</v>
      </c>
      <c r="B895" s="71">
        <v>1028.4288573230001</v>
      </c>
      <c r="C895" s="71">
        <v>7432334000.9912996</v>
      </c>
    </row>
    <row r="896" spans="1:3" ht="13">
      <c r="A896" s="72">
        <v>43118</v>
      </c>
      <c r="B896" s="71">
        <v>1038.139891733</v>
      </c>
      <c r="C896" s="71">
        <v>7336154440.3687696</v>
      </c>
    </row>
    <row r="897" spans="1:3" ht="13">
      <c r="A897" s="72">
        <v>43119</v>
      </c>
      <c r="B897" s="71">
        <v>1044.4958616609999</v>
      </c>
      <c r="C897" s="71">
        <v>4563797794.62076</v>
      </c>
    </row>
    <row r="898" spans="1:3" ht="13">
      <c r="A898" s="72">
        <v>43120</v>
      </c>
      <c r="B898" s="71">
        <v>1177.5816689799999</v>
      </c>
      <c r="C898" s="71">
        <v>3631497178.7593398</v>
      </c>
    </row>
    <row r="899" spans="1:3" ht="13">
      <c r="A899" s="72">
        <v>43121</v>
      </c>
      <c r="B899" s="71">
        <v>1053.6324565150001</v>
      </c>
      <c r="C899" s="71">
        <v>3103783684.4626398</v>
      </c>
    </row>
    <row r="900" spans="1:3" ht="13">
      <c r="A900" s="72">
        <v>43122</v>
      </c>
      <c r="B900" s="71">
        <v>1012.746704282</v>
      </c>
      <c r="C900" s="71">
        <v>3087113744.39013</v>
      </c>
    </row>
    <row r="901" spans="1:3" ht="13">
      <c r="A901" s="72">
        <v>43123</v>
      </c>
      <c r="B901" s="71">
        <v>986.84508053000002</v>
      </c>
      <c r="C901" s="71">
        <v>3540461627.44874</v>
      </c>
    </row>
    <row r="902" spans="1:3" ht="13">
      <c r="A902" s="72">
        <v>43124</v>
      </c>
      <c r="B902" s="71">
        <v>989.88517153999999</v>
      </c>
      <c r="C902" s="71">
        <v>3326794201.4498301</v>
      </c>
    </row>
    <row r="903" spans="1:3" ht="13">
      <c r="A903" s="72">
        <v>43125</v>
      </c>
      <c r="B903" s="71">
        <v>1059.9093023160001</v>
      </c>
      <c r="C903" s="71">
        <v>3872270582.4446201</v>
      </c>
    </row>
    <row r="904" spans="1:3" ht="13">
      <c r="A904" s="72">
        <v>43126</v>
      </c>
      <c r="B904" s="71">
        <v>1056.90494083</v>
      </c>
      <c r="C904" s="71">
        <v>3416414487.6737099</v>
      </c>
    </row>
    <row r="905" spans="1:3" ht="13">
      <c r="A905" s="72">
        <v>43127</v>
      </c>
      <c r="B905" s="71">
        <v>1113.4611663979999</v>
      </c>
      <c r="C905" s="71">
        <v>2805165432.5569201</v>
      </c>
    </row>
    <row r="906" spans="1:3" ht="13">
      <c r="A906" s="72">
        <v>43128</v>
      </c>
      <c r="B906" s="71">
        <v>1251.414210099</v>
      </c>
      <c r="C906" s="71">
        <v>3730353497.7463999</v>
      </c>
    </row>
    <row r="907" spans="1:3" ht="13">
      <c r="A907" s="72">
        <v>43129</v>
      </c>
      <c r="B907" s="71">
        <v>1186.78505378</v>
      </c>
      <c r="C907" s="71">
        <v>3652801746.28233</v>
      </c>
    </row>
    <row r="908" spans="1:3" ht="13">
      <c r="A908" s="72">
        <v>43130</v>
      </c>
      <c r="B908" s="71">
        <v>1066.2267661569999</v>
      </c>
      <c r="C908" s="71">
        <v>3143322962.41888</v>
      </c>
    </row>
    <row r="909" spans="1:3" ht="13">
      <c r="A909" s="72">
        <v>43131</v>
      </c>
      <c r="B909" s="71">
        <v>1120.5790148220001</v>
      </c>
      <c r="C909" s="71">
        <v>3844219449.1455002</v>
      </c>
    </row>
    <row r="910" spans="1:3" ht="13">
      <c r="A910" s="72">
        <v>43132</v>
      </c>
      <c r="B910" s="71">
        <v>1038.560898897</v>
      </c>
      <c r="C910" s="71">
        <v>3694678173.6387901</v>
      </c>
    </row>
    <row r="911" spans="1:3" ht="13">
      <c r="A911" s="72">
        <v>43133</v>
      </c>
      <c r="B911" s="71">
        <v>913.67935010400004</v>
      </c>
      <c r="C911" s="71">
        <v>5288020795.3645601</v>
      </c>
    </row>
    <row r="912" spans="1:3" ht="13">
      <c r="A912" s="72">
        <v>43134</v>
      </c>
      <c r="B912" s="71">
        <v>964.60459756700004</v>
      </c>
      <c r="C912" s="71">
        <v>4337334282.2172604</v>
      </c>
    </row>
    <row r="913" spans="1:3" ht="13">
      <c r="A913" s="72">
        <v>43135</v>
      </c>
      <c r="B913" s="71">
        <v>835.65730205499995</v>
      </c>
      <c r="C913" s="71">
        <v>2431110905.3593502</v>
      </c>
    </row>
    <row r="914" spans="1:3" ht="13">
      <c r="A914" s="72">
        <v>43136</v>
      </c>
      <c r="B914" s="71">
        <v>696.36032699099997</v>
      </c>
      <c r="C914" s="71">
        <v>3125891383.2329302</v>
      </c>
    </row>
    <row r="915" spans="1:3" ht="13">
      <c r="A915" s="72">
        <v>43137</v>
      </c>
      <c r="B915" s="71">
        <v>794.15438978099996</v>
      </c>
      <c r="C915" s="71">
        <v>4727019444.33881</v>
      </c>
    </row>
    <row r="916" spans="1:3" ht="13">
      <c r="A916" s="72">
        <v>43138</v>
      </c>
      <c r="B916" s="71">
        <v>758.32284171200001</v>
      </c>
      <c r="C916" s="71">
        <v>4732123953.3812304</v>
      </c>
    </row>
    <row r="917" spans="1:3" ht="13">
      <c r="A917" s="72">
        <v>43139</v>
      </c>
      <c r="B917" s="71">
        <v>817.92959054999994</v>
      </c>
      <c r="C917" s="71">
        <v>3371912284.5757599</v>
      </c>
    </row>
    <row r="918" spans="1:3" ht="13">
      <c r="A918" s="72">
        <v>43140</v>
      </c>
      <c r="B918" s="71">
        <v>880.21175228200002</v>
      </c>
      <c r="C918" s="71">
        <v>2565498561.3366499</v>
      </c>
    </row>
    <row r="919" spans="1:3" ht="13">
      <c r="A919" s="72">
        <v>43141</v>
      </c>
      <c r="B919" s="71">
        <v>862.16426407599999</v>
      </c>
      <c r="C919" s="71">
        <v>2495208518.6954398</v>
      </c>
    </row>
    <row r="920" spans="1:3" ht="13">
      <c r="A920" s="72">
        <v>43142</v>
      </c>
      <c r="B920" s="71">
        <v>816.06657269200002</v>
      </c>
      <c r="C920" s="71">
        <v>2406671543.1543598</v>
      </c>
    </row>
    <row r="921" spans="1:3" ht="13">
      <c r="A921" s="72">
        <v>43143</v>
      </c>
      <c r="B921" s="71">
        <v>864.792004507</v>
      </c>
      <c r="C921" s="71">
        <v>2118287754.0235801</v>
      </c>
    </row>
    <row r="922" spans="1:3" ht="13">
      <c r="A922" s="72">
        <v>43144</v>
      </c>
      <c r="B922" s="71">
        <v>846.17575380000005</v>
      </c>
      <c r="C922" s="71">
        <v>1987900196.8892601</v>
      </c>
    </row>
    <row r="923" spans="1:3" ht="13">
      <c r="A923" s="72">
        <v>43145</v>
      </c>
      <c r="B923" s="71">
        <v>923.90816905999998</v>
      </c>
      <c r="C923" s="71">
        <v>2134083619.3994999</v>
      </c>
    </row>
    <row r="924" spans="1:3" ht="13">
      <c r="A924" s="72">
        <v>43146</v>
      </c>
      <c r="B924" s="71">
        <v>933.86951464000003</v>
      </c>
      <c r="C924" s="71">
        <v>2732370944.4977798</v>
      </c>
    </row>
    <row r="925" spans="1:3" ht="13">
      <c r="A925" s="72">
        <v>43147</v>
      </c>
      <c r="B925" s="71">
        <v>946.11748571400005</v>
      </c>
      <c r="C925" s="71">
        <v>2508533583.1305599</v>
      </c>
    </row>
    <row r="926" spans="1:3" ht="13">
      <c r="A926" s="72">
        <v>43148</v>
      </c>
      <c r="B926" s="71">
        <v>977.06994497200003</v>
      </c>
      <c r="C926" s="71">
        <v>2228157491.3243098</v>
      </c>
    </row>
    <row r="927" spans="1:3" ht="13">
      <c r="A927" s="72">
        <v>43149</v>
      </c>
      <c r="B927" s="71">
        <v>927.81151737200003</v>
      </c>
      <c r="C927" s="71">
        <v>2349122738.0431199</v>
      </c>
    </row>
    <row r="928" spans="1:3" ht="13">
      <c r="A928" s="72">
        <v>43150</v>
      </c>
      <c r="B928" s="71">
        <v>950.748228541</v>
      </c>
      <c r="C928" s="71">
        <v>2106898364.1177599</v>
      </c>
    </row>
    <row r="929" spans="1:3" ht="13">
      <c r="A929" s="72">
        <v>43151</v>
      </c>
      <c r="B929" s="71">
        <v>900.64175939500001</v>
      </c>
      <c r="C929" s="71">
        <v>2135335325.9504001</v>
      </c>
    </row>
    <row r="930" spans="1:3" ht="13">
      <c r="A930" s="72">
        <v>43152</v>
      </c>
      <c r="B930" s="71">
        <v>855.08799247800005</v>
      </c>
      <c r="C930" s="71">
        <v>2479950362.6465302</v>
      </c>
    </row>
    <row r="931" spans="1:3" ht="13">
      <c r="A931" s="72">
        <v>43153</v>
      </c>
      <c r="B931" s="71">
        <v>815.013439769</v>
      </c>
      <c r="C931" s="71">
        <v>2128240173.3910699</v>
      </c>
    </row>
    <row r="932" spans="1:3" ht="13">
      <c r="A932" s="72">
        <v>43154</v>
      </c>
      <c r="B932" s="71">
        <v>870.41094432499995</v>
      </c>
      <c r="C932" s="71">
        <v>2181355869.5755501</v>
      </c>
    </row>
    <row r="933" spans="1:3" ht="13">
      <c r="A933" s="72">
        <v>43155</v>
      </c>
      <c r="B933" s="71">
        <v>845.98653774100001</v>
      </c>
      <c r="C933" s="71">
        <v>2011245114.3899701</v>
      </c>
    </row>
    <row r="934" spans="1:3" ht="13">
      <c r="A934" s="72">
        <v>43156</v>
      </c>
      <c r="B934" s="71">
        <v>851.63257057999999</v>
      </c>
      <c r="C934" s="71">
        <v>1630742939.0080199</v>
      </c>
    </row>
    <row r="935" spans="1:3" ht="13">
      <c r="A935" s="72">
        <v>43157</v>
      </c>
      <c r="B935" s="71">
        <v>871.98500368199996</v>
      </c>
      <c r="C935" s="71">
        <v>1696629254.9533</v>
      </c>
    </row>
    <row r="936" spans="1:3" ht="13">
      <c r="A936" s="72">
        <v>43158</v>
      </c>
      <c r="B936" s="71">
        <v>881.00717058999999</v>
      </c>
      <c r="C936" s="71">
        <v>1965809864.3940699</v>
      </c>
    </row>
    <row r="937" spans="1:3" ht="13">
      <c r="A937" s="72">
        <v>43159</v>
      </c>
      <c r="B937" s="71">
        <v>859.12622563299999</v>
      </c>
      <c r="C937" s="71">
        <v>1898060488.5867801</v>
      </c>
    </row>
    <row r="938" spans="1:3" ht="13">
      <c r="A938" s="72">
        <v>43160</v>
      </c>
      <c r="B938" s="71">
        <v>870.85859531699998</v>
      </c>
      <c r="C938" s="71">
        <v>1769923868.6642301</v>
      </c>
    </row>
    <row r="939" spans="1:3" ht="13">
      <c r="A939" s="72">
        <v>43161</v>
      </c>
      <c r="B939" s="71">
        <v>860.97169540899995</v>
      </c>
      <c r="C939" s="71">
        <v>1811001206.1147499</v>
      </c>
    </row>
    <row r="940" spans="1:3" ht="13">
      <c r="A940" s="72">
        <v>43162</v>
      </c>
      <c r="B940" s="71">
        <v>858.30139820600004</v>
      </c>
      <c r="C940" s="71">
        <v>1632099937.5615699</v>
      </c>
    </row>
    <row r="941" spans="1:3" ht="13">
      <c r="A941" s="72">
        <v>43163</v>
      </c>
      <c r="B941" s="71">
        <v>868.12155180000002</v>
      </c>
      <c r="C941" s="71">
        <v>1492872169.6416299</v>
      </c>
    </row>
    <row r="942" spans="1:3" ht="13">
      <c r="A942" s="72">
        <v>43164</v>
      </c>
      <c r="B942" s="71">
        <v>850.89346630399996</v>
      </c>
      <c r="C942" s="71">
        <v>1656354183.9393101</v>
      </c>
    </row>
    <row r="943" spans="1:3" ht="13">
      <c r="A943" s="72">
        <v>43165</v>
      </c>
      <c r="B943" s="71">
        <v>815.10142427300002</v>
      </c>
      <c r="C943" s="71">
        <v>1786509440.4396801</v>
      </c>
    </row>
    <row r="944" spans="1:3" ht="13">
      <c r="A944" s="72">
        <v>43166</v>
      </c>
      <c r="B944" s="71">
        <v>756.54637643000001</v>
      </c>
      <c r="C944" s="71">
        <v>1844276761.5234301</v>
      </c>
    </row>
    <row r="945" spans="1:3" ht="13">
      <c r="A945" s="72">
        <v>43167</v>
      </c>
      <c r="B945" s="71">
        <v>705.95337606800001</v>
      </c>
      <c r="C945" s="71">
        <v>2041919652.7565501</v>
      </c>
    </row>
    <row r="946" spans="1:3" ht="13">
      <c r="A946" s="72">
        <v>43168</v>
      </c>
      <c r="B946" s="71">
        <v>730.71135408500004</v>
      </c>
      <c r="C946" s="71">
        <v>1987026697.3566899</v>
      </c>
    </row>
    <row r="947" spans="1:3" ht="13">
      <c r="A947" s="72">
        <v>43169</v>
      </c>
      <c r="B947" s="71">
        <v>689.57155100499995</v>
      </c>
      <c r="C947" s="71">
        <v>1809545659.3850901</v>
      </c>
    </row>
    <row r="948" spans="1:3" ht="13">
      <c r="A948" s="72">
        <v>43170</v>
      </c>
      <c r="B948" s="71">
        <v>722.74889653800005</v>
      </c>
      <c r="C948" s="71">
        <v>1646004324.3464301</v>
      </c>
    </row>
    <row r="949" spans="1:3" ht="13">
      <c r="A949" s="72">
        <v>43171</v>
      </c>
      <c r="B949" s="71">
        <v>701.65316693099999</v>
      </c>
      <c r="C949" s="71">
        <v>1606251383.69838</v>
      </c>
    </row>
    <row r="950" spans="1:3" ht="13">
      <c r="A950" s="72">
        <v>43172</v>
      </c>
      <c r="B950" s="71">
        <v>694.12132848199997</v>
      </c>
      <c r="C950" s="71">
        <v>1653450927.9996901</v>
      </c>
    </row>
    <row r="951" spans="1:3" ht="13">
      <c r="A951" s="72">
        <v>43173</v>
      </c>
      <c r="B951" s="71">
        <v>614.87434714300002</v>
      </c>
      <c r="C951" s="71">
        <v>1436840721.0733199</v>
      </c>
    </row>
    <row r="952" spans="1:3" ht="13">
      <c r="A952" s="72">
        <v>43174</v>
      </c>
      <c r="B952" s="71">
        <v>612.92656232499996</v>
      </c>
      <c r="C952" s="71">
        <v>1934084452.95191</v>
      </c>
    </row>
    <row r="953" spans="1:3" ht="13">
      <c r="A953" s="72">
        <v>43175</v>
      </c>
      <c r="B953" s="71">
        <v>601.46209099099997</v>
      </c>
      <c r="C953" s="71">
        <v>1452091448.71051</v>
      </c>
    </row>
    <row r="954" spans="1:3" ht="13">
      <c r="A954" s="72">
        <v>43176</v>
      </c>
      <c r="B954" s="71">
        <v>553.478054477</v>
      </c>
      <c r="C954" s="71">
        <v>1243236489.3687501</v>
      </c>
    </row>
    <row r="955" spans="1:3" ht="13">
      <c r="A955" s="72">
        <v>43177</v>
      </c>
      <c r="B955" s="71">
        <v>535.92937825499996</v>
      </c>
      <c r="C955" s="71">
        <v>1771107525.8232801</v>
      </c>
    </row>
    <row r="956" spans="1:3" ht="13">
      <c r="A956" s="72">
        <v>43178</v>
      </c>
      <c r="B956" s="71">
        <v>555.26813294900001</v>
      </c>
      <c r="C956" s="71">
        <v>2567575935.5116701</v>
      </c>
    </row>
    <row r="957" spans="1:3" ht="13">
      <c r="A957" s="72">
        <v>43179</v>
      </c>
      <c r="B957" s="71">
        <v>556.37878836599998</v>
      </c>
      <c r="C957" s="71">
        <v>1833523843.99505</v>
      </c>
    </row>
    <row r="958" spans="1:3" ht="13">
      <c r="A958" s="72">
        <v>43180</v>
      </c>
      <c r="B958" s="71">
        <v>563.71804529099995</v>
      </c>
      <c r="C958" s="71">
        <v>1751759717.7200601</v>
      </c>
    </row>
    <row r="959" spans="1:3" ht="13">
      <c r="A959" s="72">
        <v>43181</v>
      </c>
      <c r="B959" s="71">
        <v>539.20000000000005</v>
      </c>
      <c r="C959" s="71">
        <v>1562987892.6777699</v>
      </c>
    </row>
    <row r="960" spans="1:3" ht="13">
      <c r="A960" s="72">
        <v>43182</v>
      </c>
      <c r="B960" s="71">
        <v>537.00623467100002</v>
      </c>
      <c r="C960" s="71">
        <v>1534896868.43448</v>
      </c>
    </row>
    <row r="961" spans="1:3" ht="13">
      <c r="A961" s="72">
        <v>43183</v>
      </c>
      <c r="B961" s="71">
        <v>528.26114782599996</v>
      </c>
      <c r="C961" s="71">
        <v>1346750489.81722</v>
      </c>
    </row>
    <row r="962" spans="1:3" ht="13">
      <c r="A962" s="72">
        <v>43184</v>
      </c>
      <c r="B962" s="71">
        <v>522.14072380899995</v>
      </c>
      <c r="C962" s="71">
        <v>1192746482.27807</v>
      </c>
    </row>
    <row r="963" spans="1:3" ht="13">
      <c r="A963" s="72">
        <v>43185</v>
      </c>
      <c r="B963" s="71">
        <v>489.50966817800003</v>
      </c>
      <c r="C963" s="71">
        <v>1270314694.2</v>
      </c>
    </row>
    <row r="964" spans="1:3" ht="13">
      <c r="A964" s="72">
        <v>43186</v>
      </c>
      <c r="B964" s="71">
        <v>450.00885586700002</v>
      </c>
      <c r="C964" s="71">
        <v>1728432753.89715</v>
      </c>
    </row>
    <row r="965" spans="1:3" ht="13">
      <c r="A965" s="72">
        <v>43187</v>
      </c>
      <c r="B965" s="71">
        <v>446.75109238099998</v>
      </c>
      <c r="C965" s="71">
        <v>1502765438.9333899</v>
      </c>
    </row>
    <row r="966" spans="1:3" ht="13">
      <c r="A966" s="72">
        <v>43188</v>
      </c>
      <c r="B966" s="71">
        <v>386.331809443</v>
      </c>
      <c r="C966" s="71">
        <v>1547586593.8217499</v>
      </c>
    </row>
    <row r="967" spans="1:3" ht="13">
      <c r="A967" s="72">
        <v>43189</v>
      </c>
      <c r="B967" s="71">
        <v>395.01153288799998</v>
      </c>
      <c r="C967" s="71">
        <v>2080220630.0264299</v>
      </c>
    </row>
    <row r="968" spans="1:3" ht="13">
      <c r="A968" s="72">
        <v>43190</v>
      </c>
      <c r="B968" s="71">
        <v>395.804182363</v>
      </c>
      <c r="C968" s="71">
        <v>1531181138.61076</v>
      </c>
    </row>
    <row r="969" spans="1:3" ht="13">
      <c r="A969" s="72">
        <v>43191</v>
      </c>
      <c r="B969" s="71">
        <v>378.96549375900003</v>
      </c>
      <c r="C969" s="71">
        <v>1120857998.6124599</v>
      </c>
    </row>
    <row r="970" spans="1:3" ht="13">
      <c r="A970" s="72">
        <v>43192</v>
      </c>
      <c r="B970" s="71">
        <v>385.04937815400001</v>
      </c>
      <c r="C970" s="71">
        <v>1177476399.5681901</v>
      </c>
    </row>
    <row r="971" spans="1:3" ht="13">
      <c r="A971" s="72">
        <v>43193</v>
      </c>
      <c r="B971" s="71">
        <v>416.979968251</v>
      </c>
      <c r="C971" s="71">
        <v>1176274051.23563</v>
      </c>
    </row>
    <row r="972" spans="1:3" ht="13">
      <c r="A972" s="72">
        <v>43194</v>
      </c>
      <c r="B972" s="71">
        <v>381.43456499600001</v>
      </c>
      <c r="C972" s="71">
        <v>1216723097.06161</v>
      </c>
    </row>
    <row r="973" spans="1:3" ht="13">
      <c r="A973" s="72">
        <v>43195</v>
      </c>
      <c r="B973" s="71">
        <v>383.32509145199998</v>
      </c>
      <c r="C973" s="71">
        <v>1179754295.9382</v>
      </c>
    </row>
    <row r="974" spans="1:3" ht="13">
      <c r="A974" s="72">
        <v>43196</v>
      </c>
      <c r="B974" s="71">
        <v>371.25490402000003</v>
      </c>
      <c r="C974" s="71">
        <v>1009787943.59728</v>
      </c>
    </row>
    <row r="975" spans="1:3" ht="13">
      <c r="A975" s="72">
        <v>43197</v>
      </c>
      <c r="B975" s="71">
        <v>385.11997926599997</v>
      </c>
      <c r="C975" s="71">
        <v>884888488.89262903</v>
      </c>
    </row>
    <row r="976" spans="1:3" ht="13">
      <c r="A976" s="72">
        <v>43198</v>
      </c>
      <c r="B976" s="71">
        <v>399.72650652599998</v>
      </c>
      <c r="C976" s="71">
        <v>859696196.98493397</v>
      </c>
    </row>
    <row r="977" spans="1:3" ht="13">
      <c r="A977" s="72">
        <v>43199</v>
      </c>
      <c r="B977" s="71">
        <v>397.69873689100001</v>
      </c>
      <c r="C977" s="71">
        <v>1228442068.1080799</v>
      </c>
    </row>
    <row r="978" spans="1:3" ht="13">
      <c r="A978" s="72">
        <v>43200</v>
      </c>
      <c r="B978" s="71">
        <v>415.23719783000001</v>
      </c>
      <c r="C978" s="71">
        <v>1137254117.13831</v>
      </c>
    </row>
    <row r="979" spans="1:3" ht="13">
      <c r="A979" s="72">
        <v>43201</v>
      </c>
      <c r="B979" s="71">
        <v>430.039240259</v>
      </c>
      <c r="C979" s="71">
        <v>1158211286.73756</v>
      </c>
    </row>
    <row r="980" spans="1:3" ht="13">
      <c r="A980" s="72">
        <v>43202</v>
      </c>
      <c r="B980" s="71">
        <v>489.40179622199997</v>
      </c>
      <c r="C980" s="71">
        <v>1764313484.6117201</v>
      </c>
    </row>
    <row r="981" spans="1:3" ht="13">
      <c r="A981" s="72">
        <v>43203</v>
      </c>
      <c r="B981" s="71">
        <v>492.828819705</v>
      </c>
      <c r="C981" s="71">
        <v>2396892172.5956502</v>
      </c>
    </row>
    <row r="982" spans="1:3" ht="13">
      <c r="A982" s="72">
        <v>43204</v>
      </c>
      <c r="B982" s="71">
        <v>498.414067225</v>
      </c>
      <c r="C982" s="71">
        <v>1776280299.08078</v>
      </c>
    </row>
    <row r="983" spans="1:3" ht="13">
      <c r="A983" s="72">
        <v>43205</v>
      </c>
      <c r="B983" s="71">
        <v>530.178272634</v>
      </c>
      <c r="C983" s="71">
        <v>1423628567.2306001</v>
      </c>
    </row>
    <row r="984" spans="1:3" ht="13">
      <c r="A984" s="72">
        <v>43206</v>
      </c>
      <c r="B984" s="71">
        <v>510.960529769</v>
      </c>
      <c r="C984" s="71">
        <v>1500169017.67553</v>
      </c>
    </row>
    <row r="985" spans="1:3" ht="13">
      <c r="A985" s="72">
        <v>43207</v>
      </c>
      <c r="B985" s="71">
        <v>503.00610937800002</v>
      </c>
      <c r="C985" s="71">
        <v>1435953212.37551</v>
      </c>
    </row>
    <row r="986" spans="1:3" ht="13">
      <c r="A986" s="72">
        <v>43208</v>
      </c>
      <c r="B986" s="71">
        <v>523.48550772099998</v>
      </c>
      <c r="C986" s="71">
        <v>1472509263.35724</v>
      </c>
    </row>
    <row r="987" spans="1:3" ht="13">
      <c r="A987" s="72">
        <v>43209</v>
      </c>
      <c r="B987" s="71">
        <v>569.24686823699994</v>
      </c>
      <c r="C987" s="71">
        <v>1761637032.03018</v>
      </c>
    </row>
    <row r="988" spans="1:3" ht="13">
      <c r="A988" s="72">
        <v>43210</v>
      </c>
      <c r="B988" s="71">
        <v>615.370653543</v>
      </c>
      <c r="C988" s="71">
        <v>2189062533.9579101</v>
      </c>
    </row>
    <row r="989" spans="1:3" ht="13">
      <c r="A989" s="72">
        <v>43211</v>
      </c>
      <c r="B989" s="71">
        <v>604.20752625499995</v>
      </c>
      <c r="C989" s="71">
        <v>2325073660.30094</v>
      </c>
    </row>
    <row r="990" spans="1:3" ht="13">
      <c r="A990" s="72">
        <v>43212</v>
      </c>
      <c r="B990" s="71">
        <v>622.505697586</v>
      </c>
      <c r="C990" s="71">
        <v>2040947125.9981599</v>
      </c>
    </row>
    <row r="991" spans="1:3" ht="13">
      <c r="A991" s="72">
        <v>43213</v>
      </c>
      <c r="B991" s="71">
        <v>643.80473754000002</v>
      </c>
      <c r="C991" s="71">
        <v>2066115430.3478999</v>
      </c>
    </row>
    <row r="992" spans="1:3" ht="13">
      <c r="A992" s="72">
        <v>43214</v>
      </c>
      <c r="B992" s="71">
        <v>706.49384749700005</v>
      </c>
      <c r="C992" s="71">
        <v>2610345463.3162999</v>
      </c>
    </row>
    <row r="993" spans="1:3" ht="13">
      <c r="A993" s="72">
        <v>43215</v>
      </c>
      <c r="B993" s="71">
        <v>615.66794010199999</v>
      </c>
      <c r="C993" s="71">
        <v>3650186954.79984</v>
      </c>
    </row>
    <row r="994" spans="1:3" ht="13">
      <c r="A994" s="72">
        <v>43216</v>
      </c>
      <c r="B994" s="71">
        <v>662.83472294399996</v>
      </c>
      <c r="C994" s="71">
        <v>3078977557.7199998</v>
      </c>
    </row>
    <row r="995" spans="1:3" ht="13">
      <c r="A995" s="72">
        <v>43217</v>
      </c>
      <c r="B995" s="71">
        <v>648.45830202000002</v>
      </c>
      <c r="C995" s="71">
        <v>2276524110.0736299</v>
      </c>
    </row>
    <row r="996" spans="1:3" ht="13">
      <c r="A996" s="72">
        <v>43218</v>
      </c>
      <c r="B996" s="71">
        <v>682.88054387399995</v>
      </c>
      <c r="C996" s="71">
        <v>2146870119.9597099</v>
      </c>
    </row>
    <row r="997" spans="1:3" ht="13">
      <c r="A997" s="72">
        <v>43219</v>
      </c>
      <c r="B997" s="71">
        <v>690.45070831199996</v>
      </c>
      <c r="C997" s="71">
        <v>2264211535.8874002</v>
      </c>
    </row>
    <row r="998" spans="1:3" ht="13">
      <c r="A998" s="72">
        <v>43220</v>
      </c>
      <c r="B998" s="71">
        <v>669.43903697799999</v>
      </c>
      <c r="C998" s="71">
        <v>2277307109.8257399</v>
      </c>
    </row>
    <row r="999" spans="1:3" ht="13">
      <c r="A999" s="72">
        <v>43221</v>
      </c>
      <c r="B999" s="71">
        <v>673.80999665399997</v>
      </c>
      <c r="C999" s="71">
        <v>2387378885.88029</v>
      </c>
    </row>
    <row r="1000" spans="1:3" ht="13">
      <c r="A1000" s="72">
        <v>43222</v>
      </c>
      <c r="B1000" s="71">
        <v>688.05751465000003</v>
      </c>
      <c r="C1000" s="71">
        <v>2031154464.4882901</v>
      </c>
    </row>
    <row r="1001" spans="1:3" ht="13">
      <c r="A1001" s="72">
        <v>43223</v>
      </c>
      <c r="B1001" s="71">
        <v>782.99103663799997</v>
      </c>
      <c r="C1001" s="71">
        <v>2780814598.5503101</v>
      </c>
    </row>
    <row r="1002" spans="1:3" ht="13">
      <c r="A1002" s="72">
        <v>43224</v>
      </c>
      <c r="B1002" s="71">
        <v>785.63327722500003</v>
      </c>
      <c r="C1002" s="71">
        <v>3283591990.2692099</v>
      </c>
    </row>
    <row r="1003" spans="1:3" ht="13">
      <c r="A1003" s="72">
        <v>43225</v>
      </c>
      <c r="B1003" s="71">
        <v>817.80829933200005</v>
      </c>
      <c r="C1003" s="71">
        <v>2664498194.2944999</v>
      </c>
    </row>
    <row r="1004" spans="1:3" ht="13">
      <c r="A1004" s="72">
        <v>43226</v>
      </c>
      <c r="B1004" s="71">
        <v>794.87741546100006</v>
      </c>
      <c r="C1004" s="71">
        <v>2567631426.7602801</v>
      </c>
    </row>
    <row r="1005" spans="1:3" ht="13">
      <c r="A1005" s="72">
        <v>43227</v>
      </c>
      <c r="B1005" s="71">
        <v>751.023605514</v>
      </c>
      <c r="C1005" s="71">
        <v>3055762823.5672102</v>
      </c>
    </row>
    <row r="1006" spans="1:3" ht="13">
      <c r="A1006" s="72">
        <v>43228</v>
      </c>
      <c r="B1006" s="71">
        <v>753.19029093300003</v>
      </c>
      <c r="C1006" s="71">
        <v>3154153996.1384902</v>
      </c>
    </row>
    <row r="1007" spans="1:3" ht="13">
      <c r="A1007" s="72">
        <v>43229</v>
      </c>
      <c r="B1007" s="71">
        <v>751.80733666000003</v>
      </c>
      <c r="C1007" s="71">
        <v>2355723511.50071</v>
      </c>
    </row>
    <row r="1008" spans="1:3" ht="13">
      <c r="A1008" s="72">
        <v>43230</v>
      </c>
      <c r="B1008" s="71">
        <v>726.20971590399995</v>
      </c>
      <c r="C1008" s="71">
        <v>2259418272.8884802</v>
      </c>
    </row>
    <row r="1009" spans="1:3" ht="13">
      <c r="A1009" s="72">
        <v>43231</v>
      </c>
      <c r="B1009" s="71">
        <v>678.940726595</v>
      </c>
      <c r="C1009" s="71">
        <v>2587642192.7096601</v>
      </c>
    </row>
    <row r="1010" spans="1:3" ht="13">
      <c r="A1010" s="72">
        <v>43232</v>
      </c>
      <c r="B1010" s="71">
        <v>685.80345383300005</v>
      </c>
      <c r="C1010" s="71">
        <v>2507689923.4163699</v>
      </c>
    </row>
    <row r="1011" spans="1:3" ht="13">
      <c r="A1011" s="72">
        <v>43233</v>
      </c>
      <c r="B1011" s="71">
        <v>732.96722300199997</v>
      </c>
      <c r="C1011" s="71">
        <v>1991532220.8031299</v>
      </c>
    </row>
    <row r="1012" spans="1:3" ht="13">
      <c r="A1012" s="72">
        <v>43234</v>
      </c>
      <c r="B1012" s="71">
        <v>733.19500247999997</v>
      </c>
      <c r="C1012" s="71">
        <v>2401854387.8997102</v>
      </c>
    </row>
    <row r="1013" spans="1:3" ht="13">
      <c r="A1013" s="72">
        <v>43235</v>
      </c>
      <c r="B1013" s="71">
        <v>710.04617958999995</v>
      </c>
      <c r="C1013" s="71">
        <v>2296056269.9917998</v>
      </c>
    </row>
    <row r="1014" spans="1:3" ht="13">
      <c r="A1014" s="72">
        <v>43236</v>
      </c>
      <c r="B1014" s="71">
        <v>706.59102930200004</v>
      </c>
      <c r="C1014" s="71">
        <v>2135205505.0970099</v>
      </c>
    </row>
    <row r="1015" spans="1:3" ht="13">
      <c r="A1015" s="72">
        <v>43237</v>
      </c>
      <c r="B1015" s="71">
        <v>672.60054446000004</v>
      </c>
      <c r="C1015" s="71">
        <v>1915828763.7461801</v>
      </c>
    </row>
    <row r="1016" spans="1:3" ht="13">
      <c r="A1016" s="72">
        <v>43238</v>
      </c>
      <c r="B1016" s="71">
        <v>693.77375393800003</v>
      </c>
      <c r="C1016" s="71">
        <v>1970151108.6168699</v>
      </c>
    </row>
    <row r="1017" spans="1:3" ht="13">
      <c r="A1017" s="72">
        <v>43239</v>
      </c>
      <c r="B1017" s="71">
        <v>695.88146591500004</v>
      </c>
      <c r="C1017" s="71">
        <v>1710168161.3792901</v>
      </c>
    </row>
    <row r="1018" spans="1:3" ht="13">
      <c r="A1018" s="72">
        <v>43240</v>
      </c>
      <c r="B1018" s="71">
        <v>715.34277235800005</v>
      </c>
      <c r="C1018" s="71">
        <v>1588563980.09131</v>
      </c>
    </row>
    <row r="1019" spans="1:3" ht="13">
      <c r="A1019" s="72">
        <v>43241</v>
      </c>
      <c r="B1019" s="71">
        <v>699.74824797099996</v>
      </c>
      <c r="C1019" s="71">
        <v>1608903904.4579201</v>
      </c>
    </row>
    <row r="1020" spans="1:3" ht="13">
      <c r="A1020" s="72">
        <v>43242</v>
      </c>
      <c r="B1020" s="71">
        <v>647.49629571699995</v>
      </c>
      <c r="C1020" s="71">
        <v>1618819288.6459401</v>
      </c>
    </row>
    <row r="1021" spans="1:3" ht="13">
      <c r="A1021" s="72">
        <v>43243</v>
      </c>
      <c r="B1021" s="71">
        <v>584.36587460700002</v>
      </c>
      <c r="C1021" s="71">
        <v>2142969845.0989001</v>
      </c>
    </row>
    <row r="1022" spans="1:3" ht="13">
      <c r="A1022" s="72">
        <v>43244</v>
      </c>
      <c r="B1022" s="71">
        <v>601.56958219499995</v>
      </c>
      <c r="C1022" s="71">
        <v>2561254108.3362598</v>
      </c>
    </row>
    <row r="1023" spans="1:3" ht="13">
      <c r="A1023" s="72">
        <v>43245</v>
      </c>
      <c r="B1023" s="71">
        <v>585.38234692200001</v>
      </c>
      <c r="C1023" s="71">
        <v>2090899490.7641001</v>
      </c>
    </row>
    <row r="1024" spans="1:3" ht="13">
      <c r="A1024" s="72">
        <v>43246</v>
      </c>
      <c r="B1024" s="71">
        <v>587.94452618299999</v>
      </c>
      <c r="C1024" s="71">
        <v>1503966637.15488</v>
      </c>
    </row>
    <row r="1025" spans="1:3" ht="13">
      <c r="A1025" s="72">
        <v>43247</v>
      </c>
      <c r="B1025" s="71">
        <v>572.33950774599998</v>
      </c>
      <c r="C1025" s="71">
        <v>1397752288.5418</v>
      </c>
    </row>
    <row r="1026" spans="1:3" ht="13">
      <c r="A1026" s="72">
        <v>43248</v>
      </c>
      <c r="B1026" s="71">
        <v>516.51150154000004</v>
      </c>
      <c r="C1026" s="71">
        <v>1757075923.48069</v>
      </c>
    </row>
    <row r="1027" spans="1:3" ht="13">
      <c r="A1027" s="72">
        <v>43249</v>
      </c>
      <c r="B1027" s="71">
        <v>565.93490921800003</v>
      </c>
      <c r="C1027" s="71">
        <v>1727333282.7890401</v>
      </c>
    </row>
    <row r="1028" spans="1:3" ht="13">
      <c r="A1028" s="72">
        <v>43250</v>
      </c>
      <c r="B1028" s="71">
        <v>560.63181761999999</v>
      </c>
      <c r="C1028" s="71">
        <v>1614203296.9547999</v>
      </c>
    </row>
    <row r="1029" spans="1:3" ht="13">
      <c r="A1029" s="72">
        <v>43251</v>
      </c>
      <c r="B1029" s="71">
        <v>578.95797120500004</v>
      </c>
      <c r="C1029" s="71">
        <v>1371534298.39851</v>
      </c>
    </row>
    <row r="1030" spans="1:3" ht="13">
      <c r="A1030" s="72">
        <v>43252</v>
      </c>
      <c r="B1030" s="71">
        <v>580.60131253300005</v>
      </c>
      <c r="C1030" s="71">
        <v>1423274484.4521599</v>
      </c>
    </row>
    <row r="1031" spans="1:3" ht="13">
      <c r="A1031" s="72">
        <v>43253</v>
      </c>
      <c r="B1031" s="71">
        <v>589.86137143200006</v>
      </c>
      <c r="C1031" s="71">
        <v>1413271879.32026</v>
      </c>
    </row>
    <row r="1032" spans="1:3" ht="13">
      <c r="A1032" s="72">
        <v>43254</v>
      </c>
      <c r="B1032" s="71">
        <v>617.90034694400003</v>
      </c>
      <c r="C1032" s="71">
        <v>2047138931.3487799</v>
      </c>
    </row>
    <row r="1033" spans="1:3" ht="13">
      <c r="A1033" s="72">
        <v>43255</v>
      </c>
      <c r="B1033" s="71">
        <v>593.11588494</v>
      </c>
      <c r="C1033" s="71">
        <v>2047758852.71053</v>
      </c>
    </row>
    <row r="1034" spans="1:3" ht="13">
      <c r="A1034" s="72">
        <v>43256</v>
      </c>
      <c r="B1034" s="71">
        <v>608.78759324500004</v>
      </c>
      <c r="C1034" s="71">
        <v>1567205737.7981999</v>
      </c>
    </row>
    <row r="1035" spans="1:3" ht="13">
      <c r="A1035" s="72">
        <v>43257</v>
      </c>
      <c r="B1035" s="71">
        <v>600.90632914399998</v>
      </c>
      <c r="C1035" s="71">
        <v>1192014984.2649601</v>
      </c>
    </row>
    <row r="1036" spans="1:3" ht="13">
      <c r="A1036" s="72">
        <v>43258</v>
      </c>
      <c r="B1036" s="71">
        <v>603.86874452500001</v>
      </c>
      <c r="C1036" s="71">
        <v>1263471594.7137001</v>
      </c>
    </row>
    <row r="1037" spans="1:3" ht="13">
      <c r="A1037" s="72">
        <v>43259</v>
      </c>
      <c r="B1037" s="71">
        <v>601.600723604</v>
      </c>
      <c r="C1037" s="71">
        <v>1128933073.82635</v>
      </c>
    </row>
    <row r="1038" spans="1:3" ht="13">
      <c r="A1038" s="72">
        <v>43260</v>
      </c>
      <c r="B1038" s="71">
        <v>599.93116653899995</v>
      </c>
      <c r="C1038" s="71">
        <v>971789225.54797804</v>
      </c>
    </row>
    <row r="1039" spans="1:3" ht="13">
      <c r="A1039" s="72">
        <v>43261</v>
      </c>
      <c r="B1039" s="71">
        <v>526.85905209600003</v>
      </c>
      <c r="C1039" s="71">
        <v>1347566017.6305201</v>
      </c>
    </row>
    <row r="1040" spans="1:3" ht="13">
      <c r="A1040" s="72">
        <v>43262</v>
      </c>
      <c r="B1040" s="71">
        <v>528.59277864000001</v>
      </c>
      <c r="C1040" s="71">
        <v>1825476360.6196899</v>
      </c>
    </row>
    <row r="1041" spans="1:3" ht="13">
      <c r="A1041" s="72">
        <v>43263</v>
      </c>
      <c r="B1041" s="71">
        <v>494.25944647</v>
      </c>
      <c r="C1041" s="71">
        <v>1469437157.3464701</v>
      </c>
    </row>
    <row r="1042" spans="1:3" ht="13">
      <c r="A1042" s="72">
        <v>43264</v>
      </c>
      <c r="B1042" s="71">
        <v>474.94656212400002</v>
      </c>
      <c r="C1042" s="71">
        <v>1628092404.73068</v>
      </c>
    </row>
    <row r="1043" spans="1:3" ht="13">
      <c r="A1043" s="72">
        <v>43265</v>
      </c>
      <c r="B1043" s="71">
        <v>519.07726009400005</v>
      </c>
      <c r="C1043" s="71">
        <v>1832794112.62532</v>
      </c>
    </row>
    <row r="1044" spans="1:3" ht="13">
      <c r="A1044" s="72">
        <v>43266</v>
      </c>
      <c r="B1044" s="71">
        <v>493.10527366299999</v>
      </c>
      <c r="C1044" s="71">
        <v>1806068566.18665</v>
      </c>
    </row>
    <row r="1045" spans="1:3" ht="13">
      <c r="A1045" s="72">
        <v>43267</v>
      </c>
      <c r="B1045" s="71">
        <v>498.47239705800001</v>
      </c>
      <c r="C1045" s="71">
        <v>1177449231.96544</v>
      </c>
    </row>
    <row r="1046" spans="1:3" ht="13">
      <c r="A1046" s="72">
        <v>43268</v>
      </c>
      <c r="B1046" s="71">
        <v>497.911417003</v>
      </c>
      <c r="C1046" s="71">
        <v>935766249.34661305</v>
      </c>
    </row>
    <row r="1047" spans="1:3" ht="13">
      <c r="A1047" s="72">
        <v>43269</v>
      </c>
      <c r="B1047" s="71">
        <v>518.435378464</v>
      </c>
      <c r="C1047" s="71">
        <v>993590452.80109894</v>
      </c>
    </row>
    <row r="1048" spans="1:3" ht="13">
      <c r="A1048" s="72">
        <v>43270</v>
      </c>
      <c r="B1048" s="71">
        <v>536.14813277099995</v>
      </c>
      <c r="C1048" s="71">
        <v>1353681738.3915601</v>
      </c>
    </row>
    <row r="1049" spans="1:3" ht="13">
      <c r="A1049" s="72">
        <v>43271</v>
      </c>
      <c r="B1049" s="71">
        <v>535.50397897899995</v>
      </c>
      <c r="C1049" s="71">
        <v>1508750419.65049</v>
      </c>
    </row>
    <row r="1050" spans="1:3" ht="13">
      <c r="A1050" s="72">
        <v>43272</v>
      </c>
      <c r="B1050" s="71">
        <v>525.80273585099997</v>
      </c>
      <c r="C1050" s="71">
        <v>1301138704.4258299</v>
      </c>
    </row>
    <row r="1051" spans="1:3" ht="13">
      <c r="A1051" s="72">
        <v>43273</v>
      </c>
      <c r="B1051" s="71">
        <v>464.89213658900002</v>
      </c>
      <c r="C1051" s="71">
        <v>1582644621.5622001</v>
      </c>
    </row>
    <row r="1052" spans="1:3" ht="13">
      <c r="A1052" s="72">
        <v>43274</v>
      </c>
      <c r="B1052" s="71">
        <v>473.98662033199997</v>
      </c>
      <c r="C1052" s="71">
        <v>1899823474.2265799</v>
      </c>
    </row>
    <row r="1053" spans="1:3" ht="13">
      <c r="A1053" s="72">
        <v>43275</v>
      </c>
      <c r="B1053" s="71">
        <v>456.23732128400002</v>
      </c>
      <c r="C1053" s="71">
        <v>1911923320.6240101</v>
      </c>
    </row>
    <row r="1054" spans="1:3" ht="13">
      <c r="A1054" s="72">
        <v>43276</v>
      </c>
      <c r="B1054" s="71">
        <v>460.04241102100002</v>
      </c>
      <c r="C1054" s="71">
        <v>2628173322.1257</v>
      </c>
    </row>
    <row r="1055" spans="1:3" ht="13">
      <c r="A1055" s="72">
        <v>43277</v>
      </c>
      <c r="B1055" s="71">
        <v>434.00544606800003</v>
      </c>
      <c r="C1055" s="71">
        <v>2410233257.5430799</v>
      </c>
    </row>
    <row r="1056" spans="1:3" ht="13">
      <c r="A1056" s="72">
        <v>43278</v>
      </c>
      <c r="B1056" s="71">
        <v>435.99877489599999</v>
      </c>
      <c r="C1056" s="71">
        <v>2409337677.0806799</v>
      </c>
    </row>
    <row r="1057" spans="1:3" ht="13">
      <c r="A1057" s="72">
        <v>43279</v>
      </c>
      <c r="B1057" s="71">
        <v>424.150254217</v>
      </c>
      <c r="C1057" s="71">
        <v>1305573622.2293601</v>
      </c>
    </row>
    <row r="1058" spans="1:3" ht="13">
      <c r="A1058" s="72">
        <v>43280</v>
      </c>
      <c r="B1058" s="71">
        <v>430.49488166600003</v>
      </c>
      <c r="C1058" s="71">
        <v>1388143969.5843699</v>
      </c>
    </row>
    <row r="1059" spans="1:3" ht="13">
      <c r="A1059" s="72">
        <v>43281</v>
      </c>
      <c r="B1059" s="71">
        <v>452.21057905800001</v>
      </c>
      <c r="C1059" s="71">
        <v>1821364337.71102</v>
      </c>
    </row>
    <row r="1060" spans="1:3" ht="13">
      <c r="A1060" s="72">
        <v>43282</v>
      </c>
      <c r="B1060" s="71">
        <v>452.49182917500002</v>
      </c>
      <c r="C1060" s="71">
        <v>1691265595.2230599</v>
      </c>
    </row>
    <row r="1061" spans="1:3" ht="13">
      <c r="A1061" s="72">
        <v>43283</v>
      </c>
      <c r="B1061" s="71">
        <v>474.90781247400002</v>
      </c>
      <c r="C1061" s="71">
        <v>1896145480.46822</v>
      </c>
    </row>
    <row r="1062" spans="1:3" ht="13">
      <c r="A1062" s="72">
        <v>43284</v>
      </c>
      <c r="B1062" s="71">
        <v>463.61715968599998</v>
      </c>
      <c r="C1062" s="71">
        <v>2236916811.9292102</v>
      </c>
    </row>
    <row r="1063" spans="1:3" ht="13">
      <c r="A1063" s="72">
        <v>43285</v>
      </c>
      <c r="B1063" s="71">
        <v>468.69621154100003</v>
      </c>
      <c r="C1063" s="71">
        <v>2187316633.78158</v>
      </c>
    </row>
    <row r="1064" spans="1:3" ht="13">
      <c r="A1064" s="72">
        <v>43286</v>
      </c>
      <c r="B1064" s="71">
        <v>467.76213190700003</v>
      </c>
      <c r="C1064" s="71">
        <v>2149879043.3473802</v>
      </c>
    </row>
    <row r="1065" spans="1:3" ht="13">
      <c r="A1065" s="72">
        <v>43287</v>
      </c>
      <c r="B1065" s="71">
        <v>468.87380060599997</v>
      </c>
      <c r="C1065" s="71">
        <v>2112096436.02212</v>
      </c>
    </row>
    <row r="1066" spans="1:3" ht="13">
      <c r="A1066" s="72">
        <v>43288</v>
      </c>
      <c r="B1066" s="71">
        <v>480.385016613</v>
      </c>
      <c r="C1066" s="71">
        <v>1954951374.6282499</v>
      </c>
    </row>
    <row r="1067" spans="1:3" ht="13">
      <c r="A1067" s="72">
        <v>43289</v>
      </c>
      <c r="B1067" s="71">
        <v>487.31148588600001</v>
      </c>
      <c r="C1067" s="71">
        <v>2009750961.8757999</v>
      </c>
    </row>
    <row r="1068" spans="1:3" ht="13">
      <c r="A1068" s="72">
        <v>43290</v>
      </c>
      <c r="B1068" s="71">
        <v>474.057013068</v>
      </c>
      <c r="C1068" s="71">
        <v>2002454398.2056899</v>
      </c>
    </row>
    <row r="1069" spans="1:3" ht="13">
      <c r="A1069" s="72">
        <v>43291</v>
      </c>
      <c r="B1069" s="71">
        <v>434.49106274000002</v>
      </c>
      <c r="C1069" s="71">
        <v>1772252663.0457201</v>
      </c>
    </row>
    <row r="1070" spans="1:3" ht="13">
      <c r="A1070" s="72">
        <v>43292</v>
      </c>
      <c r="B1070" s="71">
        <v>445.15055239899999</v>
      </c>
      <c r="C1070" s="71">
        <v>1752709167.49896</v>
      </c>
    </row>
    <row r="1071" spans="1:3" ht="13">
      <c r="A1071" s="72">
        <v>43293</v>
      </c>
      <c r="B1071" s="71">
        <v>427.347304334</v>
      </c>
      <c r="C1071" s="71">
        <v>1448870359.4191301</v>
      </c>
    </row>
    <row r="1072" spans="1:3" ht="13">
      <c r="A1072" s="72">
        <v>43294</v>
      </c>
      <c r="B1072" s="71">
        <v>431.64476048099999</v>
      </c>
      <c r="C1072" s="71">
        <v>1763236533.8366301</v>
      </c>
    </row>
    <row r="1073" spans="1:3" ht="13">
      <c r="A1073" s="72">
        <v>43295</v>
      </c>
      <c r="B1073" s="71">
        <v>433.871018639</v>
      </c>
      <c r="C1073" s="71">
        <v>1546387638.9878299</v>
      </c>
    </row>
    <row r="1074" spans="1:3" ht="13">
      <c r="A1074" s="72">
        <v>43296</v>
      </c>
      <c r="B1074" s="71">
        <v>449.182707741</v>
      </c>
      <c r="C1074" s="71">
        <v>1442726107.6551299</v>
      </c>
    </row>
    <row r="1075" spans="1:3" ht="13">
      <c r="A1075" s="72">
        <v>43297</v>
      </c>
      <c r="B1075" s="71">
        <v>476.23084607200002</v>
      </c>
      <c r="C1075" s="71">
        <v>2181496492.4405198</v>
      </c>
    </row>
    <row r="1076" spans="1:3" ht="13">
      <c r="A1076" s="72">
        <v>43298</v>
      </c>
      <c r="B1076" s="71">
        <v>500.87657600900002</v>
      </c>
      <c r="C1076" s="71">
        <v>2318768238.17203</v>
      </c>
    </row>
    <row r="1077" spans="1:3" ht="13">
      <c r="A1077" s="72">
        <v>43299</v>
      </c>
      <c r="B1077" s="71">
        <v>477.95774289399998</v>
      </c>
      <c r="C1077" s="71">
        <v>2569699702.5710802</v>
      </c>
    </row>
    <row r="1078" spans="1:3" ht="13">
      <c r="A1078" s="72">
        <v>43300</v>
      </c>
      <c r="B1078" s="71">
        <v>467.12950549099997</v>
      </c>
      <c r="C1078" s="71">
        <v>2302853466.7863798</v>
      </c>
    </row>
    <row r="1079" spans="1:3" ht="13">
      <c r="A1079" s="72">
        <v>43301</v>
      </c>
      <c r="B1079" s="71">
        <v>448.95535983000002</v>
      </c>
      <c r="C1079" s="71">
        <v>2146013179.63377</v>
      </c>
    </row>
    <row r="1080" spans="1:3" ht="13">
      <c r="A1080" s="72">
        <v>43302</v>
      </c>
      <c r="B1080" s="71">
        <v>461.64528404800001</v>
      </c>
      <c r="C1080" s="71">
        <v>1970621136.7125001</v>
      </c>
    </row>
    <row r="1081" spans="1:3" ht="13">
      <c r="A1081" s="72">
        <v>43303</v>
      </c>
      <c r="B1081" s="71">
        <v>457.74335972199998</v>
      </c>
      <c r="C1081" s="71">
        <v>1436287133.85689</v>
      </c>
    </row>
    <row r="1082" spans="1:3" ht="13">
      <c r="A1082" s="72">
        <v>43304</v>
      </c>
      <c r="B1082" s="71">
        <v>450.85602637900001</v>
      </c>
      <c r="C1082" s="71">
        <v>1718239825.4560299</v>
      </c>
    </row>
    <row r="1083" spans="1:3" ht="13">
      <c r="A1083" s="72">
        <v>43305</v>
      </c>
      <c r="B1083" s="71">
        <v>474.07154412599999</v>
      </c>
      <c r="C1083" s="71">
        <v>2020293893.13292</v>
      </c>
    </row>
    <row r="1084" spans="1:3" ht="13">
      <c r="A1084" s="72">
        <v>43306</v>
      </c>
      <c r="B1084" s="71">
        <v>472.37279091699997</v>
      </c>
      <c r="C1084" s="71">
        <v>2185852920.7507601</v>
      </c>
    </row>
    <row r="1085" spans="1:3" ht="13">
      <c r="A1085" s="72">
        <v>43307</v>
      </c>
      <c r="B1085" s="71">
        <v>463.86107075000001</v>
      </c>
      <c r="C1085" s="71">
        <v>1825238282.6280601</v>
      </c>
    </row>
    <row r="1086" spans="1:3" ht="13">
      <c r="A1086" s="72">
        <v>43308</v>
      </c>
      <c r="B1086" s="71">
        <v>469.58703130599997</v>
      </c>
      <c r="C1086" s="71">
        <v>1835700965.06444</v>
      </c>
    </row>
    <row r="1087" spans="1:3" ht="13">
      <c r="A1087" s="72">
        <v>43309</v>
      </c>
      <c r="B1087" s="71">
        <v>467.22572366600002</v>
      </c>
      <c r="C1087" s="71">
        <v>1682534368.2557001</v>
      </c>
    </row>
    <row r="1088" spans="1:3" ht="13">
      <c r="A1088" s="72">
        <v>43310</v>
      </c>
      <c r="B1088" s="71">
        <v>466.72484597499999</v>
      </c>
      <c r="C1088" s="71">
        <v>1515018232.72208</v>
      </c>
    </row>
    <row r="1089" spans="1:3" ht="13">
      <c r="A1089" s="72">
        <v>43311</v>
      </c>
      <c r="B1089" s="71">
        <v>456.332951772</v>
      </c>
      <c r="C1089" s="71">
        <v>1927175172.80616</v>
      </c>
    </row>
    <row r="1090" spans="1:3" ht="13">
      <c r="A1090" s="72">
        <v>43312</v>
      </c>
      <c r="B1090" s="71">
        <v>432.64500480700002</v>
      </c>
      <c r="C1090" s="71">
        <v>2163355565.6656799</v>
      </c>
    </row>
    <row r="1091" spans="1:3" ht="13">
      <c r="A1091" s="72">
        <v>43313</v>
      </c>
      <c r="B1091" s="71">
        <v>419.35691872299998</v>
      </c>
      <c r="C1091" s="71">
        <v>1847655053.9398201</v>
      </c>
    </row>
    <row r="1092" spans="1:3" ht="13">
      <c r="A1092" s="72">
        <v>43314</v>
      </c>
      <c r="B1092" s="71">
        <v>411.77443847799998</v>
      </c>
      <c r="C1092" s="71">
        <v>1623532045.50791</v>
      </c>
    </row>
    <row r="1093" spans="1:3" ht="13">
      <c r="A1093" s="72">
        <v>43315</v>
      </c>
      <c r="B1093" s="71">
        <v>417.73753705000001</v>
      </c>
      <c r="C1093" s="71">
        <v>1607815631.70609</v>
      </c>
    </row>
    <row r="1094" spans="1:3" ht="13">
      <c r="A1094" s="72">
        <v>43316</v>
      </c>
      <c r="B1094" s="71">
        <v>406.87324250099999</v>
      </c>
      <c r="C1094" s="71">
        <v>1452550700.46175</v>
      </c>
    </row>
    <row r="1095" spans="1:3" ht="13">
      <c r="A1095" s="72">
        <v>43317</v>
      </c>
      <c r="B1095" s="71">
        <v>409.07523917499998</v>
      </c>
      <c r="C1095" s="71">
        <v>1382112727.50823</v>
      </c>
    </row>
    <row r="1096" spans="1:3" ht="13">
      <c r="A1096" s="72">
        <v>43318</v>
      </c>
      <c r="B1096" s="71">
        <v>405.615883424</v>
      </c>
      <c r="C1096" s="71">
        <v>1286857826.06705</v>
      </c>
    </row>
    <row r="1097" spans="1:3" ht="13">
      <c r="A1097" s="72">
        <v>43319</v>
      </c>
      <c r="B1097" s="71">
        <v>379.250457837</v>
      </c>
      <c r="C1097" s="71">
        <v>1414855518.6803999</v>
      </c>
    </row>
    <row r="1098" spans="1:3" ht="13">
      <c r="A1098" s="72">
        <v>43320</v>
      </c>
      <c r="B1098" s="71">
        <v>355.39593840399999</v>
      </c>
      <c r="C1098" s="71">
        <v>1928212482.19014</v>
      </c>
    </row>
    <row r="1099" spans="1:3" ht="13">
      <c r="A1099" s="72">
        <v>43321</v>
      </c>
      <c r="B1099" s="71">
        <v>365.14174019199999</v>
      </c>
      <c r="C1099" s="71">
        <v>1919302869.2836399</v>
      </c>
    </row>
    <row r="1100" spans="1:3" ht="13">
      <c r="A1100" s="72">
        <v>43322</v>
      </c>
      <c r="B1100" s="71">
        <v>333.85179424400002</v>
      </c>
      <c r="C1100" s="71">
        <v>1856847992.9322801</v>
      </c>
    </row>
    <row r="1101" spans="1:3" ht="13">
      <c r="A1101" s="72">
        <v>43323</v>
      </c>
      <c r="B1101" s="71">
        <v>321.66132901200001</v>
      </c>
      <c r="C1101" s="71">
        <v>1975004072.5028901</v>
      </c>
    </row>
    <row r="1102" spans="1:3" ht="13">
      <c r="A1102" s="72">
        <v>43324</v>
      </c>
      <c r="B1102" s="71">
        <v>319.76538572499999</v>
      </c>
      <c r="C1102" s="71">
        <v>1819908568.64311</v>
      </c>
    </row>
    <row r="1103" spans="1:3" ht="13">
      <c r="A1103" s="72">
        <v>43325</v>
      </c>
      <c r="B1103" s="71">
        <v>285.59098463999999</v>
      </c>
      <c r="C1103" s="71">
        <v>1761045378.19014</v>
      </c>
    </row>
    <row r="1104" spans="1:3" ht="13">
      <c r="A1104" s="72">
        <v>43326</v>
      </c>
      <c r="B1104" s="71">
        <v>276.44711672099999</v>
      </c>
      <c r="C1104" s="71">
        <v>2365770274.7576799</v>
      </c>
    </row>
    <row r="1105" spans="1:3" ht="13">
      <c r="A1105" s="72">
        <v>43327</v>
      </c>
      <c r="B1105" s="71">
        <v>282.69180669299999</v>
      </c>
      <c r="C1105" s="71">
        <v>2261177443.1873202</v>
      </c>
    </row>
    <row r="1106" spans="1:3" ht="13">
      <c r="A1106" s="72">
        <v>43328</v>
      </c>
      <c r="B1106" s="71">
        <v>287.59717508199998</v>
      </c>
      <c r="C1106" s="71">
        <v>1908444768.8151801</v>
      </c>
    </row>
    <row r="1107" spans="1:3" ht="13">
      <c r="A1107" s="72">
        <v>43329</v>
      </c>
      <c r="B1107" s="71">
        <v>316.21421520400003</v>
      </c>
      <c r="C1107" s="71">
        <v>1804768312.7158501</v>
      </c>
    </row>
    <row r="1108" spans="1:3" ht="13">
      <c r="A1108" s="72">
        <v>43330</v>
      </c>
      <c r="B1108" s="71">
        <v>295.328417704</v>
      </c>
      <c r="C1108" s="71">
        <v>2129550574.9217</v>
      </c>
    </row>
    <row r="1109" spans="1:3" ht="13">
      <c r="A1109" s="72">
        <v>43331</v>
      </c>
      <c r="B1109" s="71">
        <v>301.367845031</v>
      </c>
      <c r="C1109" s="71">
        <v>1724583344.1308801</v>
      </c>
    </row>
    <row r="1110" spans="1:3" ht="13">
      <c r="A1110" s="72">
        <v>43332</v>
      </c>
      <c r="B1110" s="71">
        <v>275.355384012</v>
      </c>
      <c r="C1110" s="71">
        <v>1709111359.5176599</v>
      </c>
    </row>
    <row r="1111" spans="1:3" ht="13">
      <c r="A1111" s="72">
        <v>43333</v>
      </c>
      <c r="B1111" s="71">
        <v>282.47901820200002</v>
      </c>
      <c r="C1111" s="71">
        <v>1568020999.2212999</v>
      </c>
    </row>
    <row r="1112" spans="1:3" ht="13">
      <c r="A1112" s="72">
        <v>43334</v>
      </c>
      <c r="B1112" s="71">
        <v>272.10363854299999</v>
      </c>
      <c r="C1112" s="71">
        <v>1581320950.01158</v>
      </c>
    </row>
    <row r="1113" spans="1:3" ht="13">
      <c r="A1113" s="72">
        <v>43335</v>
      </c>
      <c r="B1113" s="71">
        <v>278.16562634000002</v>
      </c>
      <c r="C1113" s="71">
        <v>1501258905.5090001</v>
      </c>
    </row>
    <row r="1114" spans="1:3" ht="13">
      <c r="A1114" s="72">
        <v>43336</v>
      </c>
      <c r="B1114" s="71">
        <v>283.79412285500001</v>
      </c>
      <c r="C1114" s="71">
        <v>1454832379.6055901</v>
      </c>
    </row>
    <row r="1115" spans="1:3" ht="13">
      <c r="A1115" s="72">
        <v>43337</v>
      </c>
      <c r="B1115" s="71">
        <v>280.373488092</v>
      </c>
      <c r="C1115" s="71">
        <v>1495781214.6240301</v>
      </c>
    </row>
    <row r="1116" spans="1:3" ht="13">
      <c r="A1116" s="72">
        <v>43338</v>
      </c>
      <c r="B1116" s="71">
        <v>276.03767230300002</v>
      </c>
      <c r="C1116" s="71">
        <v>1332276836.64433</v>
      </c>
    </row>
    <row r="1117" spans="1:3" ht="13">
      <c r="A1117" s="72">
        <v>43339</v>
      </c>
      <c r="B1117" s="71">
        <v>287.16918503900001</v>
      </c>
      <c r="C1117" s="71">
        <v>1457587817.4888799</v>
      </c>
    </row>
    <row r="1118" spans="1:3" ht="13">
      <c r="A1118" s="72">
        <v>43340</v>
      </c>
      <c r="B1118" s="71">
        <v>297.804142974</v>
      </c>
      <c r="C1118" s="71">
        <v>1574017459.7885201</v>
      </c>
    </row>
    <row r="1119" spans="1:3" ht="13">
      <c r="A1119" s="72">
        <v>43341</v>
      </c>
      <c r="B1119" s="71">
        <v>290.35135366899999</v>
      </c>
      <c r="C1119" s="71">
        <v>1592823778.10447</v>
      </c>
    </row>
    <row r="1120" spans="1:3" ht="13">
      <c r="A1120" s="72">
        <v>43342</v>
      </c>
      <c r="B1120" s="71">
        <v>285.58354023300001</v>
      </c>
      <c r="C1120" s="71">
        <v>1563566622.90236</v>
      </c>
    </row>
    <row r="1121" spans="1:3" ht="13">
      <c r="A1121" s="72">
        <v>43343</v>
      </c>
      <c r="B1121" s="71">
        <v>283.78083216700003</v>
      </c>
      <c r="C1121" s="71">
        <v>1589750941.4826701</v>
      </c>
    </row>
    <row r="1122" spans="1:3" ht="13">
      <c r="A1122" s="72">
        <v>43344</v>
      </c>
      <c r="B1122" s="71">
        <v>297.09424227900001</v>
      </c>
      <c r="C1122" s="71">
        <v>1499702084.7850699</v>
      </c>
    </row>
    <row r="1123" spans="1:3" ht="13">
      <c r="A1123" s="72">
        <v>43345</v>
      </c>
      <c r="B1123" s="71">
        <v>296.925358905</v>
      </c>
      <c r="C1123" s="71">
        <v>1606692144.8466499</v>
      </c>
    </row>
    <row r="1124" spans="1:3" ht="13">
      <c r="A1124" s="72">
        <v>43346</v>
      </c>
      <c r="B1124" s="71">
        <v>289.19987707799999</v>
      </c>
      <c r="C1124" s="71">
        <v>1442385684.8187399</v>
      </c>
    </row>
    <row r="1125" spans="1:3" ht="13">
      <c r="A1125" s="72">
        <v>43347</v>
      </c>
      <c r="B1125" s="71">
        <v>285.52422320699998</v>
      </c>
      <c r="C1125" s="71">
        <v>1602560338.7056999</v>
      </c>
    </row>
    <row r="1126" spans="1:3" ht="13">
      <c r="A1126" s="72">
        <v>43348</v>
      </c>
      <c r="B1126" s="71">
        <v>228.65777428300001</v>
      </c>
      <c r="C1126" s="71">
        <v>1860916323.4165201</v>
      </c>
    </row>
    <row r="1127" spans="1:3" ht="13">
      <c r="A1127" s="72">
        <v>43349</v>
      </c>
      <c r="B1127" s="71">
        <v>229.355645154</v>
      </c>
      <c r="C1127" s="71">
        <v>2615115487.1876502</v>
      </c>
    </row>
    <row r="1128" spans="1:3" ht="13">
      <c r="A1128" s="72">
        <v>43350</v>
      </c>
      <c r="B1128" s="71">
        <v>216.14720557999999</v>
      </c>
      <c r="C1128" s="71">
        <v>1686847643.2462599</v>
      </c>
    </row>
    <row r="1129" spans="1:3" ht="13">
      <c r="A1129" s="72">
        <v>43351</v>
      </c>
      <c r="B1129" s="71">
        <v>197.699321785</v>
      </c>
      <c r="C1129" s="71">
        <v>1440166262.2196</v>
      </c>
    </row>
    <row r="1130" spans="1:3" ht="13">
      <c r="A1130" s="72">
        <v>43352</v>
      </c>
      <c r="B1130" s="71">
        <v>196.25315194699999</v>
      </c>
      <c r="C1130" s="71">
        <v>1789731216.2066</v>
      </c>
    </row>
    <row r="1131" spans="1:3" ht="13">
      <c r="A1131" s="72">
        <v>43353</v>
      </c>
      <c r="B1131" s="71">
        <v>196.83573073700001</v>
      </c>
      <c r="C1131" s="71">
        <v>1556431223.69383</v>
      </c>
    </row>
    <row r="1132" spans="1:3" ht="13">
      <c r="A1132" s="72">
        <v>43354</v>
      </c>
      <c r="B1132" s="71">
        <v>184.42524399800001</v>
      </c>
      <c r="C1132" s="71">
        <v>1539267774.6299901</v>
      </c>
    </row>
    <row r="1133" spans="1:3" ht="13">
      <c r="A1133" s="72">
        <v>43355</v>
      </c>
      <c r="B1133" s="71">
        <v>183.17707941500001</v>
      </c>
      <c r="C1133" s="71">
        <v>1714418333.9426501</v>
      </c>
    </row>
    <row r="1134" spans="1:3" ht="13">
      <c r="A1134" s="72">
        <v>43356</v>
      </c>
      <c r="B1134" s="71">
        <v>211.727316282</v>
      </c>
      <c r="C1134" s="71">
        <v>1961301192.85603</v>
      </c>
    </row>
    <row r="1135" spans="1:3" ht="13">
      <c r="A1135" s="72">
        <v>43357</v>
      </c>
      <c r="B1135" s="71">
        <v>211.53743301</v>
      </c>
      <c r="C1135" s="71">
        <v>2397379383.10746</v>
      </c>
    </row>
    <row r="1136" spans="1:3" ht="13">
      <c r="A1136" s="72">
        <v>43358</v>
      </c>
      <c r="B1136" s="71">
        <v>223.184191656</v>
      </c>
      <c r="C1136" s="71">
        <v>1894552306.7430201</v>
      </c>
    </row>
    <row r="1137" spans="1:3" ht="13">
      <c r="A1137" s="72">
        <v>43359</v>
      </c>
      <c r="B1137" s="71">
        <v>220.264163483</v>
      </c>
      <c r="C1137" s="71">
        <v>1594373799.3283899</v>
      </c>
    </row>
    <row r="1138" spans="1:3" ht="13">
      <c r="A1138" s="72">
        <v>43360</v>
      </c>
      <c r="B1138" s="71">
        <v>197.065732258</v>
      </c>
      <c r="C1138" s="71">
        <v>1630898616.1813099</v>
      </c>
    </row>
    <row r="1139" spans="1:3" ht="13">
      <c r="A1139" s="72">
        <v>43361</v>
      </c>
      <c r="B1139" s="71">
        <v>210.19112831499999</v>
      </c>
      <c r="C1139" s="71">
        <v>2018346156.49722</v>
      </c>
    </row>
    <row r="1140" spans="1:3" ht="13">
      <c r="A1140" s="72">
        <v>43362</v>
      </c>
      <c r="B1140" s="71">
        <v>209.6285963</v>
      </c>
      <c r="C1140" s="71">
        <v>1662584519.9058299</v>
      </c>
    </row>
    <row r="1141" spans="1:3" ht="13">
      <c r="A1141" s="72">
        <v>43363</v>
      </c>
      <c r="B1141" s="71">
        <v>224.23299257900001</v>
      </c>
      <c r="C1141" s="71">
        <v>1682559349.02337</v>
      </c>
    </row>
    <row r="1142" spans="1:3" ht="13">
      <c r="A1142" s="72">
        <v>43364</v>
      </c>
      <c r="B1142" s="71">
        <v>247.58817990399999</v>
      </c>
      <c r="C1142" s="71">
        <v>2364139721.2806401</v>
      </c>
    </row>
    <row r="1143" spans="1:3" ht="13">
      <c r="A1143" s="72">
        <v>43365</v>
      </c>
      <c r="B1143" s="71">
        <v>240.49798979100001</v>
      </c>
      <c r="C1143" s="71">
        <v>2518403031.8722</v>
      </c>
    </row>
    <row r="1144" spans="1:3" ht="13">
      <c r="A1144" s="72">
        <v>43366</v>
      </c>
      <c r="B1144" s="71">
        <v>244.68302680299999</v>
      </c>
      <c r="C1144" s="71">
        <v>1580549606.9395399</v>
      </c>
    </row>
    <row r="1145" spans="1:3" ht="13">
      <c r="A1145" s="72">
        <v>43367</v>
      </c>
      <c r="B1145" s="71">
        <v>228.47209510600001</v>
      </c>
      <c r="C1145" s="71">
        <v>1731074557.1143301</v>
      </c>
    </row>
    <row r="1146" spans="1:3" ht="13">
      <c r="A1146" s="72">
        <v>43368</v>
      </c>
      <c r="B1146" s="71">
        <v>218.500753393</v>
      </c>
      <c r="C1146" s="71">
        <v>2033839487.8268199</v>
      </c>
    </row>
    <row r="1147" spans="1:3" ht="13">
      <c r="A1147" s="72">
        <v>43369</v>
      </c>
      <c r="B1147" s="71">
        <v>215.604342135</v>
      </c>
      <c r="C1147" s="71">
        <v>1923346003.36184</v>
      </c>
    </row>
    <row r="1148" spans="1:3" ht="13">
      <c r="A1148" s="72">
        <v>43370</v>
      </c>
      <c r="B1148" s="71">
        <v>228.566587989</v>
      </c>
      <c r="C1148" s="71">
        <v>1756496516.75172</v>
      </c>
    </row>
    <row r="1149" spans="1:3" ht="13">
      <c r="A1149" s="72">
        <v>43371</v>
      </c>
      <c r="B1149" s="71">
        <v>222.32912509600001</v>
      </c>
      <c r="C1149" s="71">
        <v>2077407208.6365499</v>
      </c>
    </row>
    <row r="1150" spans="1:3" ht="13">
      <c r="A1150" s="72">
        <v>43372</v>
      </c>
      <c r="B1150" s="71">
        <v>231.75412851600001</v>
      </c>
      <c r="C1150" s="71">
        <v>2094669615.6860001</v>
      </c>
    </row>
    <row r="1151" spans="1:3" ht="13">
      <c r="A1151" s="72">
        <v>43373</v>
      </c>
      <c r="B1151" s="71">
        <v>232.42222713000001</v>
      </c>
      <c r="C1151" s="71">
        <v>1915563572.7987299</v>
      </c>
    </row>
    <row r="1152" spans="1:3" ht="13">
      <c r="A1152" s="72">
        <v>43374</v>
      </c>
      <c r="B1152" s="71">
        <v>231.14025762</v>
      </c>
      <c r="C1152" s="71">
        <v>1693750598.2402599</v>
      </c>
    </row>
    <row r="1153" spans="1:3" ht="13">
      <c r="A1153" s="72">
        <v>43375</v>
      </c>
      <c r="B1153" s="71">
        <v>226.055204761</v>
      </c>
      <c r="C1153" s="71">
        <v>1471903397.4419301</v>
      </c>
    </row>
    <row r="1154" spans="1:3" ht="13">
      <c r="A1154" s="72">
        <v>43376</v>
      </c>
      <c r="B1154" s="71">
        <v>220.343251826</v>
      </c>
      <c r="C1154" s="71">
        <v>1621403714.36061</v>
      </c>
    </row>
    <row r="1155" spans="1:3" ht="13">
      <c r="A1155" s="72">
        <v>43377</v>
      </c>
      <c r="B1155" s="71">
        <v>222.02091501500001</v>
      </c>
      <c r="C1155" s="71">
        <v>1544416386.8698599</v>
      </c>
    </row>
    <row r="1156" spans="1:3" ht="13">
      <c r="A1156" s="72">
        <v>43378</v>
      </c>
      <c r="B1156" s="71">
        <v>227.79317361099999</v>
      </c>
      <c r="C1156" s="71">
        <v>1419427289.13817</v>
      </c>
    </row>
    <row r="1157" spans="1:3" ht="13">
      <c r="A1157" s="72">
        <v>43379</v>
      </c>
      <c r="B1157" s="71">
        <v>225.01666722900001</v>
      </c>
      <c r="C1157" s="71">
        <v>1330024661.8594301</v>
      </c>
    </row>
    <row r="1158" spans="1:3" ht="13">
      <c r="A1158" s="72">
        <v>43380</v>
      </c>
      <c r="B1158" s="71">
        <v>225.74132844499999</v>
      </c>
      <c r="C1158" s="71">
        <v>1153885198.8350599</v>
      </c>
    </row>
    <row r="1159" spans="1:3" ht="13">
      <c r="A1159" s="72">
        <v>43381</v>
      </c>
      <c r="B1159" s="71">
        <v>229.38246017700001</v>
      </c>
      <c r="C1159" s="71">
        <v>1371710431.1573701</v>
      </c>
    </row>
    <row r="1160" spans="1:3" ht="13">
      <c r="A1160" s="72">
        <v>43382</v>
      </c>
      <c r="B1160" s="71">
        <v>228.01027890200001</v>
      </c>
      <c r="C1160" s="71">
        <v>1386440314.80004</v>
      </c>
    </row>
    <row r="1161" spans="1:3" ht="13">
      <c r="A1161" s="72">
        <v>43383</v>
      </c>
      <c r="B1161" s="71">
        <v>226.06552871900001</v>
      </c>
      <c r="C1161" s="71">
        <v>1227078387.1052499</v>
      </c>
    </row>
    <row r="1162" spans="1:3" ht="13">
      <c r="A1162" s="72">
        <v>43384</v>
      </c>
      <c r="B1162" s="71">
        <v>191.93536041900001</v>
      </c>
      <c r="C1162" s="71">
        <v>1831121598.71909</v>
      </c>
    </row>
    <row r="1163" spans="1:3" ht="13">
      <c r="A1163" s="72">
        <v>43385</v>
      </c>
      <c r="B1163" s="71">
        <v>197.33947602200001</v>
      </c>
      <c r="C1163" s="71">
        <v>1685124034.53422</v>
      </c>
    </row>
    <row r="1164" spans="1:3" ht="13">
      <c r="A1164" s="72">
        <v>43386</v>
      </c>
      <c r="B1164" s="71">
        <v>200.94234658100001</v>
      </c>
      <c r="C1164" s="71">
        <v>1221661817.4277301</v>
      </c>
    </row>
    <row r="1165" spans="1:3" ht="13">
      <c r="A1165" s="72">
        <v>43387</v>
      </c>
      <c r="B1165" s="71">
        <v>196.34094129299999</v>
      </c>
      <c r="C1165" s="71">
        <v>1014050707.06443</v>
      </c>
    </row>
    <row r="1166" spans="1:3" ht="13">
      <c r="A1166" s="72">
        <v>43388</v>
      </c>
      <c r="B1166" s="71">
        <v>209.15359773399999</v>
      </c>
      <c r="C1166" s="71">
        <v>2211207003.2947602</v>
      </c>
    </row>
    <row r="1167" spans="1:3" ht="13">
      <c r="A1167" s="72">
        <v>43389</v>
      </c>
      <c r="B1167" s="71">
        <v>208.32063573400001</v>
      </c>
      <c r="C1167" s="71">
        <v>1931252482.13727</v>
      </c>
    </row>
    <row r="1168" spans="1:3" ht="13">
      <c r="A1168" s="72">
        <v>43390</v>
      </c>
      <c r="B1168" s="71">
        <v>206.26364078500001</v>
      </c>
      <c r="C1168" s="71">
        <v>1358316920.5898499</v>
      </c>
    </row>
    <row r="1169" spans="1:3" ht="13">
      <c r="A1169" s="72">
        <v>43391</v>
      </c>
      <c r="B1169" s="71">
        <v>202.76389610000001</v>
      </c>
      <c r="C1169" s="71">
        <v>1218414288.6341901</v>
      </c>
    </row>
    <row r="1170" spans="1:3" ht="13">
      <c r="A1170" s="72">
        <v>43392</v>
      </c>
      <c r="B1170" s="71">
        <v>202.94087789299999</v>
      </c>
      <c r="C1170" s="71">
        <v>1155586144.8147099</v>
      </c>
    </row>
    <row r="1171" spans="1:3" ht="13">
      <c r="A1171" s="72">
        <v>43393</v>
      </c>
      <c r="B1171" s="71">
        <v>204.200291435</v>
      </c>
      <c r="C1171" s="71">
        <v>1051407737.76946</v>
      </c>
    </row>
    <row r="1172" spans="1:3" ht="13">
      <c r="A1172" s="72">
        <v>43394</v>
      </c>
      <c r="B1172" s="71">
        <v>203.94019220000001</v>
      </c>
      <c r="C1172" s="71">
        <v>976382245.088642</v>
      </c>
    </row>
    <row r="1173" spans="1:3" ht="13">
      <c r="A1173" s="72">
        <v>43395</v>
      </c>
      <c r="B1173" s="71">
        <v>202.76192886600001</v>
      </c>
      <c r="C1173" s="71">
        <v>1089102079.5836101</v>
      </c>
    </row>
    <row r="1174" spans="1:3" ht="13">
      <c r="A1174" s="72">
        <v>43396</v>
      </c>
      <c r="B1174" s="71">
        <v>201.27568922899999</v>
      </c>
      <c r="C1174" s="71">
        <v>1166809767.63237</v>
      </c>
    </row>
    <row r="1175" spans="1:3" ht="13">
      <c r="A1175" s="72">
        <v>43397</v>
      </c>
      <c r="B1175" s="71">
        <v>200.08477721200001</v>
      </c>
      <c r="C1175" s="71">
        <v>1210534037.5705299</v>
      </c>
    </row>
    <row r="1176" spans="1:3" ht="13">
      <c r="A1176" s="72">
        <v>43398</v>
      </c>
      <c r="B1176" s="71">
        <v>200.30982653300001</v>
      </c>
      <c r="C1176" s="71">
        <v>1345230925.3606901</v>
      </c>
    </row>
    <row r="1177" spans="1:3" ht="13">
      <c r="A1177" s="72">
        <v>43399</v>
      </c>
      <c r="B1177" s="71">
        <v>201.25260110900001</v>
      </c>
      <c r="C1177" s="71">
        <v>1158329832.13977</v>
      </c>
    </row>
    <row r="1178" spans="1:3" ht="13">
      <c r="A1178" s="72">
        <v>43400</v>
      </c>
      <c r="B1178" s="71">
        <v>201.52642634899999</v>
      </c>
      <c r="C1178" s="71">
        <v>1085812764.23315</v>
      </c>
    </row>
    <row r="1179" spans="1:3" ht="13">
      <c r="A1179" s="72">
        <v>43401</v>
      </c>
      <c r="B1179" s="71">
        <v>202.03834210799999</v>
      </c>
      <c r="C1179" s="71">
        <v>989519528.27614295</v>
      </c>
    </row>
    <row r="1180" spans="1:3" ht="13">
      <c r="A1180" s="72">
        <v>43402</v>
      </c>
      <c r="B1180" s="71">
        <v>194.06833797900001</v>
      </c>
      <c r="C1180" s="71">
        <v>1150609656.0183499</v>
      </c>
    </row>
    <row r="1181" spans="1:3" ht="13">
      <c r="A1181" s="72">
        <v>43403</v>
      </c>
      <c r="B1181" s="71">
        <v>195.751946051</v>
      </c>
      <c r="C1181" s="71">
        <v>1254027584.4842801</v>
      </c>
    </row>
    <row r="1182" spans="1:3" ht="13">
      <c r="A1182" s="72">
        <v>43404</v>
      </c>
      <c r="B1182" s="71">
        <v>196.44116776300001</v>
      </c>
      <c r="C1182" s="71">
        <v>1203005401.16975</v>
      </c>
    </row>
    <row r="1183" spans="1:3" ht="13">
      <c r="A1183" s="72">
        <v>43405</v>
      </c>
      <c r="B1183" s="71">
        <v>198.41938743</v>
      </c>
      <c r="C1183" s="71">
        <v>1155212191.2372</v>
      </c>
    </row>
    <row r="1184" spans="1:3" ht="13">
      <c r="A1184" s="72">
        <v>43406</v>
      </c>
      <c r="B1184" s="71">
        <v>201.3735566</v>
      </c>
      <c r="C1184" s="71">
        <v>1177911934.3656499</v>
      </c>
    </row>
    <row r="1185" spans="1:3" ht="13">
      <c r="A1185" s="72">
        <v>43407</v>
      </c>
      <c r="B1185" s="71">
        <v>199.78413638399999</v>
      </c>
      <c r="C1185" s="71">
        <v>1125960020.9723499</v>
      </c>
    </row>
    <row r="1186" spans="1:3" ht="13">
      <c r="A1186" s="72">
        <v>43408</v>
      </c>
      <c r="B1186" s="71">
        <v>210.71075943</v>
      </c>
      <c r="C1186" s="71">
        <v>1284973175.8646901</v>
      </c>
    </row>
    <row r="1187" spans="1:3" ht="13">
      <c r="A1187" s="72">
        <v>43409</v>
      </c>
      <c r="B1187" s="71">
        <v>208.62092827500001</v>
      </c>
      <c r="C1187" s="71">
        <v>1545559633.63656</v>
      </c>
    </row>
    <row r="1188" spans="1:3" ht="13">
      <c r="A1188" s="72">
        <v>43410</v>
      </c>
      <c r="B1188" s="71">
        <v>217.364755237</v>
      </c>
      <c r="C1188" s="71">
        <v>1456994351.3655</v>
      </c>
    </row>
    <row r="1189" spans="1:3" ht="13">
      <c r="A1189" s="72">
        <v>43411</v>
      </c>
      <c r="B1189" s="71">
        <v>217.49351489399999</v>
      </c>
      <c r="C1189" s="71">
        <v>1697398408.5579901</v>
      </c>
    </row>
    <row r="1190" spans="1:3" ht="13">
      <c r="A1190" s="72">
        <v>43412</v>
      </c>
      <c r="B1190" s="71">
        <v>212.66223384200001</v>
      </c>
      <c r="C1190" s="71">
        <v>1479034532.0059099</v>
      </c>
    </row>
    <row r="1191" spans="1:3" ht="13">
      <c r="A1191" s="72">
        <v>43413</v>
      </c>
      <c r="B1191" s="71">
        <v>210.18069971599999</v>
      </c>
      <c r="C1191" s="71">
        <v>1448285590.2135701</v>
      </c>
    </row>
    <row r="1192" spans="1:3" ht="13">
      <c r="A1192" s="72">
        <v>43414</v>
      </c>
      <c r="B1192" s="71">
        <v>211.93618508099999</v>
      </c>
      <c r="C1192" s="71">
        <v>1254392662.65887</v>
      </c>
    </row>
    <row r="1193" spans="1:3" ht="13">
      <c r="A1193" s="72">
        <v>43415</v>
      </c>
      <c r="B1193" s="71">
        <v>211.59029234400001</v>
      </c>
      <c r="C1193" s="71">
        <v>1202939246.2578199</v>
      </c>
    </row>
    <row r="1194" spans="1:3" ht="13">
      <c r="A1194" s="72">
        <v>43416</v>
      </c>
      <c r="B1194" s="71">
        <v>209.91632724600001</v>
      </c>
      <c r="C1194" s="71">
        <v>1241211074.99858</v>
      </c>
    </row>
    <row r="1195" spans="1:3" ht="13">
      <c r="A1195" s="72">
        <v>43417</v>
      </c>
      <c r="B1195" s="71">
        <v>207.266936794</v>
      </c>
      <c r="C1195" s="71">
        <v>1180406434.67345</v>
      </c>
    </row>
    <row r="1196" spans="1:3" ht="13">
      <c r="A1196" s="72">
        <v>43418</v>
      </c>
      <c r="B1196" s="71">
        <v>182.275778151</v>
      </c>
      <c r="C1196" s="71">
        <v>1602919926.94559</v>
      </c>
    </row>
    <row r="1197" spans="1:3" ht="13">
      <c r="A1197" s="72">
        <v>43419</v>
      </c>
      <c r="B1197" s="71">
        <v>182.015270738</v>
      </c>
      <c r="C1197" s="71">
        <v>2659668412.64292</v>
      </c>
    </row>
    <row r="1198" spans="1:3" ht="13">
      <c r="A1198" s="72">
        <v>43420</v>
      </c>
      <c r="B1198" s="71">
        <v>176.32328827500001</v>
      </c>
      <c r="C1198" s="71">
        <v>1900410345.1501801</v>
      </c>
    </row>
    <row r="1199" spans="1:3" ht="13">
      <c r="A1199" s="72">
        <v>43421</v>
      </c>
      <c r="B1199" s="71">
        <v>176.807292827</v>
      </c>
      <c r="C1199" s="71">
        <v>1567509034.6159301</v>
      </c>
    </row>
    <row r="1200" spans="1:3" ht="13">
      <c r="A1200" s="72">
        <v>43422</v>
      </c>
      <c r="B1200" s="71">
        <v>177.91109370999999</v>
      </c>
      <c r="C1200" s="71">
        <v>1445180402.9572799</v>
      </c>
    </row>
    <row r="1201" spans="1:3" ht="13">
      <c r="A1201" s="72">
        <v>43423</v>
      </c>
      <c r="B1201" s="71">
        <v>150.55775007299999</v>
      </c>
      <c r="C1201" s="71">
        <v>1864120447.7332799</v>
      </c>
    </row>
    <row r="1202" spans="1:3" ht="13">
      <c r="A1202" s="72">
        <v>43424</v>
      </c>
      <c r="B1202" s="71">
        <v>132.70650040199999</v>
      </c>
      <c r="C1202" s="71">
        <v>2536765871.7707601</v>
      </c>
    </row>
    <row r="1203" spans="1:3" ht="13">
      <c r="A1203" s="72">
        <v>43425</v>
      </c>
      <c r="B1203" s="71">
        <v>137.10808875800001</v>
      </c>
      <c r="C1203" s="71">
        <v>2551877652.6366601</v>
      </c>
    </row>
    <row r="1204" spans="1:3" ht="13">
      <c r="A1204" s="72">
        <v>43426</v>
      </c>
      <c r="B1204" s="71">
        <v>127.589288881</v>
      </c>
      <c r="C1204" s="71">
        <v>1636099258.4251001</v>
      </c>
    </row>
    <row r="1205" spans="1:3" ht="13">
      <c r="A1205" s="72">
        <v>43427</v>
      </c>
      <c r="B1205" s="71">
        <v>124.741107908</v>
      </c>
      <c r="C1205" s="71">
        <v>1572704411.75631</v>
      </c>
    </row>
    <row r="1206" spans="1:3" ht="13">
      <c r="A1206" s="72">
        <v>43428</v>
      </c>
      <c r="B1206" s="71">
        <v>114.13525196499999</v>
      </c>
      <c r="C1206" s="71">
        <v>1342436024.9356301</v>
      </c>
    </row>
    <row r="1207" spans="1:3" ht="13">
      <c r="A1207" s="72">
        <v>43429</v>
      </c>
      <c r="B1207" s="71">
        <v>116.589998161</v>
      </c>
      <c r="C1207" s="71">
        <v>1764555937.2297599</v>
      </c>
    </row>
    <row r="1208" spans="1:3" ht="13">
      <c r="A1208" s="72">
        <v>43430</v>
      </c>
      <c r="B1208" s="71">
        <v>109.045261321</v>
      </c>
      <c r="C1208" s="71">
        <v>1753267538.15011</v>
      </c>
    </row>
    <row r="1209" spans="1:3" ht="13">
      <c r="A1209" s="72">
        <v>43431</v>
      </c>
      <c r="B1209" s="71">
        <v>110.41637055299999</v>
      </c>
      <c r="C1209" s="71">
        <v>1649020217.5301299</v>
      </c>
    </row>
    <row r="1210" spans="1:3" ht="13">
      <c r="A1210" s="72">
        <v>43432</v>
      </c>
      <c r="B1210" s="71">
        <v>122.36700766600001</v>
      </c>
      <c r="C1210" s="71">
        <v>1893211802.7572899</v>
      </c>
    </row>
    <row r="1211" spans="1:3" ht="13">
      <c r="A1211" s="72">
        <v>43433</v>
      </c>
      <c r="B1211" s="71">
        <v>118.204595967</v>
      </c>
      <c r="C1211" s="71">
        <v>1790181536.9299901</v>
      </c>
    </row>
    <row r="1212" spans="1:3" ht="13">
      <c r="A1212" s="72">
        <v>43434</v>
      </c>
      <c r="B1212" s="71">
        <v>113.60557573200001</v>
      </c>
      <c r="C1212" s="71">
        <v>1525135034.5359001</v>
      </c>
    </row>
    <row r="1213" spans="1:3" ht="13">
      <c r="A1213" s="72">
        <v>43435</v>
      </c>
      <c r="B1213" s="71">
        <v>118.69005808999999</v>
      </c>
      <c r="C1213" s="71">
        <v>1526268999.2371199</v>
      </c>
    </row>
    <row r="1214" spans="1:3" ht="13">
      <c r="A1214" s="72">
        <v>43436</v>
      </c>
      <c r="B1214" s="71">
        <v>116.716256075</v>
      </c>
      <c r="C1214" s="71">
        <v>1306527884.3148701</v>
      </c>
    </row>
    <row r="1215" spans="1:3" ht="13">
      <c r="A1215" s="72">
        <v>43437</v>
      </c>
      <c r="B1215" s="71">
        <v>109.190722802</v>
      </c>
      <c r="C1215" s="71">
        <v>1208557803.99875</v>
      </c>
    </row>
    <row r="1216" spans="1:3" ht="13">
      <c r="A1216" s="72">
        <v>43438</v>
      </c>
      <c r="B1216" s="71">
        <v>110.324944922</v>
      </c>
      <c r="C1216" s="71">
        <v>1268020896.15101</v>
      </c>
    </row>
    <row r="1217" spans="1:3" ht="13">
      <c r="A1217" s="72">
        <v>43439</v>
      </c>
      <c r="B1217" s="71">
        <v>102.97394968899999</v>
      </c>
      <c r="C1217" s="71">
        <v>1285323668.5973599</v>
      </c>
    </row>
    <row r="1218" spans="1:3" ht="13">
      <c r="A1218" s="72">
        <v>43440</v>
      </c>
      <c r="B1218" s="71">
        <v>91.628068037000006</v>
      </c>
      <c r="C1218" s="71">
        <v>1543625269.8780799</v>
      </c>
    </row>
    <row r="1219" spans="1:3" ht="13">
      <c r="A1219" s="72">
        <v>43441</v>
      </c>
      <c r="B1219" s="71">
        <v>93.104053065000002</v>
      </c>
      <c r="C1219" s="71">
        <v>1783558319.42296</v>
      </c>
    </row>
    <row r="1220" spans="1:3" ht="13">
      <c r="A1220" s="72">
        <v>43442</v>
      </c>
      <c r="B1220" s="71">
        <v>91.733175226</v>
      </c>
      <c r="C1220" s="71">
        <v>1643177151.05426</v>
      </c>
    </row>
    <row r="1221" spans="1:3" ht="13">
      <c r="A1221" s="72">
        <v>43443</v>
      </c>
      <c r="B1221" s="71">
        <v>94.205929927</v>
      </c>
      <c r="C1221" s="71">
        <v>1407856197.6988699</v>
      </c>
    </row>
    <row r="1222" spans="1:3" ht="13">
      <c r="A1222" s="72">
        <v>43444</v>
      </c>
      <c r="B1222" s="71">
        <v>90.632666893999996</v>
      </c>
      <c r="C1222" s="71">
        <v>1316699648.38746</v>
      </c>
    </row>
    <row r="1223" spans="1:3" ht="13">
      <c r="A1223" s="72">
        <v>43445</v>
      </c>
      <c r="B1223" s="71">
        <v>88.003823605999997</v>
      </c>
      <c r="C1223" s="71">
        <v>1170265913.54246</v>
      </c>
    </row>
    <row r="1224" spans="1:3" ht="13">
      <c r="A1224" s="72">
        <v>43446</v>
      </c>
      <c r="B1224" s="71">
        <v>90.269542305000002</v>
      </c>
      <c r="C1224" s="71">
        <v>1243068789.54759</v>
      </c>
    </row>
    <row r="1225" spans="1:3" ht="13">
      <c r="A1225" s="72">
        <v>43447</v>
      </c>
      <c r="B1225" s="71">
        <v>86.460349335999993</v>
      </c>
      <c r="C1225" s="71">
        <v>1042971043.7159801</v>
      </c>
    </row>
    <row r="1226" spans="1:3" ht="13">
      <c r="A1226" s="72">
        <v>43448</v>
      </c>
      <c r="B1226" s="71">
        <v>84.248953487999998</v>
      </c>
      <c r="C1226" s="71">
        <v>1135480895.7207</v>
      </c>
    </row>
    <row r="1227" spans="1:3" ht="13">
      <c r="A1227" s="72">
        <v>43449</v>
      </c>
      <c r="B1227" s="71">
        <v>84.403622982000002</v>
      </c>
      <c r="C1227" s="71">
        <v>1019840144.60594</v>
      </c>
    </row>
    <row r="1228" spans="1:3" ht="13">
      <c r="A1228" s="72">
        <v>43450</v>
      </c>
      <c r="B1228" s="71">
        <v>85.464172747000006</v>
      </c>
      <c r="C1228" s="71">
        <v>987327768.62550104</v>
      </c>
    </row>
    <row r="1229" spans="1:3" ht="13">
      <c r="A1229" s="72">
        <v>43451</v>
      </c>
      <c r="B1229" s="71">
        <v>94.428177138999999</v>
      </c>
      <c r="C1229" s="71">
        <v>1124022982.99635</v>
      </c>
    </row>
    <row r="1230" spans="1:3" ht="13">
      <c r="A1230" s="72">
        <v>43452</v>
      </c>
      <c r="B1230" s="71">
        <v>100.41540947999999</v>
      </c>
      <c r="C1230" s="71">
        <v>1554229107.2522199</v>
      </c>
    </row>
    <row r="1231" spans="1:3" ht="13">
      <c r="A1231" s="72">
        <v>43453</v>
      </c>
      <c r="B1231" s="71">
        <v>100.202581079</v>
      </c>
      <c r="C1231" s="71">
        <v>1904154585.71942</v>
      </c>
    </row>
    <row r="1232" spans="1:3" ht="13">
      <c r="A1232" s="72">
        <v>43454</v>
      </c>
      <c r="B1232" s="71">
        <v>115.46720197800001</v>
      </c>
      <c r="C1232" s="71">
        <v>1991320986.10618</v>
      </c>
    </row>
    <row r="1233" spans="1:3" ht="13">
      <c r="A1233" s="72">
        <v>43455</v>
      </c>
      <c r="B1233" s="71">
        <v>108.875011289</v>
      </c>
      <c r="C1233" s="71">
        <v>2272403172.6224399</v>
      </c>
    </row>
    <row r="1234" spans="1:3" ht="13">
      <c r="A1234" s="72">
        <v>43456</v>
      </c>
      <c r="B1234" s="71">
        <v>115.64099545800001</v>
      </c>
      <c r="C1234" s="71">
        <v>1772395075.8989201</v>
      </c>
    </row>
    <row r="1235" spans="1:3" ht="13">
      <c r="A1235" s="72">
        <v>43457</v>
      </c>
      <c r="B1235" s="71">
        <v>130.386511407</v>
      </c>
      <c r="C1235" s="71">
        <v>2572839962.94453</v>
      </c>
    </row>
    <row r="1236" spans="1:3" ht="13">
      <c r="A1236" s="72">
        <v>43458</v>
      </c>
      <c r="B1236" s="71">
        <v>138.792608833</v>
      </c>
      <c r="C1236" s="71">
        <v>3237647931.02984</v>
      </c>
    </row>
    <row r="1237" spans="1:3" ht="13">
      <c r="A1237" s="72">
        <v>43459</v>
      </c>
      <c r="B1237" s="71">
        <v>128.613865793</v>
      </c>
      <c r="C1237" s="71">
        <v>2970830198.1219802</v>
      </c>
    </row>
    <row r="1238" spans="1:3" ht="13">
      <c r="A1238" s="72">
        <v>43460</v>
      </c>
      <c r="B1238" s="71">
        <v>131.21467172800001</v>
      </c>
      <c r="C1238" s="71">
        <v>2375531057.6905499</v>
      </c>
    </row>
    <row r="1239" spans="1:3" ht="13">
      <c r="A1239" s="72">
        <v>43461</v>
      </c>
      <c r="B1239" s="71">
        <v>116.459195607</v>
      </c>
      <c r="C1239" s="71">
        <v>1939609514.46017</v>
      </c>
    </row>
    <row r="1240" spans="1:3" ht="13">
      <c r="A1240" s="72">
        <v>43462</v>
      </c>
      <c r="B1240" s="71">
        <v>136.46160269399999</v>
      </c>
      <c r="C1240" s="71">
        <v>2119176444.7060001</v>
      </c>
    </row>
    <row r="1241" spans="1:3" ht="13">
      <c r="A1241" s="72">
        <v>43463</v>
      </c>
      <c r="B1241" s="71">
        <v>138.964128886</v>
      </c>
      <c r="C1241" s="71">
        <v>2640124941.4670501</v>
      </c>
    </row>
    <row r="1242" spans="1:3" ht="13">
      <c r="A1242" s="72">
        <v>43464</v>
      </c>
      <c r="B1242" s="71">
        <v>139.700316238</v>
      </c>
      <c r="C1242" s="71">
        <v>2445660991.0541101</v>
      </c>
    </row>
    <row r="1243" spans="1:3" ht="13">
      <c r="A1243" s="72">
        <v>43465</v>
      </c>
      <c r="B1243" s="71">
        <v>133.26031252600001</v>
      </c>
      <c r="C1243" s="71">
        <v>1886464174.3731799</v>
      </c>
    </row>
    <row r="1244" spans="1:3" ht="13">
      <c r="A1244" s="72">
        <v>43466</v>
      </c>
      <c r="B1244" s="71">
        <v>140.550014675</v>
      </c>
      <c r="C1244" s="71">
        <v>1710779199.3573401</v>
      </c>
    </row>
    <row r="1245" spans="1:3" ht="13">
      <c r="A1245" s="72">
        <v>43467</v>
      </c>
      <c r="B1245" s="71">
        <v>155.89841378200001</v>
      </c>
      <c r="C1245" s="71">
        <v>2263167764.1621799</v>
      </c>
    </row>
    <row r="1246" spans="1:3" ht="13">
      <c r="A1246" s="72">
        <v>43468</v>
      </c>
      <c r="B1246" s="71">
        <v>149.49390555400001</v>
      </c>
      <c r="C1246" s="71">
        <v>2579074392.2917099</v>
      </c>
    </row>
    <row r="1247" spans="1:3" ht="13">
      <c r="A1247" s="72">
        <v>43469</v>
      </c>
      <c r="B1247" s="71">
        <v>155.59127836100001</v>
      </c>
      <c r="C1247" s="71">
        <v>2620928857.3145499</v>
      </c>
    </row>
    <row r="1248" spans="1:3" ht="13">
      <c r="A1248" s="72">
        <v>43470</v>
      </c>
      <c r="B1248" s="71">
        <v>157.270837228</v>
      </c>
      <c r="C1248" s="71">
        <v>3018437389.4230099</v>
      </c>
    </row>
    <row r="1249" spans="1:3" ht="13">
      <c r="A1249" s="72">
        <v>43471</v>
      </c>
      <c r="B1249" s="71">
        <v>157.770383073</v>
      </c>
      <c r="C1249" s="71">
        <v>2676833608.1251898</v>
      </c>
    </row>
    <row r="1250" spans="1:3" ht="13">
      <c r="A1250" s="72">
        <v>43472</v>
      </c>
      <c r="B1250" s="71">
        <v>151.88440907200001</v>
      </c>
      <c r="C1250" s="71">
        <v>2523270426.24016</v>
      </c>
    </row>
    <row r="1251" spans="1:3" ht="13">
      <c r="A1251" s="72">
        <v>43473</v>
      </c>
      <c r="B1251" s="71">
        <v>150.38652766499999</v>
      </c>
      <c r="C1251" s="71">
        <v>2013179883.72578</v>
      </c>
    </row>
    <row r="1252" spans="1:3" ht="13">
      <c r="A1252" s="72">
        <v>43474</v>
      </c>
      <c r="B1252" s="71">
        <v>150.77283621999999</v>
      </c>
      <c r="C1252" s="71">
        <v>1960519138.4122601</v>
      </c>
    </row>
    <row r="1253" spans="1:3" ht="13">
      <c r="A1253" s="72">
        <v>43475</v>
      </c>
      <c r="B1253" s="71">
        <v>128.71428757699999</v>
      </c>
      <c r="C1253" s="71">
        <v>2308224297.7479401</v>
      </c>
    </row>
    <row r="1254" spans="1:3" ht="13">
      <c r="A1254" s="72">
        <v>43476</v>
      </c>
      <c r="B1254" s="71">
        <v>127.347593714</v>
      </c>
      <c r="C1254" s="71">
        <v>2439262060.5631499</v>
      </c>
    </row>
    <row r="1255" spans="1:3" ht="13">
      <c r="A1255" s="72">
        <v>43477</v>
      </c>
      <c r="B1255" s="71">
        <v>126.48553033</v>
      </c>
      <c r="C1255" s="71">
        <v>1838285009.74016</v>
      </c>
    </row>
    <row r="1256" spans="1:3" ht="13">
      <c r="A1256" s="72">
        <v>43478</v>
      </c>
      <c r="B1256" s="71">
        <v>117.15406421599999</v>
      </c>
      <c r="C1256" s="71">
        <v>1546456642.2125599</v>
      </c>
    </row>
    <row r="1257" spans="1:3" ht="13">
      <c r="A1257" s="72">
        <v>43479</v>
      </c>
      <c r="B1257" s="71">
        <v>129.54772567099999</v>
      </c>
      <c r="C1257" s="71">
        <v>1954458503.6122701</v>
      </c>
    </row>
    <row r="1258" spans="1:3" ht="13">
      <c r="A1258" s="72">
        <v>43480</v>
      </c>
      <c r="B1258" s="71">
        <v>122.406386708</v>
      </c>
      <c r="C1258" s="71">
        <v>2226526615.9393601</v>
      </c>
    </row>
    <row r="1259" spans="1:3" ht="13">
      <c r="A1259" s="72">
        <v>43481</v>
      </c>
      <c r="B1259" s="71">
        <v>123.977412156</v>
      </c>
      <c r="C1259" s="71">
        <v>2316121239.7872701</v>
      </c>
    </row>
    <row r="1260" spans="1:3" ht="13">
      <c r="A1260" s="72">
        <v>43482</v>
      </c>
      <c r="B1260" s="71">
        <v>124.134497967</v>
      </c>
      <c r="C1260" s="71">
        <v>2054761547.6907499</v>
      </c>
    </row>
    <row r="1261" spans="1:3" ht="13">
      <c r="A1261" s="72">
        <v>43483</v>
      </c>
      <c r="B1261" s="71">
        <v>120.66179940000001</v>
      </c>
      <c r="C1261" s="71">
        <v>1879225864.9937401</v>
      </c>
    </row>
    <row r="1262" spans="1:3" ht="13">
      <c r="A1262" s="72">
        <v>43484</v>
      </c>
      <c r="B1262" s="71">
        <v>124.880216971</v>
      </c>
      <c r="C1262" s="71">
        <v>1843914504.52723</v>
      </c>
    </row>
    <row r="1263" spans="1:3" ht="13">
      <c r="A1263" s="72">
        <v>43485</v>
      </c>
      <c r="B1263" s="71">
        <v>118.831487311</v>
      </c>
      <c r="C1263" s="71">
        <v>2112369823.4152501</v>
      </c>
    </row>
    <row r="1264" spans="1:3" ht="13">
      <c r="A1264" s="72">
        <v>43486</v>
      </c>
      <c r="B1264" s="71">
        <v>118.091292059</v>
      </c>
      <c r="C1264" s="71">
        <v>1925177416.6819799</v>
      </c>
    </row>
    <row r="1265" spans="1:3" ht="13">
      <c r="A1265" s="72">
        <v>43487</v>
      </c>
      <c r="B1265" s="71">
        <v>119.21022265400001</v>
      </c>
      <c r="C1265" s="71">
        <v>1689532484.41993</v>
      </c>
    </row>
    <row r="1266" spans="1:3" ht="13">
      <c r="A1266" s="72">
        <v>43488</v>
      </c>
      <c r="B1266" s="71">
        <v>117.95657537699999</v>
      </c>
      <c r="C1266" s="71">
        <v>1550348613.19857</v>
      </c>
    </row>
    <row r="1267" spans="1:3" ht="13">
      <c r="A1267" s="72">
        <v>43489</v>
      </c>
      <c r="B1267" s="71">
        <v>117.51025419600001</v>
      </c>
      <c r="C1267" s="71">
        <v>1479354784.8299501</v>
      </c>
    </row>
    <row r="1268" spans="1:3" ht="13">
      <c r="A1268" s="72">
        <v>43490</v>
      </c>
      <c r="B1268" s="71">
        <v>115.983144217</v>
      </c>
      <c r="C1268" s="71">
        <v>1440967429.8410299</v>
      </c>
    </row>
    <row r="1269" spans="1:3" ht="13">
      <c r="A1269" s="72">
        <v>43491</v>
      </c>
      <c r="B1269" s="71">
        <v>116.109853589</v>
      </c>
      <c r="C1269" s="71">
        <v>1450181874.88854</v>
      </c>
    </row>
    <row r="1270" spans="1:3" ht="13">
      <c r="A1270" s="72">
        <v>43492</v>
      </c>
      <c r="B1270" s="71">
        <v>113.155774111</v>
      </c>
      <c r="C1270" s="71">
        <v>1456026371.7959599</v>
      </c>
    </row>
    <row r="1271" spans="1:3" ht="13">
      <c r="A1271" s="72">
        <v>43493</v>
      </c>
      <c r="B1271" s="71">
        <v>106.31658172</v>
      </c>
      <c r="C1271" s="71">
        <v>1767739978.4868801</v>
      </c>
    </row>
    <row r="1272" spans="1:3" ht="13">
      <c r="A1272" s="72">
        <v>43494</v>
      </c>
      <c r="B1272" s="71">
        <v>105.482331905</v>
      </c>
      <c r="C1272" s="71">
        <v>1757342922.26914</v>
      </c>
    </row>
    <row r="1273" spans="1:3" ht="13">
      <c r="A1273" s="72">
        <v>43495</v>
      </c>
      <c r="B1273" s="71">
        <v>108.633972688</v>
      </c>
      <c r="C1273" s="71">
        <v>1557630267.46032</v>
      </c>
    </row>
    <row r="1274" spans="1:3" ht="13">
      <c r="A1274" s="72">
        <v>43496</v>
      </c>
      <c r="B1274" s="71">
        <v>106.65134329200001</v>
      </c>
      <c r="C1274" s="71">
        <v>1599892821.63376</v>
      </c>
    </row>
    <row r="1275" spans="1:3" ht="13">
      <c r="A1275" s="72">
        <v>43497</v>
      </c>
      <c r="B1275" s="71">
        <v>107.362361814</v>
      </c>
      <c r="C1275" s="71">
        <v>1429073741.00283</v>
      </c>
    </row>
    <row r="1276" spans="1:3" ht="13">
      <c r="A1276" s="72">
        <v>43498</v>
      </c>
      <c r="B1276" s="71">
        <v>110.16496947500001</v>
      </c>
      <c r="C1276" s="71">
        <v>1285078414.48473</v>
      </c>
    </row>
    <row r="1277" spans="1:3" ht="13">
      <c r="A1277" s="72">
        <v>43499</v>
      </c>
      <c r="B1277" s="71">
        <v>107.141593847</v>
      </c>
      <c r="C1277" s="71">
        <v>1342594001.19209</v>
      </c>
    </row>
    <row r="1278" spans="1:3" ht="13">
      <c r="A1278" s="72">
        <v>43500</v>
      </c>
      <c r="B1278" s="71">
        <v>107.591711784</v>
      </c>
      <c r="C1278" s="71">
        <v>1405281072.2425201</v>
      </c>
    </row>
    <row r="1279" spans="1:3" ht="13">
      <c r="A1279" s="72">
        <v>43501</v>
      </c>
      <c r="B1279" s="71">
        <v>107.23033826299999</v>
      </c>
      <c r="C1279" s="71">
        <v>1424517638.16833</v>
      </c>
    </row>
    <row r="1280" spans="1:3" ht="13">
      <c r="A1280" s="72">
        <v>43502</v>
      </c>
      <c r="B1280" s="71">
        <v>104.74113199</v>
      </c>
      <c r="C1280" s="71">
        <v>1460412140.5773399</v>
      </c>
    </row>
    <row r="1281" spans="1:3" ht="13">
      <c r="A1281" s="72">
        <v>43503</v>
      </c>
      <c r="B1281" s="71">
        <v>103.992661751</v>
      </c>
      <c r="C1281" s="71">
        <v>1366267189.1628799</v>
      </c>
    </row>
    <row r="1282" spans="1:3" ht="13">
      <c r="A1282" s="72">
        <v>43504</v>
      </c>
      <c r="B1282" s="71">
        <v>118.496899614</v>
      </c>
      <c r="C1282" s="71">
        <v>1615769141.2341399</v>
      </c>
    </row>
    <row r="1283" spans="1:3" ht="13">
      <c r="A1283" s="72">
        <v>43505</v>
      </c>
      <c r="B1283" s="71">
        <v>118.937222914</v>
      </c>
      <c r="C1283" s="71">
        <v>2134300361.4435699</v>
      </c>
    </row>
    <row r="1284" spans="1:3" ht="13">
      <c r="A1284" s="72">
        <v>43506</v>
      </c>
      <c r="B1284" s="71">
        <v>124.42594857</v>
      </c>
      <c r="C1284" s="71">
        <v>1571836615.53089</v>
      </c>
    </row>
    <row r="1285" spans="1:3" ht="13">
      <c r="A1285" s="72">
        <v>43507</v>
      </c>
      <c r="B1285" s="71">
        <v>120.32493015999999</v>
      </c>
      <c r="C1285" s="71">
        <v>1929140742.7532101</v>
      </c>
    </row>
    <row r="1286" spans="1:3" ht="13">
      <c r="A1286" s="72">
        <v>43508</v>
      </c>
      <c r="B1286" s="71">
        <v>121.574635155</v>
      </c>
      <c r="C1286" s="71">
        <v>1783731348.4489999</v>
      </c>
    </row>
    <row r="1287" spans="1:3" ht="13">
      <c r="A1287" s="72">
        <v>43509</v>
      </c>
      <c r="B1287" s="71">
        <v>121.318915972</v>
      </c>
      <c r="C1287" s="71">
        <v>2025110848.55409</v>
      </c>
    </row>
    <row r="1288" spans="1:3" ht="13">
      <c r="A1288" s="72">
        <v>43510</v>
      </c>
      <c r="B1288" s="71">
        <v>120.311253998</v>
      </c>
      <c r="C1288" s="71">
        <v>2023629297.20713</v>
      </c>
    </row>
    <row r="1289" spans="1:3" ht="13">
      <c r="A1289" s="72">
        <v>43511</v>
      </c>
      <c r="B1289" s="71">
        <v>121.379346922</v>
      </c>
      <c r="C1289" s="71">
        <v>1644181229.3095601</v>
      </c>
    </row>
    <row r="1290" spans="1:3" ht="13">
      <c r="A1290" s="72">
        <v>43512</v>
      </c>
      <c r="B1290" s="71">
        <v>122.204996716</v>
      </c>
      <c r="C1290" s="71">
        <v>1568200890.8192799</v>
      </c>
    </row>
    <row r="1291" spans="1:3" ht="13">
      <c r="A1291" s="72">
        <v>43513</v>
      </c>
      <c r="B1291" s="71">
        <v>132.74285941100001</v>
      </c>
      <c r="C1291" s="71">
        <v>1651482832.2037399</v>
      </c>
    </row>
    <row r="1292" spans="1:3" ht="13">
      <c r="A1292" s="72">
        <v>43514</v>
      </c>
      <c r="B1292" s="71">
        <v>144.083050937</v>
      </c>
      <c r="C1292" s="71">
        <v>3149732055.6377902</v>
      </c>
    </row>
    <row r="1293" spans="1:3" ht="13">
      <c r="A1293" s="72">
        <v>43515</v>
      </c>
      <c r="B1293" s="71">
        <v>143.000486666</v>
      </c>
      <c r="C1293" s="71">
        <v>3730183250.7898402</v>
      </c>
    </row>
    <row r="1294" spans="1:3" ht="13">
      <c r="A1294" s="72">
        <v>43516</v>
      </c>
      <c r="B1294" s="71">
        <v>146.580005871</v>
      </c>
      <c r="C1294" s="71">
        <v>3153860002.0426602</v>
      </c>
    </row>
    <row r="1295" spans="1:3" ht="13">
      <c r="A1295" s="72">
        <v>43517</v>
      </c>
      <c r="B1295" s="71">
        <v>143.88504112999999</v>
      </c>
      <c r="C1295" s="71">
        <v>2888730852.29948</v>
      </c>
    </row>
    <row r="1296" spans="1:3" ht="13">
      <c r="A1296" s="72">
        <v>43518</v>
      </c>
      <c r="B1296" s="71">
        <v>147.95032004199999</v>
      </c>
      <c r="C1296" s="71">
        <v>2692896891.4365001</v>
      </c>
    </row>
    <row r="1297" spans="1:3" ht="13">
      <c r="A1297" s="72">
        <v>43519</v>
      </c>
      <c r="B1297" s="71">
        <v>157.97912450300001</v>
      </c>
      <c r="C1297" s="71">
        <v>3111615075.1680298</v>
      </c>
    </row>
    <row r="1298" spans="1:3" ht="13">
      <c r="A1298" s="72">
        <v>43520</v>
      </c>
      <c r="B1298" s="71">
        <v>136.399004297</v>
      </c>
      <c r="C1298" s="71">
        <v>4482864702.3341303</v>
      </c>
    </row>
    <row r="1299" spans="1:3" ht="13">
      <c r="A1299" s="72">
        <v>43521</v>
      </c>
      <c r="B1299" s="71">
        <v>139.50755495199999</v>
      </c>
      <c r="C1299" s="71">
        <v>4884696183.35009</v>
      </c>
    </row>
    <row r="1300" spans="1:3" ht="13">
      <c r="A1300" s="72">
        <v>43522</v>
      </c>
      <c r="B1300" s="71">
        <v>137.516299777</v>
      </c>
      <c r="C1300" s="71">
        <v>3546778404.06076</v>
      </c>
    </row>
    <row r="1301" spans="1:3" ht="13">
      <c r="A1301" s="72">
        <v>43523</v>
      </c>
      <c r="B1301" s="71">
        <v>135.83096409800001</v>
      </c>
      <c r="C1301" s="71">
        <v>3041459964.8484802</v>
      </c>
    </row>
    <row r="1302" spans="1:3" ht="13">
      <c r="A1302" s="72">
        <v>43524</v>
      </c>
      <c r="B1302" s="71">
        <v>136.62137909699999</v>
      </c>
      <c r="C1302" s="71">
        <v>3773429412.9577298</v>
      </c>
    </row>
    <row r="1303" spans="1:3" ht="13">
      <c r="A1303" s="72">
        <v>43525</v>
      </c>
      <c r="B1303" s="71">
        <v>135.648618548</v>
      </c>
      <c r="C1303" s="71">
        <v>3155305081.1659598</v>
      </c>
    </row>
    <row r="1304" spans="1:3" ht="13">
      <c r="A1304" s="72">
        <v>43526</v>
      </c>
      <c r="B1304" s="71">
        <v>133.52379706299999</v>
      </c>
      <c r="C1304" s="71">
        <v>2870342896.2982402</v>
      </c>
    </row>
    <row r="1305" spans="1:3" ht="13">
      <c r="A1305" s="72">
        <v>43527</v>
      </c>
      <c r="B1305" s="71">
        <v>133.46149577200001</v>
      </c>
      <c r="C1305" s="71">
        <v>2834338008.6700201</v>
      </c>
    </row>
    <row r="1306" spans="1:3" ht="13">
      <c r="A1306" s="72">
        <v>43528</v>
      </c>
      <c r="B1306" s="71">
        <v>127.15794610499999</v>
      </c>
      <c r="C1306" s="71">
        <v>3219195831.5183301</v>
      </c>
    </row>
    <row r="1307" spans="1:3" ht="13">
      <c r="A1307" s="72">
        <v>43529</v>
      </c>
      <c r="B1307" s="71">
        <v>136.39870582</v>
      </c>
      <c r="C1307" s="71">
        <v>3435325501.4295001</v>
      </c>
    </row>
    <row r="1308" spans="1:3" ht="13">
      <c r="A1308" s="72">
        <v>43530</v>
      </c>
      <c r="B1308" s="71">
        <v>137.92875556600001</v>
      </c>
      <c r="C1308" s="71">
        <v>4019349632.7986898</v>
      </c>
    </row>
    <row r="1309" spans="1:3" ht="13">
      <c r="A1309" s="72">
        <v>43531</v>
      </c>
      <c r="B1309" s="71">
        <v>137.28234291800001</v>
      </c>
      <c r="C1309" s="71">
        <v>3420718743.02145</v>
      </c>
    </row>
    <row r="1310" spans="1:3" ht="13">
      <c r="A1310" s="72">
        <v>43532</v>
      </c>
      <c r="B1310" s="71">
        <v>134.16646122399999</v>
      </c>
      <c r="C1310" s="71">
        <v>3327505390.3440299</v>
      </c>
    </row>
    <row r="1311" spans="1:3" ht="13">
      <c r="A1311" s="72">
        <v>43533</v>
      </c>
      <c r="B1311" s="71">
        <v>136.85454676500001</v>
      </c>
      <c r="C1311" s="71">
        <v>3687813182.2244301</v>
      </c>
    </row>
    <row r="1312" spans="1:3" ht="13">
      <c r="A1312" s="72">
        <v>43534</v>
      </c>
      <c r="B1312" s="71">
        <v>135.28075619399999</v>
      </c>
      <c r="C1312" s="71">
        <v>3506562930.6438899</v>
      </c>
    </row>
    <row r="1313" spans="1:3" ht="13">
      <c r="A1313" s="72">
        <v>43535</v>
      </c>
      <c r="B1313" s="71">
        <v>132.752646274</v>
      </c>
      <c r="C1313" s="71">
        <v>3360866574.7742901</v>
      </c>
    </row>
    <row r="1314" spans="1:3" ht="13">
      <c r="A1314" s="72">
        <v>43536</v>
      </c>
      <c r="B1314" s="71">
        <v>134.24634888200001</v>
      </c>
      <c r="C1314" s="71">
        <v>3797863100.0215402</v>
      </c>
    </row>
    <row r="1315" spans="1:3" ht="13">
      <c r="A1315" s="72">
        <v>43537</v>
      </c>
      <c r="B1315" s="71">
        <v>132.86257685800001</v>
      </c>
      <c r="C1315" s="71">
        <v>3394763231.26127</v>
      </c>
    </row>
    <row r="1316" spans="1:3" ht="13">
      <c r="A1316" s="72">
        <v>43538</v>
      </c>
      <c r="B1316" s="71">
        <v>132.91020160299999</v>
      </c>
      <c r="C1316" s="71">
        <v>3272754082.95613</v>
      </c>
    </row>
    <row r="1317" spans="1:3" ht="13">
      <c r="A1317" s="72">
        <v>43539</v>
      </c>
      <c r="B1317" s="71">
        <v>136.624522504</v>
      </c>
      <c r="C1317" s="71">
        <v>3679339831.1566</v>
      </c>
    </row>
    <row r="1318" spans="1:3" ht="13">
      <c r="A1318" s="72">
        <v>43540</v>
      </c>
      <c r="B1318" s="71">
        <v>141.77691177899999</v>
      </c>
      <c r="C1318" s="71">
        <v>3886132351.6889</v>
      </c>
    </row>
    <row r="1319" spans="1:3" ht="13">
      <c r="A1319" s="72">
        <v>43541</v>
      </c>
      <c r="B1319" s="71">
        <v>139.18373462299999</v>
      </c>
      <c r="C1319" s="71">
        <v>3119091782.1273799</v>
      </c>
    </row>
    <row r="1320" spans="1:3" ht="13">
      <c r="A1320" s="72">
        <v>43542</v>
      </c>
      <c r="B1320" s="71">
        <v>138.99948985399999</v>
      </c>
      <c r="C1320" s="71">
        <v>3288358928.2484002</v>
      </c>
    </row>
    <row r="1321" spans="1:3" ht="13">
      <c r="A1321" s="72">
        <v>43543</v>
      </c>
      <c r="B1321" s="71">
        <v>139.32161050299999</v>
      </c>
      <c r="C1321" s="71">
        <v>3169520414.37676</v>
      </c>
    </row>
    <row r="1322" spans="1:3" ht="13">
      <c r="A1322" s="72">
        <v>43544</v>
      </c>
      <c r="B1322" s="71">
        <v>140.501514711</v>
      </c>
      <c r="C1322" s="71">
        <v>3183007323.38516</v>
      </c>
    </row>
    <row r="1323" spans="1:3" ht="13">
      <c r="A1323" s="72">
        <v>43545</v>
      </c>
      <c r="B1323" s="71">
        <v>136.47293899100001</v>
      </c>
      <c r="C1323" s="71">
        <v>3331529232.1754398</v>
      </c>
    </row>
    <row r="1324" spans="1:3" ht="13">
      <c r="A1324" s="72">
        <v>43546</v>
      </c>
      <c r="B1324" s="71">
        <v>137.16041210399999</v>
      </c>
      <c r="C1324" s="71">
        <v>3313013222.0620198</v>
      </c>
    </row>
    <row r="1325" spans="1:3" ht="13">
      <c r="A1325" s="72">
        <v>43547</v>
      </c>
      <c r="B1325" s="71">
        <v>138.383490819</v>
      </c>
      <c r="C1325" s="71">
        <v>2999056674.3347101</v>
      </c>
    </row>
    <row r="1326" spans="1:3" ht="13">
      <c r="A1326" s="72">
        <v>43548</v>
      </c>
      <c r="B1326" s="71">
        <v>137.35446282699999</v>
      </c>
      <c r="C1326" s="71">
        <v>2829391900.5308299</v>
      </c>
    </row>
    <row r="1327" spans="1:3" ht="13">
      <c r="A1327" s="72">
        <v>43549</v>
      </c>
      <c r="B1327" s="71">
        <v>135.18957596000001</v>
      </c>
      <c r="C1327" s="71">
        <v>3003064758.2811699</v>
      </c>
    </row>
    <row r="1328" spans="1:3" ht="13">
      <c r="A1328" s="72">
        <v>43550</v>
      </c>
      <c r="B1328" s="71">
        <v>135.355500611</v>
      </c>
      <c r="C1328" s="71">
        <v>3199827792.09308</v>
      </c>
    </row>
    <row r="1329" spans="1:3" ht="13">
      <c r="A1329" s="72">
        <v>43551</v>
      </c>
      <c r="B1329" s="71">
        <v>140.446810742</v>
      </c>
      <c r="C1329" s="71">
        <v>3798999620.4559002</v>
      </c>
    </row>
    <row r="1330" spans="1:3" ht="13">
      <c r="A1330" s="72">
        <v>43552</v>
      </c>
      <c r="B1330" s="71">
        <v>139.23562189500001</v>
      </c>
      <c r="C1330" s="71">
        <v>3691726013.7913399</v>
      </c>
    </row>
    <row r="1331" spans="1:3" ht="13">
      <c r="A1331" s="72">
        <v>43553</v>
      </c>
      <c r="B1331" s="71">
        <v>143.94021440899999</v>
      </c>
      <c r="C1331" s="71">
        <v>3568558515.19627</v>
      </c>
    </row>
    <row r="1332" spans="1:3" ht="13">
      <c r="A1332" s="72">
        <v>43554</v>
      </c>
      <c r="B1332" s="71">
        <v>144.338098331</v>
      </c>
      <c r="C1332" s="71">
        <v>4090730543.60218</v>
      </c>
    </row>
    <row r="1333" spans="1:3" ht="13">
      <c r="A1333" s="72">
        <v>43555</v>
      </c>
      <c r="B1333" s="71">
        <v>145.169103527</v>
      </c>
      <c r="C1333" s="71">
        <v>3395872551.3448801</v>
      </c>
    </row>
    <row r="1334" spans="1:3" ht="13">
      <c r="A1334" s="72">
        <v>43556</v>
      </c>
      <c r="B1334" s="71">
        <v>143.48969474500001</v>
      </c>
      <c r="C1334" s="71">
        <v>3481323393.93292</v>
      </c>
    </row>
    <row r="1335" spans="1:3" ht="13">
      <c r="A1335" s="72">
        <v>43557</v>
      </c>
      <c r="B1335" s="71">
        <v>164.61335448899999</v>
      </c>
      <c r="C1335" s="71">
        <v>5778739533.0824003</v>
      </c>
    </row>
    <row r="1336" spans="1:3" ht="13">
      <c r="A1336" s="72">
        <v>43558</v>
      </c>
      <c r="B1336" s="71">
        <v>161.19879255199999</v>
      </c>
      <c r="C1336" s="71">
        <v>8949938751.6627102</v>
      </c>
    </row>
    <row r="1337" spans="1:3" ht="13">
      <c r="A1337" s="72">
        <v>43559</v>
      </c>
      <c r="B1337" s="71">
        <v>158.37915328599999</v>
      </c>
      <c r="C1337" s="71">
        <v>8500528814.4002705</v>
      </c>
    </row>
    <row r="1338" spans="1:3" ht="13">
      <c r="A1338" s="72">
        <v>43560</v>
      </c>
      <c r="B1338" s="71">
        <v>165.59446754300001</v>
      </c>
      <c r="C1338" s="71">
        <v>6309018614.7370796</v>
      </c>
    </row>
    <row r="1339" spans="1:3" ht="13">
      <c r="A1339" s="72">
        <v>43561</v>
      </c>
      <c r="B1339" s="71">
        <v>166.254616443</v>
      </c>
      <c r="C1339" s="71">
        <v>5391018667.0363197</v>
      </c>
    </row>
    <row r="1340" spans="1:3" ht="13">
      <c r="A1340" s="72">
        <v>43562</v>
      </c>
      <c r="B1340" s="71">
        <v>175.463390352</v>
      </c>
      <c r="C1340" s="71">
        <v>5998646150.9405298</v>
      </c>
    </row>
    <row r="1341" spans="1:3" ht="13">
      <c r="A1341" s="72">
        <v>43563</v>
      </c>
      <c r="B1341" s="71">
        <v>181.48221452499999</v>
      </c>
      <c r="C1341" s="71">
        <v>7941262216.3043604</v>
      </c>
    </row>
    <row r="1342" spans="1:3" ht="13">
      <c r="A1342" s="72">
        <v>43564</v>
      </c>
      <c r="B1342" s="71">
        <v>176.963820387</v>
      </c>
      <c r="C1342" s="71">
        <v>6723283535.2223902</v>
      </c>
    </row>
    <row r="1343" spans="1:3" ht="13">
      <c r="A1343" s="72">
        <v>43565</v>
      </c>
      <c r="B1343" s="71">
        <v>177.377536859</v>
      </c>
      <c r="C1343" s="71">
        <v>6084320690.4632902</v>
      </c>
    </row>
    <row r="1344" spans="1:3" ht="13">
      <c r="A1344" s="72">
        <v>43566</v>
      </c>
      <c r="B1344" s="71">
        <v>165.450442334</v>
      </c>
      <c r="C1344" s="71">
        <v>6677513665.4451799</v>
      </c>
    </row>
    <row r="1345" spans="1:3" ht="13">
      <c r="A1345" s="72">
        <v>43567</v>
      </c>
      <c r="B1345" s="71">
        <v>164.69339260199999</v>
      </c>
      <c r="C1345" s="71">
        <v>5576125380.2800703</v>
      </c>
    </row>
    <row r="1346" spans="1:3" ht="13">
      <c r="A1346" s="72">
        <v>43568</v>
      </c>
      <c r="B1346" s="71">
        <v>165.567586328</v>
      </c>
      <c r="C1346" s="71">
        <v>4245773715.7983799</v>
      </c>
    </row>
    <row r="1347" spans="1:3" ht="13">
      <c r="A1347" s="72">
        <v>43569</v>
      </c>
      <c r="B1347" s="71">
        <v>169.069363082</v>
      </c>
      <c r="C1347" s="71">
        <v>3662600531.80761</v>
      </c>
    </row>
    <row r="1348" spans="1:3" ht="13">
      <c r="A1348" s="72">
        <v>43570</v>
      </c>
      <c r="B1348" s="71">
        <v>163.264291313</v>
      </c>
      <c r="C1348" s="71">
        <v>4231083043.0897298</v>
      </c>
    </row>
    <row r="1349" spans="1:3" ht="13">
      <c r="A1349" s="72">
        <v>43571</v>
      </c>
      <c r="B1349" s="71">
        <v>169.79389583099999</v>
      </c>
      <c r="C1349" s="71">
        <v>4349635507.0007801</v>
      </c>
    </row>
    <row r="1350" spans="1:3" ht="13">
      <c r="A1350" s="72">
        <v>43572</v>
      </c>
      <c r="B1350" s="71">
        <v>168.445130113</v>
      </c>
      <c r="C1350" s="71">
        <v>4252171914.2716198</v>
      </c>
    </row>
    <row r="1351" spans="1:3" ht="13">
      <c r="A1351" s="72">
        <v>43573</v>
      </c>
      <c r="B1351" s="71">
        <v>174.767110057</v>
      </c>
      <c r="C1351" s="71">
        <v>4994550596.6835899</v>
      </c>
    </row>
    <row r="1352" spans="1:3" ht="13">
      <c r="A1352" s="72">
        <v>43574</v>
      </c>
      <c r="B1352" s="71">
        <v>174.800910082</v>
      </c>
      <c r="C1352" s="71">
        <v>5053026462.1061096</v>
      </c>
    </row>
    <row r="1353" spans="1:3" ht="13">
      <c r="A1353" s="72">
        <v>43575</v>
      </c>
      <c r="B1353" s="71">
        <v>175.28292559799999</v>
      </c>
      <c r="C1353" s="71">
        <v>4891869028.8424597</v>
      </c>
    </row>
    <row r="1354" spans="1:3" ht="13">
      <c r="A1354" s="72">
        <v>43576</v>
      </c>
      <c r="B1354" s="71">
        <v>171.696227564</v>
      </c>
      <c r="C1354" s="71">
        <v>4664753305.7483702</v>
      </c>
    </row>
    <row r="1355" spans="1:3" ht="13">
      <c r="A1355" s="72">
        <v>43577</v>
      </c>
      <c r="B1355" s="71">
        <v>173.337855257</v>
      </c>
      <c r="C1355" s="71">
        <v>4734656562.9230404</v>
      </c>
    </row>
    <row r="1356" spans="1:3" ht="13">
      <c r="A1356" s="72">
        <v>43578</v>
      </c>
      <c r="B1356" s="71">
        <v>172.66048808299999</v>
      </c>
      <c r="C1356" s="71">
        <v>5368332860.58564</v>
      </c>
    </row>
    <row r="1357" spans="1:3" ht="13">
      <c r="A1357" s="72">
        <v>43579</v>
      </c>
      <c r="B1357" s="71">
        <v>167.08992744299999</v>
      </c>
      <c r="C1357" s="71">
        <v>5739301122.1202297</v>
      </c>
    </row>
    <row r="1358" spans="1:3" ht="13">
      <c r="A1358" s="72">
        <v>43580</v>
      </c>
      <c r="B1358" s="71">
        <v>155.27149546499999</v>
      </c>
      <c r="C1358" s="71">
        <v>5200875570.1578302</v>
      </c>
    </row>
    <row r="1359" spans="1:3" ht="13">
      <c r="A1359" s="72">
        <v>43581</v>
      </c>
      <c r="B1359" s="71">
        <v>156.35032772100001</v>
      </c>
      <c r="C1359" s="71">
        <v>6028505499.5152597</v>
      </c>
    </row>
    <row r="1360" spans="1:3" ht="13">
      <c r="A1360" s="72">
        <v>43582</v>
      </c>
      <c r="B1360" s="71">
        <v>159.009439141</v>
      </c>
      <c r="C1360" s="71">
        <v>4773705622.5291996</v>
      </c>
    </row>
    <row r="1361" spans="1:3" ht="13">
      <c r="A1361" s="72">
        <v>43583</v>
      </c>
      <c r="B1361" s="71">
        <v>158.05498380700001</v>
      </c>
      <c r="C1361" s="71">
        <v>4119006403.6462402</v>
      </c>
    </row>
    <row r="1362" spans="1:3" ht="13">
      <c r="A1362" s="72">
        <v>43584</v>
      </c>
      <c r="B1362" s="71">
        <v>155.44586688999999</v>
      </c>
      <c r="C1362" s="71">
        <v>4259256041.6665001</v>
      </c>
    </row>
    <row r="1363" spans="1:3" ht="13">
      <c r="A1363" s="72">
        <v>43585</v>
      </c>
      <c r="B1363" s="71">
        <v>160.75256780300001</v>
      </c>
      <c r="C1363" s="71">
        <v>4851252609.4527903</v>
      </c>
    </row>
    <row r="1364" spans="1:3" ht="13">
      <c r="A1364" s="72">
        <v>43586</v>
      </c>
      <c r="B1364" s="71">
        <v>160.619952603</v>
      </c>
      <c r="C1364" s="71">
        <v>4464409319.3530102</v>
      </c>
    </row>
    <row r="1365" spans="1:3" ht="13">
      <c r="A1365" s="72">
        <v>43587</v>
      </c>
      <c r="B1365" s="71">
        <v>161.86748246900001</v>
      </c>
      <c r="C1365" s="71">
        <v>3996835915.3375301</v>
      </c>
    </row>
    <row r="1366" spans="1:3" ht="13">
      <c r="A1366" s="72">
        <v>43588</v>
      </c>
      <c r="B1366" s="71">
        <v>167.01291046200001</v>
      </c>
      <c r="C1366" s="71">
        <v>5058596058.3614902</v>
      </c>
    </row>
    <row r="1367" spans="1:3" ht="13">
      <c r="A1367" s="72">
        <v>43589</v>
      </c>
      <c r="B1367" s="71">
        <v>163.39977018799999</v>
      </c>
      <c r="C1367" s="71">
        <v>5328014652.9675102</v>
      </c>
    </row>
    <row r="1368" spans="1:3" ht="13">
      <c r="A1368" s="72">
        <v>43590</v>
      </c>
      <c r="B1368" s="71">
        <v>163.04753352099999</v>
      </c>
      <c r="C1368" s="71">
        <v>4810462148.16887</v>
      </c>
    </row>
    <row r="1369" spans="1:3" ht="13">
      <c r="A1369" s="72">
        <v>43591</v>
      </c>
      <c r="B1369" s="71">
        <v>173.260101257</v>
      </c>
      <c r="C1369" s="71">
        <v>4877656549.6041899</v>
      </c>
    </row>
    <row r="1370" spans="1:3" ht="13">
      <c r="A1370" s="72">
        <v>43592</v>
      </c>
      <c r="B1370" s="71">
        <v>170.17762089499999</v>
      </c>
      <c r="C1370" s="71">
        <v>6194012949.4023304</v>
      </c>
    </row>
    <row r="1371" spans="1:3" ht="13">
      <c r="A1371" s="72">
        <v>43593</v>
      </c>
      <c r="B1371" s="71">
        <v>171.14139787799999</v>
      </c>
      <c r="C1371" s="71">
        <v>4660471000.09235</v>
      </c>
    </row>
    <row r="1372" spans="1:3" ht="13">
      <c r="A1372" s="72">
        <v>43594</v>
      </c>
      <c r="B1372" s="71">
        <v>171.149529997</v>
      </c>
      <c r="C1372" s="71">
        <v>4315110648.5505304</v>
      </c>
    </row>
    <row r="1373" spans="1:3" ht="13">
      <c r="A1373" s="72">
        <v>43595</v>
      </c>
      <c r="B1373" s="71">
        <v>173.85110531000001</v>
      </c>
      <c r="C1373" s="71">
        <v>5143540355.9599199</v>
      </c>
    </row>
    <row r="1374" spans="1:3" ht="13">
      <c r="A1374" s="72">
        <v>43596</v>
      </c>
      <c r="B1374" s="71">
        <v>195.86257625600001</v>
      </c>
      <c r="C1374" s="71">
        <v>8390736884.6325102</v>
      </c>
    </row>
    <row r="1375" spans="1:3" ht="13">
      <c r="A1375" s="72">
        <v>43597</v>
      </c>
      <c r="B1375" s="71">
        <v>188.53231028100001</v>
      </c>
      <c r="C1375" s="71">
        <v>10649499828.1245</v>
      </c>
    </row>
    <row r="1376" spans="1:3" ht="13">
      <c r="A1376" s="72">
        <v>43598</v>
      </c>
      <c r="B1376" s="71">
        <v>196.47763930799999</v>
      </c>
      <c r="C1376" s="71">
        <v>8403670327.8553305</v>
      </c>
    </row>
    <row r="1377" spans="1:3" ht="13">
      <c r="A1377" s="72">
        <v>43599</v>
      </c>
      <c r="B1377" s="71">
        <v>218.76664199800001</v>
      </c>
      <c r="C1377" s="71">
        <v>10296656313.3204</v>
      </c>
    </row>
    <row r="1378" spans="1:3" ht="13">
      <c r="A1378" s="72">
        <v>43600</v>
      </c>
      <c r="B1378" s="71">
        <v>247.20250636200001</v>
      </c>
      <c r="C1378" s="71">
        <v>11013751391.447001</v>
      </c>
    </row>
    <row r="1379" spans="1:3" ht="13">
      <c r="A1379" s="72">
        <v>43601</v>
      </c>
      <c r="B1379" s="71">
        <v>264.95290621599997</v>
      </c>
      <c r="C1379" s="71">
        <v>14704896429.250401</v>
      </c>
    </row>
    <row r="1380" spans="1:3" ht="13">
      <c r="A1380" s="72">
        <v>43602</v>
      </c>
      <c r="B1380" s="71">
        <v>244.62124346900001</v>
      </c>
      <c r="C1380" s="71">
        <v>14089565313.8599</v>
      </c>
    </row>
    <row r="1381" spans="1:3" ht="13">
      <c r="A1381" s="72">
        <v>43603</v>
      </c>
      <c r="B1381" s="71">
        <v>236.72873087900001</v>
      </c>
      <c r="C1381" s="71">
        <v>10337451488.453899</v>
      </c>
    </row>
    <row r="1382" spans="1:3" ht="13">
      <c r="A1382" s="72">
        <v>43604</v>
      </c>
      <c r="B1382" s="71">
        <v>261.841761142</v>
      </c>
      <c r="C1382" s="71">
        <v>8863725635.8899994</v>
      </c>
    </row>
    <row r="1383" spans="1:3" ht="13">
      <c r="A1383" s="72">
        <v>43605</v>
      </c>
      <c r="B1383" s="71">
        <v>252.28261862100001</v>
      </c>
      <c r="C1383" s="71">
        <v>8214496301.5788803</v>
      </c>
    </row>
    <row r="1384" spans="1:3" ht="13">
      <c r="A1384" s="72">
        <v>43606</v>
      </c>
      <c r="B1384" s="71">
        <v>255.977123406</v>
      </c>
      <c r="C1384" s="71">
        <v>7227460884.6344099</v>
      </c>
    </row>
    <row r="1385" spans="1:3" ht="13">
      <c r="A1385" s="72">
        <v>43607</v>
      </c>
      <c r="B1385" s="71">
        <v>247.19120237999999</v>
      </c>
      <c r="C1385" s="71">
        <v>7524015000.2053604</v>
      </c>
    </row>
    <row r="1386" spans="1:3" ht="13">
      <c r="A1386" s="72">
        <v>43608</v>
      </c>
      <c r="B1386" s="71">
        <v>246.86684580599999</v>
      </c>
      <c r="C1386" s="71">
        <v>8055606331.6016598</v>
      </c>
    </row>
    <row r="1387" spans="1:3" ht="13">
      <c r="A1387" s="72">
        <v>43609</v>
      </c>
      <c r="B1387" s="71">
        <v>250.33017737200001</v>
      </c>
      <c r="C1387" s="71">
        <v>7657291391.1910896</v>
      </c>
    </row>
    <row r="1388" spans="1:3" ht="13">
      <c r="A1388" s="72">
        <v>43610</v>
      </c>
      <c r="B1388" s="71">
        <v>253.816992451</v>
      </c>
      <c r="C1388" s="71">
        <v>7236795924.5819502</v>
      </c>
    </row>
    <row r="1389" spans="1:3" ht="13">
      <c r="A1389" s="72">
        <v>43611</v>
      </c>
      <c r="B1389" s="71">
        <v>269.353205774</v>
      </c>
      <c r="C1389" s="71">
        <v>6384285254.77948</v>
      </c>
    </row>
    <row r="1390" spans="1:3" ht="13">
      <c r="A1390" s="72">
        <v>43612</v>
      </c>
      <c r="B1390" s="71">
        <v>274.71763035200001</v>
      </c>
      <c r="C1390" s="71">
        <v>8454225694.5664301</v>
      </c>
    </row>
    <row r="1391" spans="1:3" ht="13">
      <c r="A1391" s="72">
        <v>43613</v>
      </c>
      <c r="B1391" s="71">
        <v>271.804517589</v>
      </c>
      <c r="C1391" s="71">
        <v>9193517531.5378399</v>
      </c>
    </row>
    <row r="1392" spans="1:3" ht="13">
      <c r="A1392" s="72">
        <v>43614</v>
      </c>
      <c r="B1392" s="71">
        <v>269.90430237700002</v>
      </c>
      <c r="C1392" s="71">
        <v>7611509034.9268198</v>
      </c>
    </row>
    <row r="1393" spans="1:3" ht="13">
      <c r="A1393" s="72">
        <v>43615</v>
      </c>
      <c r="B1393" s="71">
        <v>258.58621894499998</v>
      </c>
      <c r="C1393" s="71">
        <v>9024766264.8867798</v>
      </c>
    </row>
    <row r="1394" spans="1:3" ht="13">
      <c r="A1394" s="72">
        <v>43616</v>
      </c>
      <c r="B1394" s="71">
        <v>268.87296245599998</v>
      </c>
      <c r="C1394" s="71">
        <v>10066197447.382601</v>
      </c>
    </row>
    <row r="1395" spans="1:3" ht="13">
      <c r="A1395" s="72">
        <v>43617</v>
      </c>
      <c r="B1395" s="71">
        <v>267.06596338100002</v>
      </c>
      <c r="C1395" s="71">
        <v>7977278887.2735395</v>
      </c>
    </row>
    <row r="1396" spans="1:3" ht="13">
      <c r="A1396" s="72">
        <v>43618</v>
      </c>
      <c r="B1396" s="71">
        <v>272.247528762</v>
      </c>
      <c r="C1396" s="71">
        <v>6921531482.3801498</v>
      </c>
    </row>
    <row r="1397" spans="1:3" ht="13">
      <c r="A1397" s="72">
        <v>43619</v>
      </c>
      <c r="B1397" s="71">
        <v>258.25750862400002</v>
      </c>
      <c r="C1397" s="71">
        <v>6724333806.1178999</v>
      </c>
    </row>
    <row r="1398" spans="1:3" ht="13">
      <c r="A1398" s="72">
        <v>43620</v>
      </c>
      <c r="B1398" s="71">
        <v>243.15775104900001</v>
      </c>
      <c r="C1398" s="71">
        <v>7652198628.4392996</v>
      </c>
    </row>
    <row r="1399" spans="1:3" ht="13">
      <c r="A1399" s="72">
        <v>43621</v>
      </c>
      <c r="B1399" s="71">
        <v>248.21460919899999</v>
      </c>
      <c r="C1399" s="71">
        <v>6980523306.6929502</v>
      </c>
    </row>
    <row r="1400" spans="1:3" ht="13">
      <c r="A1400" s="72">
        <v>43622</v>
      </c>
      <c r="B1400" s="71">
        <v>249.839789</v>
      </c>
      <c r="C1400" s="71">
        <v>6113027959.2546701</v>
      </c>
    </row>
    <row r="1401" spans="1:3" ht="13">
      <c r="A1401" s="72">
        <v>43623</v>
      </c>
      <c r="B1401" s="71">
        <v>252.080143792</v>
      </c>
      <c r="C1401" s="71">
        <v>6612465716.9389896</v>
      </c>
    </row>
    <row r="1402" spans="1:3" ht="13">
      <c r="A1402" s="72">
        <v>43624</v>
      </c>
      <c r="B1402" s="71">
        <v>246.218021792</v>
      </c>
      <c r="C1402" s="71">
        <v>5651697472.7096796</v>
      </c>
    </row>
    <row r="1403" spans="1:3" ht="13">
      <c r="A1403" s="72">
        <v>43625</v>
      </c>
      <c r="B1403" s="71">
        <v>234.69060382500001</v>
      </c>
      <c r="C1403" s="71">
        <v>5421673854.6399899</v>
      </c>
    </row>
    <row r="1404" spans="1:3" ht="13">
      <c r="A1404" s="72">
        <v>43626</v>
      </c>
      <c r="B1404" s="71">
        <v>247.19438501600001</v>
      </c>
      <c r="C1404" s="71">
        <v>6130006834.4342804</v>
      </c>
    </row>
    <row r="1405" spans="1:3" ht="13">
      <c r="A1405" s="72">
        <v>43627</v>
      </c>
      <c r="B1405" s="71">
        <v>246.778559688</v>
      </c>
      <c r="C1405" s="71">
        <v>5671796117.2593298</v>
      </c>
    </row>
    <row r="1406" spans="1:3" ht="13">
      <c r="A1406" s="72">
        <v>43628</v>
      </c>
      <c r="B1406" s="71">
        <v>261.18188984</v>
      </c>
      <c r="C1406" s="71">
        <v>5714916374.8551302</v>
      </c>
    </row>
    <row r="1407" spans="1:3" ht="13">
      <c r="A1407" s="72">
        <v>43629</v>
      </c>
      <c r="B1407" s="71">
        <v>256.986374447</v>
      </c>
      <c r="C1407" s="71">
        <v>6511712419.1932602</v>
      </c>
    </row>
    <row r="1408" spans="1:3" ht="13">
      <c r="A1408" s="72">
        <v>43630</v>
      </c>
      <c r="B1408" s="71">
        <v>264.81890705400002</v>
      </c>
      <c r="C1408" s="71">
        <v>6473886574.9576502</v>
      </c>
    </row>
    <row r="1409" spans="1:3" ht="13">
      <c r="A1409" s="72">
        <v>43631</v>
      </c>
      <c r="B1409" s="71">
        <v>269.95222053700002</v>
      </c>
      <c r="C1409" s="71">
        <v>6411858788.8166904</v>
      </c>
    </row>
    <row r="1410" spans="1:3" ht="13">
      <c r="A1410" s="72">
        <v>43632</v>
      </c>
      <c r="B1410" s="71">
        <v>270.53511907900003</v>
      </c>
      <c r="C1410" s="71">
        <v>6772330213.3075504</v>
      </c>
    </row>
    <row r="1411" spans="1:3" ht="13">
      <c r="A1411" s="72">
        <v>43633</v>
      </c>
      <c r="B1411" s="71">
        <v>273.99885711500002</v>
      </c>
      <c r="C1411" s="71">
        <v>7071993752.3303604</v>
      </c>
    </row>
    <row r="1412" spans="1:3" ht="13">
      <c r="A1412" s="72">
        <v>43634</v>
      </c>
      <c r="B1412" s="71">
        <v>266.29705428</v>
      </c>
      <c r="C1412" s="71">
        <v>6598080080.0984097</v>
      </c>
    </row>
    <row r="1413" spans="1:3" ht="13">
      <c r="A1413" s="72">
        <v>43635</v>
      </c>
      <c r="B1413" s="71">
        <v>270.61085981700001</v>
      </c>
      <c r="C1413" s="71">
        <v>6343775039.2359104</v>
      </c>
    </row>
    <row r="1414" spans="1:3" ht="13">
      <c r="A1414" s="72">
        <v>43636</v>
      </c>
      <c r="B1414" s="71">
        <v>273.818805107</v>
      </c>
      <c r="C1414" s="71">
        <v>6012848992.64849</v>
      </c>
    </row>
    <row r="1415" spans="1:3" ht="13">
      <c r="A1415" s="72">
        <v>43637</v>
      </c>
      <c r="B1415" s="71">
        <v>295.45221042600002</v>
      </c>
      <c r="C1415" s="71">
        <v>8935455819.3105907</v>
      </c>
    </row>
    <row r="1416" spans="1:3" ht="13">
      <c r="A1416" s="72">
        <v>43638</v>
      </c>
      <c r="B1416" s="71">
        <v>310.773131949</v>
      </c>
      <c r="C1416" s="71">
        <v>11000118279.0196</v>
      </c>
    </row>
    <row r="1417" spans="1:3" ht="13">
      <c r="A1417" s="72">
        <v>43639</v>
      </c>
      <c r="B1417" s="71">
        <v>309.51285846799999</v>
      </c>
      <c r="C1417" s="71">
        <v>9620285110.7002697</v>
      </c>
    </row>
    <row r="1418" spans="1:3" ht="13">
      <c r="A1418" s="72">
        <v>43640</v>
      </c>
      <c r="B1418" s="71">
        <v>310.78170494599999</v>
      </c>
      <c r="C1418" s="71">
        <v>8673657038.7693005</v>
      </c>
    </row>
    <row r="1419" spans="1:3" ht="13">
      <c r="A1419" s="72">
        <v>43641</v>
      </c>
      <c r="B1419" s="71">
        <v>319.068641904</v>
      </c>
      <c r="C1419" s="71">
        <v>8546820059.6128197</v>
      </c>
    </row>
    <row r="1420" spans="1:3" ht="13">
      <c r="A1420" s="72">
        <v>43642</v>
      </c>
      <c r="B1420" s="71">
        <v>340.24715514500002</v>
      </c>
      <c r="C1420" s="71">
        <v>12167712763.5369</v>
      </c>
    </row>
    <row r="1421" spans="1:3" ht="13">
      <c r="A1421" s="72">
        <v>43643</v>
      </c>
      <c r="B1421" s="71">
        <v>296.57514395599998</v>
      </c>
      <c r="C1421" s="71">
        <v>15300814430.1765</v>
      </c>
    </row>
    <row r="1422" spans="1:3" ht="13">
      <c r="A1422" s="72">
        <v>43644</v>
      </c>
      <c r="B1422" s="71">
        <v>312.91087212999997</v>
      </c>
      <c r="C1422" s="71">
        <v>12729255820.058599</v>
      </c>
    </row>
    <row r="1423" spans="1:3" ht="13">
      <c r="A1423" s="72">
        <v>43645</v>
      </c>
      <c r="B1423" s="71">
        <v>325.89933978200003</v>
      </c>
      <c r="C1423" s="71">
        <v>9787561297.84869</v>
      </c>
    </row>
    <row r="1424" spans="1:3" ht="13">
      <c r="A1424" s="72">
        <v>43646</v>
      </c>
      <c r="B1424" s="71">
        <v>293.53924305300001</v>
      </c>
      <c r="C1424" s="71">
        <v>9718622169.2361794</v>
      </c>
    </row>
    <row r="1425" spans="1:3" ht="13">
      <c r="A1425" s="72">
        <v>43647</v>
      </c>
      <c r="B1425" s="71">
        <v>295.63907084700003</v>
      </c>
      <c r="C1425" s="71">
        <v>9390017410.5035</v>
      </c>
    </row>
    <row r="1426" spans="1:3" ht="13">
      <c r="A1426" s="72">
        <v>43648</v>
      </c>
      <c r="B1426" s="71">
        <v>291.56421771200002</v>
      </c>
      <c r="C1426" s="71">
        <v>9552846211.0517292</v>
      </c>
    </row>
    <row r="1427" spans="1:3" ht="13">
      <c r="A1427" s="72">
        <v>43649</v>
      </c>
      <c r="B1427" s="71">
        <v>302.313730722</v>
      </c>
      <c r="C1427" s="71">
        <v>9045516170.4349899</v>
      </c>
    </row>
    <row r="1428" spans="1:3" ht="13">
      <c r="A1428" s="72">
        <v>43650</v>
      </c>
      <c r="B1428" s="71">
        <v>284.1868159</v>
      </c>
      <c r="C1428" s="71">
        <v>8100518110.4450903</v>
      </c>
    </row>
    <row r="1429" spans="1:3" ht="13">
      <c r="A1429" s="72">
        <v>43651</v>
      </c>
      <c r="B1429" s="71">
        <v>288.160769131</v>
      </c>
      <c r="C1429" s="71">
        <v>8114325899.7603302</v>
      </c>
    </row>
    <row r="1430" spans="1:3" ht="13">
      <c r="A1430" s="72">
        <v>43652</v>
      </c>
      <c r="B1430" s="71">
        <v>288.95443992000003</v>
      </c>
      <c r="C1430" s="71">
        <v>7725674248.1570101</v>
      </c>
    </row>
    <row r="1431" spans="1:3" ht="13">
      <c r="A1431" s="72">
        <v>43653</v>
      </c>
      <c r="B1431" s="71">
        <v>305.54216160999999</v>
      </c>
      <c r="C1431" s="71">
        <v>7693813201.5659704</v>
      </c>
    </row>
    <row r="1432" spans="1:3" ht="13">
      <c r="A1432" s="72">
        <v>43654</v>
      </c>
      <c r="B1432" s="71">
        <v>311.98013492500002</v>
      </c>
      <c r="C1432" s="71">
        <v>8369857782.2254105</v>
      </c>
    </row>
    <row r="1433" spans="1:3" ht="13">
      <c r="A1433" s="72">
        <v>43655</v>
      </c>
      <c r="B1433" s="71">
        <v>308.78082755899999</v>
      </c>
      <c r="C1433" s="71">
        <v>9053035283.8426495</v>
      </c>
    </row>
    <row r="1434" spans="1:3" ht="13">
      <c r="A1434" s="72">
        <v>43656</v>
      </c>
      <c r="B1434" s="71">
        <v>290.32255048299999</v>
      </c>
      <c r="C1434" s="71">
        <v>9858169417.3322392</v>
      </c>
    </row>
    <row r="1435" spans="1:3" ht="13">
      <c r="A1435" s="72">
        <v>43657</v>
      </c>
      <c r="B1435" s="71">
        <v>269.08100183699997</v>
      </c>
      <c r="C1435" s="71">
        <v>10773732260.9373</v>
      </c>
    </row>
    <row r="1436" spans="1:3" ht="13">
      <c r="A1436" s="72">
        <v>43658</v>
      </c>
      <c r="B1436" s="71">
        <v>275.10980426499998</v>
      </c>
      <c r="C1436" s="71">
        <v>8985051588.5640507</v>
      </c>
    </row>
    <row r="1437" spans="1:3" ht="13">
      <c r="A1437" s="72">
        <v>43659</v>
      </c>
      <c r="B1437" s="71">
        <v>269.908701286</v>
      </c>
      <c r="C1437" s="71">
        <v>7250712122.8199701</v>
      </c>
    </row>
    <row r="1438" spans="1:3" ht="13">
      <c r="A1438" s="72">
        <v>43660</v>
      </c>
      <c r="B1438" s="71">
        <v>227.86909807999999</v>
      </c>
      <c r="C1438" s="71">
        <v>7539894753.2996597</v>
      </c>
    </row>
    <row r="1439" spans="1:3" ht="13">
      <c r="A1439" s="72">
        <v>43661</v>
      </c>
      <c r="B1439" s="71">
        <v>229.54408098100001</v>
      </c>
      <c r="C1439" s="71">
        <v>9764818336.3661098</v>
      </c>
    </row>
    <row r="1440" spans="1:3" ht="13">
      <c r="A1440" s="72">
        <v>43662</v>
      </c>
      <c r="B1440" s="71">
        <v>199.90356061700001</v>
      </c>
      <c r="C1440" s="71">
        <v>8197196288.2462997</v>
      </c>
    </row>
    <row r="1441" spans="1:3" ht="13">
      <c r="A1441" s="72">
        <v>43663</v>
      </c>
      <c r="B1441" s="71">
        <v>210.43987830099999</v>
      </c>
      <c r="C1441" s="71">
        <v>9581428004.7055206</v>
      </c>
    </row>
    <row r="1442" spans="1:3" ht="13">
      <c r="A1442" s="72">
        <v>43664</v>
      </c>
      <c r="B1442" s="71">
        <v>225.57545865200001</v>
      </c>
      <c r="C1442" s="71">
        <v>9412277964.6818905</v>
      </c>
    </row>
    <row r="1443" spans="1:3" ht="13">
      <c r="A1443" s="72">
        <v>43665</v>
      </c>
      <c r="B1443" s="71">
        <v>220.80363815699999</v>
      </c>
      <c r="C1443" s="71">
        <v>8471926010.4660797</v>
      </c>
    </row>
    <row r="1444" spans="1:3" ht="13">
      <c r="A1444" s="72">
        <v>43666</v>
      </c>
      <c r="B1444" s="71">
        <v>228.60898355399999</v>
      </c>
      <c r="C1444" s="71">
        <v>8013600923.6666498</v>
      </c>
    </row>
    <row r="1445" spans="1:3" ht="13">
      <c r="A1445" s="72">
        <v>43667</v>
      </c>
      <c r="B1445" s="71">
        <v>225.94354725400001</v>
      </c>
      <c r="C1445" s="71">
        <v>7135577663.2959003</v>
      </c>
    </row>
    <row r="1446" spans="1:3" ht="13">
      <c r="A1446" s="72">
        <v>43668</v>
      </c>
      <c r="B1446" s="71">
        <v>217.47200045100001</v>
      </c>
      <c r="C1446" s="71">
        <v>6219542111.8379402</v>
      </c>
    </row>
    <row r="1447" spans="1:3" ht="13">
      <c r="A1447" s="72">
        <v>43669</v>
      </c>
      <c r="B1447" s="71">
        <v>213.291511816</v>
      </c>
      <c r="C1447" s="71">
        <v>6330993277.9738798</v>
      </c>
    </row>
    <row r="1448" spans="1:3" ht="13">
      <c r="A1448" s="72">
        <v>43670</v>
      </c>
      <c r="B1448" s="71">
        <v>216.85152300600001</v>
      </c>
      <c r="C1448" s="71">
        <v>6666853639.3034296</v>
      </c>
    </row>
    <row r="1449" spans="1:3" ht="13">
      <c r="A1449" s="72">
        <v>43671</v>
      </c>
      <c r="B1449" s="71">
        <v>219.45187306599999</v>
      </c>
      <c r="C1449" s="71">
        <v>6868087935.4349098</v>
      </c>
    </row>
    <row r="1450" spans="1:3" ht="13">
      <c r="A1450" s="72">
        <v>43672</v>
      </c>
      <c r="B1450" s="71">
        <v>219.260725455</v>
      </c>
      <c r="C1450" s="71">
        <v>5711358612.0802498</v>
      </c>
    </row>
    <row r="1451" spans="1:3" ht="13">
      <c r="A1451" s="72">
        <v>43673</v>
      </c>
      <c r="B1451" s="71">
        <v>207.06530658099999</v>
      </c>
      <c r="C1451" s="71">
        <v>6981947466.7178001</v>
      </c>
    </row>
    <row r="1452" spans="1:3" ht="13">
      <c r="A1452" s="72">
        <v>43674</v>
      </c>
      <c r="B1452" s="71">
        <v>211.14790546500001</v>
      </c>
      <c r="C1452" s="71">
        <v>16283505659.5777</v>
      </c>
    </row>
    <row r="1453" spans="1:3" ht="13">
      <c r="A1453" s="72">
        <v>43675</v>
      </c>
      <c r="B1453" s="71">
        <v>211.198299222</v>
      </c>
      <c r="C1453" s="71">
        <v>5508949369.6021605</v>
      </c>
    </row>
    <row r="1454" spans="1:3" ht="13">
      <c r="A1454" s="72">
        <v>43676</v>
      </c>
      <c r="B1454" s="71">
        <v>209.79970467999999</v>
      </c>
      <c r="C1454" s="71">
        <v>5244294987.2240696</v>
      </c>
    </row>
    <row r="1455" spans="1:3" ht="13">
      <c r="A1455" s="72">
        <v>43677</v>
      </c>
      <c r="B1455" s="71">
        <v>218.43752244999999</v>
      </c>
      <c r="C1455" s="71">
        <v>5464307059.4029102</v>
      </c>
    </row>
    <row r="1456" spans="1:3" ht="13">
      <c r="A1456" s="72">
        <v>43678</v>
      </c>
      <c r="B1456" s="71">
        <v>216.68290446399999</v>
      </c>
      <c r="C1456" s="71">
        <v>5516573667.4927998</v>
      </c>
    </row>
    <row r="1457" spans="1:3" ht="13">
      <c r="A1457" s="72">
        <v>43679</v>
      </c>
      <c r="B1457" s="71">
        <v>217.70730321100001</v>
      </c>
      <c r="C1457" s="71">
        <v>5524686465.3555298</v>
      </c>
    </row>
    <row r="1458" spans="1:3" ht="13">
      <c r="A1458" s="72">
        <v>43680</v>
      </c>
      <c r="B1458" s="71">
        <v>221.74362917100001</v>
      </c>
      <c r="C1458" s="71">
        <v>5727455830.9812698</v>
      </c>
    </row>
    <row r="1459" spans="1:3" ht="13">
      <c r="A1459" s="72">
        <v>43681</v>
      </c>
      <c r="B1459" s="71">
        <v>221.66537249800001</v>
      </c>
      <c r="C1459" s="71">
        <v>5100419947.7246103</v>
      </c>
    </row>
    <row r="1460" spans="1:3" ht="13">
      <c r="A1460" s="72">
        <v>43682</v>
      </c>
      <c r="B1460" s="71">
        <v>232.39251030700001</v>
      </c>
      <c r="C1460" s="71">
        <v>6427602361.9825497</v>
      </c>
    </row>
    <row r="1461" spans="1:3" ht="13">
      <c r="A1461" s="72">
        <v>43683</v>
      </c>
      <c r="B1461" s="71">
        <v>226.44504526399999</v>
      </c>
      <c r="C1461" s="71">
        <v>7132162229.1040096</v>
      </c>
    </row>
    <row r="1462" spans="1:3" ht="13">
      <c r="A1462" s="72">
        <v>43684</v>
      </c>
      <c r="B1462" s="71">
        <v>226.06315302600001</v>
      </c>
      <c r="C1462" s="71">
        <v>6671779837.9804602</v>
      </c>
    </row>
    <row r="1463" spans="1:3" ht="13">
      <c r="A1463" s="72">
        <v>43685</v>
      </c>
      <c r="B1463" s="71">
        <v>221.344132194</v>
      </c>
      <c r="C1463" s="71">
        <v>6668603122.6700802</v>
      </c>
    </row>
    <row r="1464" spans="1:3" ht="13">
      <c r="A1464" s="72">
        <v>43686</v>
      </c>
      <c r="B1464" s="71">
        <v>210.55056920999999</v>
      </c>
      <c r="C1464" s="71">
        <v>6783402266.3365202</v>
      </c>
    </row>
    <row r="1465" spans="1:3" ht="13">
      <c r="A1465" s="72">
        <v>43687</v>
      </c>
      <c r="B1465" s="71">
        <v>207.083122162</v>
      </c>
      <c r="C1465" s="71">
        <v>6699595851.1885099</v>
      </c>
    </row>
    <row r="1466" spans="1:3" ht="13">
      <c r="A1466" s="72">
        <v>43688</v>
      </c>
      <c r="B1466" s="71">
        <v>216.91885283799999</v>
      </c>
      <c r="C1466" s="71">
        <v>6335289275.4200201</v>
      </c>
    </row>
    <row r="1467" spans="1:3" ht="13">
      <c r="A1467" s="72">
        <v>43689</v>
      </c>
      <c r="B1467" s="71">
        <v>211.64017642100001</v>
      </c>
      <c r="C1467" s="71">
        <v>5932637394.6444101</v>
      </c>
    </row>
    <row r="1468" spans="1:3" ht="13">
      <c r="A1468" s="72">
        <v>43690</v>
      </c>
      <c r="B1468" s="71">
        <v>208.880418459</v>
      </c>
      <c r="C1468" s="71">
        <v>6804495705.85849</v>
      </c>
    </row>
    <row r="1469" spans="1:3" ht="13">
      <c r="A1469" s="72">
        <v>43691</v>
      </c>
      <c r="B1469" s="71">
        <v>186.81209827800001</v>
      </c>
      <c r="C1469" s="71">
        <v>7638996336.9334602</v>
      </c>
    </row>
    <row r="1470" spans="1:3" ht="13">
      <c r="A1470" s="72">
        <v>43692</v>
      </c>
      <c r="B1470" s="71">
        <v>188.45744289199999</v>
      </c>
      <c r="C1470" s="71">
        <v>8414802604.0247402</v>
      </c>
    </row>
    <row r="1471" spans="1:3" ht="13">
      <c r="A1471" s="72">
        <v>43693</v>
      </c>
      <c r="B1471" s="71">
        <v>185.796472228</v>
      </c>
      <c r="C1471" s="71">
        <v>7613318325.6076899</v>
      </c>
    </row>
    <row r="1472" spans="1:3" ht="13">
      <c r="A1472" s="72">
        <v>43694</v>
      </c>
      <c r="B1472" s="71">
        <v>186.455401252</v>
      </c>
      <c r="C1472" s="71">
        <v>6271292363.8079395</v>
      </c>
    </row>
    <row r="1473" spans="1:3" ht="13">
      <c r="A1473" s="72">
        <v>43695</v>
      </c>
      <c r="B1473" s="71">
        <v>194.301063739</v>
      </c>
      <c r="C1473" s="71">
        <v>5944419248.4354401</v>
      </c>
    </row>
    <row r="1474" spans="1:3" ht="13">
      <c r="A1474" s="72">
        <v>43696</v>
      </c>
      <c r="B1474" s="71">
        <v>202.999147376</v>
      </c>
      <c r="C1474" s="71">
        <v>6107223830.3666801</v>
      </c>
    </row>
    <row r="1475" spans="1:3" ht="13">
      <c r="A1475" s="72">
        <v>43697</v>
      </c>
      <c r="B1475" s="71">
        <v>196.90581390299999</v>
      </c>
      <c r="C1475" s="71">
        <v>5941080291.0376596</v>
      </c>
    </row>
    <row r="1476" spans="1:3" ht="13">
      <c r="A1476" s="72">
        <v>43698</v>
      </c>
      <c r="B1476" s="71">
        <v>187.492624965</v>
      </c>
      <c r="C1476" s="71">
        <v>7106692603.6346903</v>
      </c>
    </row>
    <row r="1477" spans="1:3" ht="13">
      <c r="A1477" s="72">
        <v>43699</v>
      </c>
      <c r="B1477" s="71">
        <v>191.888370326</v>
      </c>
      <c r="C1477" s="71">
        <v>7519739846.7140598</v>
      </c>
    </row>
    <row r="1478" spans="1:3" ht="13">
      <c r="A1478" s="72">
        <v>43700</v>
      </c>
      <c r="B1478" s="71">
        <v>194.10853417300001</v>
      </c>
      <c r="C1478" s="71">
        <v>5788291845.3836403</v>
      </c>
    </row>
    <row r="1479" spans="1:3" ht="13">
      <c r="A1479" s="72">
        <v>43701</v>
      </c>
      <c r="B1479" s="71">
        <v>190.78807928000001</v>
      </c>
      <c r="C1479" s="71">
        <v>5073679596.79424</v>
      </c>
    </row>
    <row r="1480" spans="1:3" ht="13">
      <c r="A1480" s="72">
        <v>43702</v>
      </c>
      <c r="B1480" s="71">
        <v>187.74894237500001</v>
      </c>
      <c r="C1480" s="71">
        <v>4848420452.4077902</v>
      </c>
    </row>
    <row r="1481" spans="1:3" ht="13">
      <c r="A1481" s="72">
        <v>43703</v>
      </c>
      <c r="B1481" s="71">
        <v>189.69706299800001</v>
      </c>
      <c r="C1481" s="71">
        <v>6151213839.3223305</v>
      </c>
    </row>
    <row r="1482" spans="1:3" ht="13">
      <c r="A1482" s="72">
        <v>43704</v>
      </c>
      <c r="B1482" s="71">
        <v>188.62979753600001</v>
      </c>
      <c r="C1482" s="71">
        <v>5663790695.2911797</v>
      </c>
    </row>
    <row r="1483" spans="1:3" ht="13">
      <c r="A1483" s="72">
        <v>43705</v>
      </c>
      <c r="B1483" s="71">
        <v>173.83116073400001</v>
      </c>
      <c r="C1483" s="71">
        <v>5217329704.8864202</v>
      </c>
    </row>
    <row r="1484" spans="1:3" ht="13">
      <c r="A1484" s="72">
        <v>43706</v>
      </c>
      <c r="B1484" s="71">
        <v>169.047376851</v>
      </c>
      <c r="C1484" s="71">
        <v>6724663099.2971697</v>
      </c>
    </row>
    <row r="1485" spans="1:3" ht="13">
      <c r="A1485" s="72">
        <v>43707</v>
      </c>
      <c r="B1485" s="71">
        <v>168.55442494799999</v>
      </c>
      <c r="C1485" s="71">
        <v>5840482713.8877497</v>
      </c>
    </row>
    <row r="1486" spans="1:3" ht="13">
      <c r="A1486" s="72">
        <v>43708</v>
      </c>
      <c r="B1486" s="71">
        <v>172.195642241</v>
      </c>
      <c r="C1486" s="71">
        <v>5620892279.8827496</v>
      </c>
    </row>
    <row r="1487" spans="1:3" ht="13">
      <c r="A1487" s="72">
        <v>43709</v>
      </c>
      <c r="B1487" s="71">
        <v>170.81712144900001</v>
      </c>
      <c r="C1487" s="71">
        <v>5214989688.3636503</v>
      </c>
    </row>
    <row r="1488" spans="1:3" ht="13">
      <c r="A1488" s="72">
        <v>43710</v>
      </c>
      <c r="B1488" s="71">
        <v>177.95927003700001</v>
      </c>
      <c r="C1488" s="71">
        <v>5513791318.1259203</v>
      </c>
    </row>
    <row r="1489" spans="1:3" ht="13">
      <c r="A1489" s="72">
        <v>43711</v>
      </c>
      <c r="B1489" s="71">
        <v>178.9140596</v>
      </c>
      <c r="C1489" s="71">
        <v>7100471443.32724</v>
      </c>
    </row>
    <row r="1490" spans="1:3" ht="13">
      <c r="A1490" s="72">
        <v>43712</v>
      </c>
      <c r="B1490" s="71">
        <v>175.57580081500001</v>
      </c>
      <c r="C1490" s="71">
        <v>6364989150.3099298</v>
      </c>
    </row>
    <row r="1491" spans="1:3" ht="13">
      <c r="A1491" s="72">
        <v>43713</v>
      </c>
      <c r="B1491" s="71">
        <v>174.31923113600001</v>
      </c>
      <c r="C1491" s="71">
        <v>5472956445.8654404</v>
      </c>
    </row>
    <row r="1492" spans="1:3" ht="13">
      <c r="A1492" s="72">
        <v>43714</v>
      </c>
      <c r="B1492" s="71">
        <v>169.57848375</v>
      </c>
      <c r="C1492" s="71">
        <v>5676953569.3899698</v>
      </c>
    </row>
    <row r="1493" spans="1:3" ht="13">
      <c r="A1493" s="72">
        <v>43715</v>
      </c>
      <c r="B1493" s="71">
        <v>177.745566016</v>
      </c>
      <c r="C1493" s="71">
        <v>6674515345.4811697</v>
      </c>
    </row>
    <row r="1494" spans="1:3" ht="13">
      <c r="A1494" s="72">
        <v>43716</v>
      </c>
      <c r="B1494" s="71">
        <v>180.70368913199999</v>
      </c>
      <c r="C1494" s="71">
        <v>6839726960.4949198</v>
      </c>
    </row>
    <row r="1495" spans="1:3" ht="13">
      <c r="A1495" s="72">
        <v>43717</v>
      </c>
      <c r="B1495" s="71">
        <v>180.74146536000001</v>
      </c>
      <c r="C1495" s="71">
        <v>6312614888.0096197</v>
      </c>
    </row>
    <row r="1496" spans="1:3" ht="13">
      <c r="A1496" s="72">
        <v>43718</v>
      </c>
      <c r="B1496" s="71">
        <v>179.60181640299999</v>
      </c>
      <c r="C1496" s="71">
        <v>6398917079.1610203</v>
      </c>
    </row>
    <row r="1497" spans="1:3" ht="13">
      <c r="A1497" s="72">
        <v>43719</v>
      </c>
      <c r="B1497" s="71">
        <v>177.980211414</v>
      </c>
      <c r="C1497" s="71">
        <v>6265749737.0065002</v>
      </c>
    </row>
    <row r="1498" spans="1:3" ht="13">
      <c r="A1498" s="72">
        <v>43720</v>
      </c>
      <c r="B1498" s="71">
        <v>180.39874461400001</v>
      </c>
      <c r="C1498" s="71">
        <v>6445102743.6962099</v>
      </c>
    </row>
    <row r="1499" spans="1:3" ht="13">
      <c r="A1499" s="72">
        <v>43721</v>
      </c>
      <c r="B1499" s="71">
        <v>180.77819084800001</v>
      </c>
      <c r="C1499" s="71">
        <v>5434477157.2195902</v>
      </c>
    </row>
    <row r="1500" spans="1:3" ht="13">
      <c r="A1500" s="72">
        <v>43722</v>
      </c>
      <c r="B1500" s="71">
        <v>187.612064968</v>
      </c>
      <c r="C1500" s="71">
        <v>5784043067.0111599</v>
      </c>
    </row>
    <row r="1501" spans="1:3" ht="13">
      <c r="A1501" s="72">
        <v>43723</v>
      </c>
      <c r="B1501" s="71">
        <v>188.63888452200001</v>
      </c>
      <c r="C1501" s="71">
        <v>6617953983.8932896</v>
      </c>
    </row>
    <row r="1502" spans="1:3" ht="13">
      <c r="A1502" s="72">
        <v>43724</v>
      </c>
      <c r="B1502" s="71">
        <v>196.39258240000001</v>
      </c>
      <c r="C1502" s="71">
        <v>6713752893.1992302</v>
      </c>
    </row>
    <row r="1503" spans="1:3" ht="13">
      <c r="A1503" s="72">
        <v>43725</v>
      </c>
      <c r="B1503" s="71">
        <v>208.17792362700001</v>
      </c>
      <c r="C1503" s="71">
        <v>8544142426.3931999</v>
      </c>
    </row>
    <row r="1504" spans="1:3" ht="13">
      <c r="A1504" s="72">
        <v>43726</v>
      </c>
      <c r="B1504" s="71">
        <v>210.36213958100001</v>
      </c>
      <c r="C1504" s="71">
        <v>10107522638.551901</v>
      </c>
    </row>
    <row r="1505" spans="1:3" ht="13">
      <c r="A1505" s="72">
        <v>43727</v>
      </c>
      <c r="B1505" s="71">
        <v>221.786826797</v>
      </c>
      <c r="C1505" s="71">
        <v>9016873172.6784401</v>
      </c>
    </row>
    <row r="1506" spans="1:3" ht="13">
      <c r="A1506" s="72">
        <v>43728</v>
      </c>
      <c r="B1506" s="71">
        <v>217.98812402199999</v>
      </c>
      <c r="C1506" s="71">
        <v>9045538020.5318699</v>
      </c>
    </row>
    <row r="1507" spans="1:3" ht="13">
      <c r="A1507" s="72">
        <v>43729</v>
      </c>
      <c r="B1507" s="71">
        <v>215.07493950700001</v>
      </c>
      <c r="C1507" s="71">
        <v>7467570785.4221201</v>
      </c>
    </row>
    <row r="1508" spans="1:3" ht="13">
      <c r="A1508" s="72">
        <v>43730</v>
      </c>
      <c r="B1508" s="71">
        <v>210.65869495499999</v>
      </c>
      <c r="C1508" s="71">
        <v>7420790159.6968699</v>
      </c>
    </row>
    <row r="1509" spans="1:3" ht="13">
      <c r="A1509" s="72">
        <v>43731</v>
      </c>
      <c r="B1509" s="71">
        <v>201.37386982300001</v>
      </c>
      <c r="C1509" s="71">
        <v>6884987385.6667099</v>
      </c>
    </row>
    <row r="1510" spans="1:3" ht="13">
      <c r="A1510" s="72">
        <v>43732</v>
      </c>
      <c r="B1510" s="71">
        <v>167.99665093199999</v>
      </c>
      <c r="C1510" s="71">
        <v>8185654749.1781101</v>
      </c>
    </row>
    <row r="1511" spans="1:3" ht="13">
      <c r="A1511" s="72">
        <v>43733</v>
      </c>
      <c r="B1511" s="71">
        <v>170.064362577</v>
      </c>
      <c r="C1511" s="71">
        <v>11490959156.7155</v>
      </c>
    </row>
    <row r="1512" spans="1:3" ht="13">
      <c r="A1512" s="72">
        <v>43734</v>
      </c>
      <c r="B1512" s="71">
        <v>165.86610391100001</v>
      </c>
      <c r="C1512" s="71">
        <v>7989744173.5467901</v>
      </c>
    </row>
    <row r="1513" spans="1:3" ht="13">
      <c r="A1513" s="72">
        <v>43735</v>
      </c>
      <c r="B1513" s="71">
        <v>173.234546373</v>
      </c>
      <c r="C1513" s="71">
        <v>8260074913.6627598</v>
      </c>
    </row>
    <row r="1514" spans="1:3" ht="13">
      <c r="A1514" s="72">
        <v>43736</v>
      </c>
      <c r="B1514" s="71">
        <v>173.899415928</v>
      </c>
      <c r="C1514" s="71">
        <v>7529915903.6062899</v>
      </c>
    </row>
    <row r="1515" spans="1:3" ht="13">
      <c r="A1515" s="72">
        <v>43737</v>
      </c>
      <c r="B1515" s="71">
        <v>169.83780383499999</v>
      </c>
      <c r="C1515" s="71">
        <v>6800903755.3030796</v>
      </c>
    </row>
    <row r="1516" spans="1:3" ht="13">
      <c r="A1516" s="72">
        <v>43738</v>
      </c>
      <c r="B1516" s="71">
        <v>179.135345242</v>
      </c>
      <c r="C1516" s="71">
        <v>7073942564.5390902</v>
      </c>
    </row>
    <row r="1517" spans="1:3" ht="13">
      <c r="A1517" s="72">
        <v>43739</v>
      </c>
      <c r="B1517" s="71">
        <v>176.29939651000001</v>
      </c>
      <c r="C1517" s="71">
        <v>7836189818.7305698</v>
      </c>
    </row>
    <row r="1518" spans="1:3" ht="13">
      <c r="A1518" s="72">
        <v>43740</v>
      </c>
      <c r="B1518" s="71">
        <v>179.95722490599999</v>
      </c>
      <c r="C1518" s="71">
        <v>6920745239.25457</v>
      </c>
    </row>
    <row r="1519" spans="1:3" ht="13">
      <c r="A1519" s="72">
        <v>43741</v>
      </c>
      <c r="B1519" s="71">
        <v>174.69064331800001</v>
      </c>
      <c r="C1519" s="71">
        <v>6252476276.5996199</v>
      </c>
    </row>
    <row r="1520" spans="1:3" ht="13">
      <c r="A1520" s="72">
        <v>43742</v>
      </c>
      <c r="B1520" s="71">
        <v>175.90079770299999</v>
      </c>
      <c r="C1520" s="71">
        <v>6319550458.9477396</v>
      </c>
    </row>
    <row r="1521" spans="1:3" ht="13">
      <c r="A1521" s="72">
        <v>43743</v>
      </c>
      <c r="B1521" s="71">
        <v>175.62476412199999</v>
      </c>
      <c r="C1521" s="71">
        <v>5980353586.7100897</v>
      </c>
    </row>
    <row r="1522" spans="1:3" ht="13">
      <c r="A1522" s="72">
        <v>43744</v>
      </c>
      <c r="B1522" s="71">
        <v>170.57683827400001</v>
      </c>
      <c r="C1522" s="71">
        <v>5707562955.8298502</v>
      </c>
    </row>
    <row r="1523" spans="1:3" ht="13">
      <c r="A1523" s="72">
        <v>43745</v>
      </c>
      <c r="B1523" s="71">
        <v>180.28195698600001</v>
      </c>
      <c r="C1523" s="71">
        <v>6597205588.7049704</v>
      </c>
    </row>
    <row r="1524" spans="1:3" ht="13">
      <c r="A1524" s="72">
        <v>43746</v>
      </c>
      <c r="B1524" s="71">
        <v>181.02646505800001</v>
      </c>
      <c r="C1524" s="71">
        <v>7647627477.3173599</v>
      </c>
    </row>
    <row r="1525" spans="1:3" ht="13">
      <c r="A1525" s="72">
        <v>43747</v>
      </c>
      <c r="B1525" s="71">
        <v>193.44805652599999</v>
      </c>
      <c r="C1525" s="71">
        <v>7520823494.2884998</v>
      </c>
    </row>
    <row r="1526" spans="1:3" ht="13">
      <c r="A1526" s="72">
        <v>43748</v>
      </c>
      <c r="B1526" s="71">
        <v>191.16172516699999</v>
      </c>
      <c r="C1526" s="71">
        <v>8891085197.9072704</v>
      </c>
    </row>
    <row r="1527" spans="1:3" ht="13">
      <c r="A1527" s="72">
        <v>43749</v>
      </c>
      <c r="B1527" s="71">
        <v>180.77054723699999</v>
      </c>
      <c r="C1527" s="71">
        <v>8622637488.6338902</v>
      </c>
    </row>
    <row r="1528" spans="1:3" ht="13">
      <c r="A1528" s="72">
        <v>43750</v>
      </c>
      <c r="B1528" s="71">
        <v>180.40312755900001</v>
      </c>
      <c r="C1528" s="71">
        <v>7835451166.9161196</v>
      </c>
    </row>
    <row r="1529" spans="1:3" ht="13">
      <c r="A1529" s="72">
        <v>43751</v>
      </c>
      <c r="B1529" s="71">
        <v>181.60654155899999</v>
      </c>
      <c r="C1529" s="71">
        <v>6561848411.8853502</v>
      </c>
    </row>
    <row r="1530" spans="1:3" ht="13">
      <c r="A1530" s="72">
        <v>43752</v>
      </c>
      <c r="B1530" s="71">
        <v>186.48969190299999</v>
      </c>
      <c r="C1530" s="71">
        <v>6551175949.72089</v>
      </c>
    </row>
    <row r="1531" spans="1:3" ht="13">
      <c r="A1531" s="72">
        <v>43753</v>
      </c>
      <c r="B1531" s="71">
        <v>180.80710845999999</v>
      </c>
      <c r="C1531" s="71">
        <v>6862348467.0490904</v>
      </c>
    </row>
    <row r="1532" spans="1:3" ht="13">
      <c r="A1532" s="72">
        <v>43754</v>
      </c>
      <c r="B1532" s="71">
        <v>175.22731005399999</v>
      </c>
      <c r="C1532" s="71">
        <v>7031241990.2249403</v>
      </c>
    </row>
    <row r="1533" spans="1:3" ht="13">
      <c r="A1533" s="72">
        <v>43755</v>
      </c>
      <c r="B1533" s="71">
        <v>177.24389382199999</v>
      </c>
      <c r="C1533" s="71">
        <v>6696472747.5875597</v>
      </c>
    </row>
    <row r="1534" spans="1:3" ht="13">
      <c r="A1534" s="72">
        <v>43756</v>
      </c>
      <c r="B1534" s="71">
        <v>172.97087045200001</v>
      </c>
      <c r="C1534" s="71">
        <v>6593498480.7877302</v>
      </c>
    </row>
    <row r="1535" spans="1:3" ht="13">
      <c r="A1535" s="72">
        <v>43757</v>
      </c>
      <c r="B1535" s="71">
        <v>171.901670946</v>
      </c>
      <c r="C1535" s="71">
        <v>5975720484.5442801</v>
      </c>
    </row>
    <row r="1536" spans="1:3" ht="13">
      <c r="A1536" s="72">
        <v>43758</v>
      </c>
      <c r="B1536" s="71">
        <v>174.89374109100001</v>
      </c>
      <c r="C1536" s="71">
        <v>5894252681.39608</v>
      </c>
    </row>
    <row r="1537" spans="1:3" ht="13">
      <c r="A1537" s="72">
        <v>43759</v>
      </c>
      <c r="B1537" s="71">
        <v>174.27004195999999</v>
      </c>
      <c r="C1537" s="71">
        <v>5820955137.9170704</v>
      </c>
    </row>
    <row r="1538" spans="1:3" ht="13">
      <c r="A1538" s="72">
        <v>43760</v>
      </c>
      <c r="B1538" s="71">
        <v>171.41570860799999</v>
      </c>
      <c r="C1538" s="71">
        <v>5892549428.1582003</v>
      </c>
    </row>
    <row r="1539" spans="1:3" ht="13">
      <c r="A1539" s="72">
        <v>43761</v>
      </c>
      <c r="B1539" s="71">
        <v>161.47013209100001</v>
      </c>
      <c r="C1539" s="71">
        <v>7081887410.6857996</v>
      </c>
    </row>
    <row r="1540" spans="1:3" ht="13">
      <c r="A1540" s="72">
        <v>43762</v>
      </c>
      <c r="B1540" s="71">
        <v>160.81979532400001</v>
      </c>
      <c r="C1540" s="71">
        <v>7949068133.0427904</v>
      </c>
    </row>
    <row r="1541" spans="1:3" ht="13">
      <c r="A1541" s="72">
        <v>43763</v>
      </c>
      <c r="B1541" s="71">
        <v>181.30103342500001</v>
      </c>
      <c r="C1541" s="71">
        <v>6827405926.5560303</v>
      </c>
    </row>
    <row r="1542" spans="1:3" ht="13">
      <c r="A1542" s="72">
        <v>43764</v>
      </c>
      <c r="B1542" s="71">
        <v>179.59507701699999</v>
      </c>
      <c r="C1542" s="71">
        <v>13227181231.384001</v>
      </c>
    </row>
    <row r="1543" spans="1:3" ht="13">
      <c r="A1543" s="72">
        <v>43765</v>
      </c>
      <c r="B1543" s="71">
        <v>184.18788704400001</v>
      </c>
      <c r="C1543" s="71">
        <v>10235813555.389299</v>
      </c>
    </row>
    <row r="1544" spans="1:3" ht="13">
      <c r="A1544" s="72">
        <v>43766</v>
      </c>
      <c r="B1544" s="71">
        <v>182.27807667100001</v>
      </c>
      <c r="C1544" s="71">
        <v>10693021439.506399</v>
      </c>
    </row>
    <row r="1545" spans="1:3" ht="13">
      <c r="A1545" s="72">
        <v>43767</v>
      </c>
      <c r="B1545" s="71">
        <v>190.05867658899999</v>
      </c>
      <c r="C1545" s="71">
        <v>9373341113.6044197</v>
      </c>
    </row>
    <row r="1546" spans="1:3" ht="13">
      <c r="A1546" s="72">
        <v>43768</v>
      </c>
      <c r="B1546" s="71">
        <v>183.88322147299999</v>
      </c>
      <c r="C1546" s="71">
        <v>10153760425.171801</v>
      </c>
    </row>
    <row r="1547" spans="1:3" ht="13">
      <c r="A1547" s="72">
        <v>43769</v>
      </c>
      <c r="B1547" s="71">
        <v>182.88661540699999</v>
      </c>
      <c r="C1547" s="71">
        <v>8995741443.7678909</v>
      </c>
    </row>
    <row r="1548" spans="1:3" ht="13">
      <c r="A1548" s="72">
        <v>43770</v>
      </c>
      <c r="B1548" s="71">
        <v>183.44707404600001</v>
      </c>
      <c r="C1548" s="71">
        <v>8582765813.15728</v>
      </c>
    </row>
    <row r="1549" spans="1:3" ht="13">
      <c r="A1549" s="72">
        <v>43771</v>
      </c>
      <c r="B1549" s="71">
        <v>183.21916656400001</v>
      </c>
      <c r="C1549" s="71">
        <v>7988418578.2075396</v>
      </c>
    </row>
    <row r="1550" spans="1:3" ht="13">
      <c r="A1550" s="72">
        <v>43772</v>
      </c>
      <c r="B1550" s="71">
        <v>181.982251373</v>
      </c>
      <c r="C1550" s="71">
        <v>7690930952.0148497</v>
      </c>
    </row>
    <row r="1551" spans="1:3" ht="13">
      <c r="A1551" s="72">
        <v>43773</v>
      </c>
      <c r="B1551" s="71">
        <v>185.804226701</v>
      </c>
      <c r="C1551" s="71">
        <v>8175927007.01262</v>
      </c>
    </row>
    <row r="1552" spans="1:3" ht="13">
      <c r="A1552" s="72">
        <v>43774</v>
      </c>
      <c r="B1552" s="71">
        <v>189.02880736</v>
      </c>
      <c r="C1552" s="71">
        <v>9360580795.0383091</v>
      </c>
    </row>
    <row r="1553" spans="1:3" ht="13">
      <c r="A1553" s="72">
        <v>43775</v>
      </c>
      <c r="B1553" s="71">
        <v>191.11782478399999</v>
      </c>
      <c r="C1553" s="71">
        <v>9499942341.4577408</v>
      </c>
    </row>
    <row r="1554" spans="1:3" ht="13">
      <c r="A1554" s="72">
        <v>43776</v>
      </c>
      <c r="B1554" s="71">
        <v>186.847609041</v>
      </c>
      <c r="C1554" s="71">
        <v>8343708486.7178602</v>
      </c>
    </row>
    <row r="1555" spans="1:3" ht="13">
      <c r="A1555" s="72">
        <v>43777</v>
      </c>
      <c r="B1555" s="71">
        <v>183.855165658</v>
      </c>
      <c r="C1555" s="71">
        <v>8010937512.7476397</v>
      </c>
    </row>
    <row r="1556" spans="1:3" ht="13">
      <c r="A1556" s="72">
        <v>43778</v>
      </c>
      <c r="B1556" s="71">
        <v>185.077733572</v>
      </c>
      <c r="C1556" s="71">
        <v>7535387683.2884798</v>
      </c>
    </row>
    <row r="1557" spans="1:3" ht="13">
      <c r="A1557" s="72">
        <v>43779</v>
      </c>
      <c r="B1557" s="71">
        <v>189.049407401</v>
      </c>
      <c r="C1557" s="71">
        <v>7199270220.0848398</v>
      </c>
    </row>
    <row r="1558" spans="1:3" ht="13">
      <c r="A1558" s="72">
        <v>43780</v>
      </c>
      <c r="B1558" s="71">
        <v>184.87812610700001</v>
      </c>
      <c r="C1558" s="71">
        <v>7382574261.1548996</v>
      </c>
    </row>
    <row r="1559" spans="1:3" ht="13">
      <c r="A1559" s="72">
        <v>43781</v>
      </c>
      <c r="B1559" s="71">
        <v>186.73246504299999</v>
      </c>
      <c r="C1559" s="71">
        <v>6653371295.1812496</v>
      </c>
    </row>
    <row r="1560" spans="1:3" ht="13">
      <c r="A1560" s="72">
        <v>43782</v>
      </c>
      <c r="B1560" s="71">
        <v>187.99895795200001</v>
      </c>
      <c r="C1560" s="71">
        <v>6516147758.6917896</v>
      </c>
    </row>
    <row r="1561" spans="1:3" ht="13">
      <c r="A1561" s="72">
        <v>43783</v>
      </c>
      <c r="B1561" s="71">
        <v>185.00435686500001</v>
      </c>
      <c r="C1561" s="71">
        <v>6774370284.8638802</v>
      </c>
    </row>
    <row r="1562" spans="1:3" ht="13">
      <c r="A1562" s="72">
        <v>43784</v>
      </c>
      <c r="B1562" s="71">
        <v>180.014382326</v>
      </c>
      <c r="C1562" s="71">
        <v>7378098671.7870398</v>
      </c>
    </row>
    <row r="1563" spans="1:3" ht="13">
      <c r="A1563" s="72">
        <v>43785</v>
      </c>
      <c r="B1563" s="71">
        <v>182.30005242199999</v>
      </c>
      <c r="C1563" s="71">
        <v>6688434252.6319399</v>
      </c>
    </row>
    <row r="1564" spans="1:3" ht="13">
      <c r="A1564" s="72">
        <v>43786</v>
      </c>
      <c r="B1564" s="71">
        <v>183.667781499</v>
      </c>
      <c r="C1564" s="71">
        <v>6053620548.7968998</v>
      </c>
    </row>
    <row r="1565" spans="1:3" ht="13">
      <c r="A1565" s="72">
        <v>43787</v>
      </c>
      <c r="B1565" s="71">
        <v>178.42385563299999</v>
      </c>
      <c r="C1565" s="71">
        <v>6124222208.5789404</v>
      </c>
    </row>
    <row r="1566" spans="1:3" ht="13">
      <c r="A1566" s="72">
        <v>43788</v>
      </c>
      <c r="B1566" s="71">
        <v>175.62428377800001</v>
      </c>
      <c r="C1566" s="71">
        <v>6738091073.0131397</v>
      </c>
    </row>
    <row r="1567" spans="1:3" ht="13">
      <c r="A1567" s="72">
        <v>43789</v>
      </c>
      <c r="B1567" s="71">
        <v>174.84417970499999</v>
      </c>
      <c r="C1567" s="71">
        <v>6287646623.4600401</v>
      </c>
    </row>
    <row r="1568" spans="1:3" ht="13">
      <c r="A1568" s="72">
        <v>43790</v>
      </c>
      <c r="B1568" s="71">
        <v>161.15824111200001</v>
      </c>
      <c r="C1568" s="71">
        <v>6400281678.9556503</v>
      </c>
    </row>
    <row r="1569" spans="1:3" ht="13">
      <c r="A1569" s="72">
        <v>43791</v>
      </c>
      <c r="B1569" s="71">
        <v>150.01901390399999</v>
      </c>
      <c r="C1569" s="71">
        <v>9204689232.9441395</v>
      </c>
    </row>
    <row r="1570" spans="1:3" ht="13">
      <c r="A1570" s="72">
        <v>43792</v>
      </c>
      <c r="B1570" s="71">
        <v>151.75295791100001</v>
      </c>
      <c r="C1570" s="71">
        <v>9046499373.1001892</v>
      </c>
    </row>
    <row r="1571" spans="1:3" ht="13">
      <c r="A1571" s="72">
        <v>43793</v>
      </c>
      <c r="B1571" s="71">
        <v>141.48128952499999</v>
      </c>
      <c r="C1571" s="71">
        <v>6540397846.6819096</v>
      </c>
    </row>
    <row r="1572" spans="1:3" ht="13">
      <c r="A1572" s="72">
        <v>43794</v>
      </c>
      <c r="B1572" s="71">
        <v>146.346976595</v>
      </c>
      <c r="C1572" s="71">
        <v>8640508455.4033794</v>
      </c>
    </row>
    <row r="1573" spans="1:3" ht="13">
      <c r="A1573" s="72">
        <v>43795</v>
      </c>
      <c r="B1573" s="71">
        <v>147.668301286</v>
      </c>
      <c r="C1573" s="71">
        <v>7459502845.4843998</v>
      </c>
    </row>
    <row r="1574" spans="1:3" ht="13">
      <c r="A1574" s="72">
        <v>43796</v>
      </c>
      <c r="B1574" s="71">
        <v>152.481727197</v>
      </c>
      <c r="C1574" s="71">
        <v>6346987334.4762096</v>
      </c>
    </row>
    <row r="1575" spans="1:3" ht="13">
      <c r="A1575" s="72">
        <v>43797</v>
      </c>
      <c r="B1575" s="71">
        <v>151.13501270500001</v>
      </c>
      <c r="C1575" s="71">
        <v>6628467586.9229097</v>
      </c>
    </row>
    <row r="1576" spans="1:3" ht="13">
      <c r="A1576" s="72">
        <v>43798</v>
      </c>
      <c r="B1576" s="71">
        <v>154.393529489</v>
      </c>
      <c r="C1576" s="71">
        <v>5605980993.1656103</v>
      </c>
    </row>
    <row r="1577" spans="1:3" ht="13">
      <c r="A1577" s="72">
        <v>43799</v>
      </c>
      <c r="B1577" s="71">
        <v>151.693594666</v>
      </c>
      <c r="C1577" s="71">
        <v>5462162569.8232603</v>
      </c>
    </row>
    <row r="1578" spans="1:3" ht="13">
      <c r="A1578" s="72">
        <v>43800</v>
      </c>
      <c r="B1578" s="71">
        <v>151.06243392900001</v>
      </c>
      <c r="C1578" s="71">
        <v>5521671125.3227196</v>
      </c>
    </row>
    <row r="1579" spans="1:3" ht="13">
      <c r="A1579" s="72">
        <v>43801</v>
      </c>
      <c r="B1579" s="71">
        <v>148.718888924</v>
      </c>
      <c r="C1579" s="71">
        <v>5106586710.3842001</v>
      </c>
    </row>
    <row r="1580" spans="1:3" ht="13">
      <c r="A1580" s="72">
        <v>43802</v>
      </c>
      <c r="B1580" s="71">
        <v>147.30324218199999</v>
      </c>
      <c r="C1580" s="71">
        <v>4713981349.2539196</v>
      </c>
    </row>
    <row r="1581" spans="1:3" ht="13">
      <c r="A1581" s="72">
        <v>43803</v>
      </c>
      <c r="B1581" s="71">
        <v>145.664311083</v>
      </c>
      <c r="C1581" s="71">
        <v>5235972891.8547497</v>
      </c>
    </row>
    <row r="1582" spans="1:3" ht="13">
      <c r="A1582" s="72">
        <v>43804</v>
      </c>
      <c r="B1582" s="71">
        <v>147.60613576</v>
      </c>
      <c r="C1582" s="71">
        <v>5862981080.0881996</v>
      </c>
    </row>
    <row r="1583" spans="1:3" ht="13">
      <c r="A1583" s="72">
        <v>43805</v>
      </c>
      <c r="B1583" s="71">
        <v>148.176703645</v>
      </c>
      <c r="C1583" s="71">
        <v>4779818871.99932</v>
      </c>
    </row>
    <row r="1584" spans="1:3" ht="13">
      <c r="A1584" s="72">
        <v>43806</v>
      </c>
      <c r="B1584" s="71">
        <v>147.11375656600001</v>
      </c>
      <c r="C1584" s="71">
        <v>4553245415.02036</v>
      </c>
    </row>
    <row r="1585" spans="1:3" ht="13">
      <c r="A1585" s="72">
        <v>43807</v>
      </c>
      <c r="B1585" s="71">
        <v>150.289915304</v>
      </c>
      <c r="C1585" s="71">
        <v>4345839580.5171499</v>
      </c>
    </row>
    <row r="1586" spans="1:3" ht="13">
      <c r="A1586" s="72">
        <v>43808</v>
      </c>
      <c r="B1586" s="71">
        <v>147.40150694600001</v>
      </c>
      <c r="C1586" s="71">
        <v>4961174296.7477398</v>
      </c>
    </row>
    <row r="1587" spans="1:3" ht="13">
      <c r="A1587" s="72">
        <v>43809</v>
      </c>
      <c r="B1587" s="71">
        <v>145.703170774</v>
      </c>
      <c r="C1587" s="71">
        <v>5003078649.8982601</v>
      </c>
    </row>
    <row r="1588" spans="1:3" ht="13">
      <c r="A1588" s="72">
        <v>43810</v>
      </c>
      <c r="B1588" s="71">
        <v>143.41493652299999</v>
      </c>
      <c r="C1588" s="71">
        <v>5242037433.8160896</v>
      </c>
    </row>
    <row r="1589" spans="1:3" ht="13">
      <c r="A1589" s="72">
        <v>43811</v>
      </c>
      <c r="B1589" s="71">
        <v>144.91525553899999</v>
      </c>
      <c r="C1589" s="71">
        <v>5695511595.8586903</v>
      </c>
    </row>
    <row r="1590" spans="1:3" ht="13">
      <c r="A1590" s="72">
        <v>43812</v>
      </c>
      <c r="B1590" s="71">
        <v>144.667096063</v>
      </c>
      <c r="C1590" s="71">
        <v>5365873224.1346502</v>
      </c>
    </row>
    <row r="1591" spans="1:3" ht="13">
      <c r="A1591" s="72">
        <v>43813</v>
      </c>
      <c r="B1591" s="71">
        <v>141.96508024299999</v>
      </c>
      <c r="C1591" s="71">
        <v>5208495696.2449799</v>
      </c>
    </row>
    <row r="1592" spans="1:3" ht="13">
      <c r="A1592" s="72">
        <v>43814</v>
      </c>
      <c r="B1592" s="71">
        <v>142.444275232</v>
      </c>
      <c r="C1592" s="71">
        <v>5119828492.2449703</v>
      </c>
    </row>
    <row r="1593" spans="1:3" ht="13">
      <c r="A1593" s="72">
        <v>43815</v>
      </c>
      <c r="B1593" s="71">
        <v>132.88216212500001</v>
      </c>
      <c r="C1593" s="71">
        <v>5277124971.2260599</v>
      </c>
    </row>
    <row r="1594" spans="1:3" ht="13">
      <c r="A1594" s="72">
        <v>43816</v>
      </c>
      <c r="B1594" s="71">
        <v>121.78305872200001</v>
      </c>
      <c r="C1594" s="71">
        <v>6985932484.2182703</v>
      </c>
    </row>
    <row r="1595" spans="1:3" ht="13">
      <c r="A1595" s="72">
        <v>43817</v>
      </c>
      <c r="B1595" s="71">
        <v>132.79820565200001</v>
      </c>
      <c r="C1595" s="71">
        <v>8815170917.9969196</v>
      </c>
    </row>
    <row r="1596" spans="1:3" ht="13">
      <c r="A1596" s="72">
        <v>43818</v>
      </c>
      <c r="B1596" s="71">
        <v>128.08681353</v>
      </c>
      <c r="C1596" s="71">
        <v>8684228686.3920002</v>
      </c>
    </row>
    <row r="1597" spans="1:3" ht="13">
      <c r="A1597" s="72">
        <v>43819</v>
      </c>
      <c r="B1597" s="71">
        <v>128.391596889</v>
      </c>
      <c r="C1597" s="71">
        <v>6386503160.1066999</v>
      </c>
    </row>
    <row r="1598" spans="1:3" ht="13">
      <c r="A1598" s="72">
        <v>43820</v>
      </c>
      <c r="B1598" s="71">
        <v>127.05353467400001</v>
      </c>
      <c r="C1598" s="71">
        <v>5711451612.04286</v>
      </c>
    </row>
    <row r="1599" spans="1:3" ht="13">
      <c r="A1599" s="72">
        <v>43821</v>
      </c>
      <c r="B1599" s="71">
        <v>131.93510838899999</v>
      </c>
      <c r="C1599" s="71">
        <v>5953209705.5293198</v>
      </c>
    </row>
    <row r="1600" spans="1:3" ht="13">
      <c r="A1600" s="72">
        <v>43822</v>
      </c>
      <c r="B1600" s="71">
        <v>128.028568197</v>
      </c>
      <c r="C1600" s="71">
        <v>7353711285.8074503</v>
      </c>
    </row>
    <row r="1601" spans="1:3" ht="13">
      <c r="A1601" s="72">
        <v>43823</v>
      </c>
      <c r="B1601" s="71">
        <v>127.787955306</v>
      </c>
      <c r="C1601" s="71">
        <v>6461657576.6278801</v>
      </c>
    </row>
    <row r="1602" spans="1:3" ht="13">
      <c r="A1602" s="72">
        <v>43824</v>
      </c>
      <c r="B1602" s="71">
        <v>125.20367844499999</v>
      </c>
      <c r="C1602" s="71">
        <v>6045579382.3752003</v>
      </c>
    </row>
    <row r="1603" spans="1:3" ht="13">
      <c r="A1603" s="72">
        <v>43825</v>
      </c>
      <c r="B1603" s="71">
        <v>125.740018769</v>
      </c>
      <c r="C1603" s="71">
        <v>5955123572.6736698</v>
      </c>
    </row>
    <row r="1604" spans="1:3" ht="13">
      <c r="A1604" s="72">
        <v>43826</v>
      </c>
      <c r="B1604" s="71">
        <v>126.340944233</v>
      </c>
      <c r="C1604" s="71">
        <v>6952737608.3032999</v>
      </c>
    </row>
    <row r="1605" spans="1:3" ht="13">
      <c r="A1605" s="72">
        <v>43827</v>
      </c>
      <c r="B1605" s="71">
        <v>128.23434653999999</v>
      </c>
      <c r="C1605" s="71">
        <v>6360481401.0903997</v>
      </c>
    </row>
    <row r="1606" spans="1:3" ht="13">
      <c r="A1606" s="72">
        <v>43828</v>
      </c>
      <c r="B1606" s="71">
        <v>134.25381468</v>
      </c>
      <c r="C1606" s="71">
        <v>6933106919.9657803</v>
      </c>
    </row>
    <row r="1607" spans="1:3" ht="13">
      <c r="A1607" s="72">
        <v>43829</v>
      </c>
      <c r="B1607" s="71">
        <v>131.650285978</v>
      </c>
      <c r="C1607" s="71">
        <v>8674710935.5216408</v>
      </c>
    </row>
    <row r="1608" spans="1:3" ht="13">
      <c r="A1608" s="72">
        <v>43830</v>
      </c>
      <c r="B1608" s="71">
        <v>129.835250089</v>
      </c>
      <c r="C1608" s="71">
        <v>7739192042.6908302</v>
      </c>
    </row>
    <row r="1609" spans="1:3" ht="13">
      <c r="A1609" s="72">
        <v>43831</v>
      </c>
      <c r="B1609" s="71">
        <v>130.916545571</v>
      </c>
      <c r="C1609" s="71">
        <v>7036988925.1726799</v>
      </c>
    </row>
    <row r="1610" spans="1:3" ht="13">
      <c r="A1610" s="72">
        <v>43832</v>
      </c>
      <c r="B1610" s="71">
        <v>127.117759255</v>
      </c>
      <c r="C1610" s="71">
        <v>6690036711.3476896</v>
      </c>
    </row>
    <row r="1611" spans="1:3" ht="13">
      <c r="A1611" s="72">
        <v>43833</v>
      </c>
      <c r="B1611" s="71">
        <v>133.67536875100001</v>
      </c>
      <c r="C1611" s="71">
        <v>7715596550.35536</v>
      </c>
    </row>
    <row r="1612" spans="1:3" ht="13">
      <c r="A1612" s="72">
        <v>43834</v>
      </c>
      <c r="B1612" s="71">
        <v>134.04970190700001</v>
      </c>
      <c r="C1612" s="71">
        <v>7986617479.6172895</v>
      </c>
    </row>
    <row r="1613" spans="1:3" ht="13">
      <c r="A1613" s="72">
        <v>43835</v>
      </c>
      <c r="B1613" s="71">
        <v>135.26691123000001</v>
      </c>
      <c r="C1613" s="71">
        <v>6731959407.65308</v>
      </c>
    </row>
    <row r="1614" spans="1:3" ht="13">
      <c r="A1614" s="72">
        <v>43836</v>
      </c>
      <c r="B1614" s="71">
        <v>143.90600255699999</v>
      </c>
      <c r="C1614" s="71">
        <v>7771586736.1793003</v>
      </c>
    </row>
    <row r="1615" spans="1:3" ht="13">
      <c r="A1615" s="72">
        <v>43837</v>
      </c>
      <c r="B1615" s="71">
        <v>143.17235684600001</v>
      </c>
      <c r="C1615" s="71">
        <v>8884321399.85145</v>
      </c>
    </row>
    <row r="1616" spans="1:3" ht="13">
      <c r="A1616" s="72">
        <v>43838</v>
      </c>
      <c r="B1616" s="71">
        <v>140.93429055799999</v>
      </c>
      <c r="C1616" s="71">
        <v>9485569495.6456203</v>
      </c>
    </row>
    <row r="1617" spans="1:3" ht="13">
      <c r="A1617" s="72">
        <v>43839</v>
      </c>
      <c r="B1617" s="71">
        <v>138.028595129</v>
      </c>
      <c r="C1617" s="71">
        <v>8407091301.8692703</v>
      </c>
    </row>
    <row r="1618" spans="1:3" ht="13">
      <c r="A1618" s="72">
        <v>43840</v>
      </c>
      <c r="B1618" s="71">
        <v>144.41254771000001</v>
      </c>
      <c r="C1618" s="71">
        <v>8457837520.5775404</v>
      </c>
    </row>
    <row r="1619" spans="1:3" ht="13">
      <c r="A1619" s="72">
        <v>43841</v>
      </c>
      <c r="B1619" s="71">
        <v>143.02101282199999</v>
      </c>
      <c r="C1619" s="71">
        <v>9048431075.9874401</v>
      </c>
    </row>
    <row r="1620" spans="1:3" ht="13">
      <c r="A1620" s="72">
        <v>43842</v>
      </c>
      <c r="B1620" s="71">
        <v>145.22511438500001</v>
      </c>
      <c r="C1620" s="71">
        <v>8263400554.16998</v>
      </c>
    </row>
    <row r="1621" spans="1:3" ht="13">
      <c r="A1621" s="72">
        <v>43843</v>
      </c>
      <c r="B1621" s="71">
        <v>143.850839525</v>
      </c>
      <c r="C1621" s="71">
        <v>7169395337.5017595</v>
      </c>
    </row>
    <row r="1622" spans="1:3" ht="13">
      <c r="A1622" s="72">
        <v>43844</v>
      </c>
      <c r="B1622" s="71">
        <v>165.958548745</v>
      </c>
      <c r="C1622" s="71">
        <v>10369374512.100401</v>
      </c>
    </row>
    <row r="1623" spans="1:3" ht="13">
      <c r="A1623" s="72">
        <v>43845</v>
      </c>
      <c r="B1623" s="71">
        <v>165.804881749</v>
      </c>
      <c r="C1623" s="71">
        <v>16747466657.1035</v>
      </c>
    </row>
    <row r="1624" spans="1:3" ht="13">
      <c r="A1624" s="72">
        <v>43846</v>
      </c>
      <c r="B1624" s="71">
        <v>164.021142715</v>
      </c>
      <c r="C1624" s="71">
        <v>11163152078.074499</v>
      </c>
    </row>
    <row r="1625" spans="1:3" ht="13">
      <c r="A1625" s="72">
        <v>43847</v>
      </c>
      <c r="B1625" s="71">
        <v>171.31372805999999</v>
      </c>
      <c r="C1625" s="71">
        <v>11738055791.0252</v>
      </c>
    </row>
    <row r="1626" spans="1:3" ht="13">
      <c r="A1626" s="72">
        <v>43848</v>
      </c>
      <c r="B1626" s="71">
        <v>175.45327915199999</v>
      </c>
      <c r="C1626" s="71">
        <v>12549934347.4867</v>
      </c>
    </row>
    <row r="1627" spans="1:3" ht="13">
      <c r="A1627" s="72">
        <v>43849</v>
      </c>
      <c r="B1627" s="71">
        <v>166.816860956</v>
      </c>
      <c r="C1627" s="71">
        <v>12273014553.100901</v>
      </c>
    </row>
    <row r="1628" spans="1:3" ht="13">
      <c r="A1628" s="72">
        <v>43850</v>
      </c>
      <c r="B1628" s="71">
        <v>166.913569166</v>
      </c>
      <c r="C1628" s="71">
        <v>9735039230.5420094</v>
      </c>
    </row>
    <row r="1629" spans="1:3" ht="13">
      <c r="A1629" s="72">
        <v>43851</v>
      </c>
      <c r="B1629" s="71">
        <v>169.54510599899999</v>
      </c>
      <c r="C1629" s="71">
        <v>8910265391.3808193</v>
      </c>
    </row>
    <row r="1630" spans="1:3" ht="13">
      <c r="A1630" s="72">
        <v>43852</v>
      </c>
      <c r="B1630" s="71">
        <v>168.08898267000001</v>
      </c>
      <c r="C1630" s="71">
        <v>8577764785.1395702</v>
      </c>
    </row>
    <row r="1631" spans="1:3" ht="13">
      <c r="A1631" s="72">
        <v>43853</v>
      </c>
      <c r="B1631" s="71">
        <v>162.70611954699999</v>
      </c>
      <c r="C1631" s="71">
        <v>8251095643.5320702</v>
      </c>
    </row>
    <row r="1632" spans="1:3" ht="13">
      <c r="A1632" s="72">
        <v>43854</v>
      </c>
      <c r="B1632" s="71">
        <v>162.47967870700001</v>
      </c>
      <c r="C1632" s="71">
        <v>8486145509.0296803</v>
      </c>
    </row>
    <row r="1633" spans="1:3" ht="13">
      <c r="A1633" s="72">
        <v>43855</v>
      </c>
      <c r="B1633" s="71">
        <v>160.83447063400001</v>
      </c>
      <c r="C1633" s="71">
        <v>7617282553.0421104</v>
      </c>
    </row>
    <row r="1634" spans="1:3" ht="13">
      <c r="A1634" s="72">
        <v>43856</v>
      </c>
      <c r="B1634" s="71">
        <v>167.46781331299999</v>
      </c>
      <c r="C1634" s="71">
        <v>6683902752.8202</v>
      </c>
    </row>
    <row r="1635" spans="1:3" ht="13">
      <c r="A1635" s="72">
        <v>43857</v>
      </c>
      <c r="B1635" s="71">
        <v>170.04538629800001</v>
      </c>
      <c r="C1635" s="71">
        <v>8467590810.8305197</v>
      </c>
    </row>
    <row r="1636" spans="1:3" ht="13">
      <c r="A1636" s="72">
        <v>43858</v>
      </c>
      <c r="B1636" s="71">
        <v>175.33039901000001</v>
      </c>
      <c r="C1636" s="71">
        <v>9376107834.731741</v>
      </c>
    </row>
    <row r="1637" spans="1:3" ht="13">
      <c r="A1637" s="72">
        <v>43859</v>
      </c>
      <c r="B1637" s="71">
        <v>174.37631841199999</v>
      </c>
      <c r="C1637" s="71">
        <v>9932455084.4344692</v>
      </c>
    </row>
    <row r="1638" spans="1:3" ht="13">
      <c r="A1638" s="72">
        <v>43860</v>
      </c>
      <c r="B1638" s="71">
        <v>184.38316502199999</v>
      </c>
      <c r="C1638" s="71">
        <v>9152294841.7842999</v>
      </c>
    </row>
    <row r="1639" spans="1:3" ht="13">
      <c r="A1639" s="72">
        <v>43861</v>
      </c>
      <c r="B1639" s="71">
        <v>179.59500708900001</v>
      </c>
      <c r="C1639" s="71">
        <v>11048926824.2502</v>
      </c>
    </row>
    <row r="1640" spans="1:3" ht="13">
      <c r="A1640" s="72">
        <v>43862</v>
      </c>
      <c r="B1640" s="71">
        <v>183.72338426100001</v>
      </c>
      <c r="C1640" s="71">
        <v>9652648260.7867699</v>
      </c>
    </row>
    <row r="1641" spans="1:3" ht="13">
      <c r="A1641" s="72">
        <v>43863</v>
      </c>
      <c r="B1641" s="71">
        <v>188.58944586499999</v>
      </c>
      <c r="C1641" s="71">
        <v>10635139992.4818</v>
      </c>
    </row>
    <row r="1642" spans="1:3" ht="13">
      <c r="A1642" s="72">
        <v>43864</v>
      </c>
      <c r="B1642" s="71">
        <v>189.90615664699999</v>
      </c>
      <c r="C1642" s="71">
        <v>11400969970.6861</v>
      </c>
    </row>
    <row r="1643" spans="1:3" ht="13">
      <c r="A1643" s="72">
        <v>43865</v>
      </c>
      <c r="B1643" s="71">
        <v>188.78187402099999</v>
      </c>
      <c r="C1643" s="71">
        <v>9444011536.4872303</v>
      </c>
    </row>
    <row r="1644" spans="1:3" ht="13">
      <c r="A1644" s="72">
        <v>43866</v>
      </c>
      <c r="B1644" s="71">
        <v>204.01252467699999</v>
      </c>
      <c r="C1644" s="71">
        <v>10214978765.339399</v>
      </c>
    </row>
    <row r="1645" spans="1:3" ht="13">
      <c r="A1645" s="72">
        <v>43867</v>
      </c>
      <c r="B1645" s="71">
        <v>213.00435779700001</v>
      </c>
      <c r="C1645" s="71">
        <v>13981628670.458099</v>
      </c>
    </row>
    <row r="1646" spans="1:3" ht="13">
      <c r="A1646" s="72">
        <v>43868</v>
      </c>
      <c r="B1646" s="71">
        <v>223.47530993500001</v>
      </c>
      <c r="C1646" s="71">
        <v>14983717369.5051</v>
      </c>
    </row>
    <row r="1647" spans="1:3" ht="13">
      <c r="A1647" s="72">
        <v>43869</v>
      </c>
      <c r="B1647" s="71">
        <v>223.57523598500001</v>
      </c>
      <c r="C1647" s="71">
        <v>14418900263.965799</v>
      </c>
    </row>
    <row r="1648" spans="1:3" ht="13">
      <c r="A1648" s="72">
        <v>43870</v>
      </c>
      <c r="B1648" s="71">
        <v>228.18481291099999</v>
      </c>
      <c r="C1648" s="71">
        <v>13672722983.3172</v>
      </c>
    </row>
    <row r="1649" spans="1:3" ht="13">
      <c r="A1649" s="72">
        <v>43871</v>
      </c>
      <c r="B1649" s="71">
        <v>223.58635972600001</v>
      </c>
      <c r="C1649" s="71">
        <v>13466778794.720301</v>
      </c>
    </row>
    <row r="1650" spans="1:3" ht="13">
      <c r="A1650" s="72">
        <v>43872</v>
      </c>
      <c r="B1650" s="71">
        <v>236.458583651</v>
      </c>
      <c r="C1650" s="71">
        <v>13695887436.454399</v>
      </c>
    </row>
    <row r="1651" spans="1:3" ht="13">
      <c r="A1651" s="72">
        <v>43873</v>
      </c>
      <c r="B1651" s="71">
        <v>265.89708494400003</v>
      </c>
      <c r="C1651" s="71">
        <v>19873999516.345699</v>
      </c>
    </row>
    <row r="1652" spans="1:3" ht="13">
      <c r="A1652" s="72">
        <v>43874</v>
      </c>
      <c r="B1652" s="71">
        <v>268.004209753</v>
      </c>
      <c r="C1652" s="71">
        <v>24172902881.401699</v>
      </c>
    </row>
    <row r="1653" spans="1:3" ht="13">
      <c r="A1653" s="72">
        <v>43875</v>
      </c>
      <c r="B1653" s="71">
        <v>284.704467002</v>
      </c>
      <c r="C1653" s="71">
        <v>21852616416.017899</v>
      </c>
    </row>
    <row r="1654" spans="1:3" ht="13">
      <c r="A1654" s="72">
        <v>43876</v>
      </c>
      <c r="B1654" s="71">
        <v>264.16096271700002</v>
      </c>
      <c r="C1654" s="71">
        <v>21444866296.894299</v>
      </c>
    </row>
    <row r="1655" spans="1:3" ht="13">
      <c r="A1655" s="72">
        <v>43877</v>
      </c>
      <c r="B1655" s="71">
        <v>261.54487279199998</v>
      </c>
      <c r="C1655" s="71">
        <v>20684379742.0527</v>
      </c>
    </row>
    <row r="1656" spans="1:3" ht="13">
      <c r="A1656" s="72">
        <v>43878</v>
      </c>
      <c r="B1656" s="71">
        <v>267.85364655400002</v>
      </c>
      <c r="C1656" s="71">
        <v>22974885011.5714</v>
      </c>
    </row>
    <row r="1657" spans="1:3" ht="13">
      <c r="A1657" s="72">
        <v>43879</v>
      </c>
      <c r="B1657" s="71">
        <v>281.63686078900002</v>
      </c>
      <c r="C1657" s="71">
        <v>22461835255.877201</v>
      </c>
    </row>
    <row r="1658" spans="1:3" ht="13">
      <c r="A1658" s="72">
        <v>43880</v>
      </c>
      <c r="B1658" s="71">
        <v>260.43012051599999</v>
      </c>
      <c r="C1658" s="71">
        <v>19868006599.694801</v>
      </c>
    </row>
    <row r="1659" spans="1:3" ht="13">
      <c r="A1659" s="72">
        <v>43881</v>
      </c>
      <c r="B1659" s="71">
        <v>257.76044307400002</v>
      </c>
      <c r="C1659" s="71">
        <v>19767198242.205399</v>
      </c>
    </row>
    <row r="1660" spans="1:3" ht="13">
      <c r="A1660" s="72">
        <v>43882</v>
      </c>
      <c r="B1660" s="71">
        <v>265.35086194100001</v>
      </c>
      <c r="C1660" s="71">
        <v>18123916533.392101</v>
      </c>
    </row>
    <row r="1661" spans="1:3" ht="13">
      <c r="A1661" s="72">
        <v>43883</v>
      </c>
      <c r="B1661" s="71">
        <v>261.57099353000001</v>
      </c>
      <c r="C1661" s="71">
        <v>13993971505.8053</v>
      </c>
    </row>
    <row r="1662" spans="1:3" ht="13">
      <c r="A1662" s="72">
        <v>43884</v>
      </c>
      <c r="B1662" s="71">
        <v>273.581400132</v>
      </c>
      <c r="C1662" s="71">
        <v>13681292041.5382</v>
      </c>
    </row>
    <row r="1663" spans="1:3" ht="13">
      <c r="A1663" s="72">
        <v>43885</v>
      </c>
      <c r="B1663" s="71">
        <v>265.41307471699997</v>
      </c>
      <c r="C1663" s="71">
        <v>15342793708.636499</v>
      </c>
    </row>
    <row r="1664" spans="1:3" ht="13">
      <c r="A1664" s="72">
        <v>43886</v>
      </c>
      <c r="B1664" s="71">
        <v>248.89118266400001</v>
      </c>
      <c r="C1664" s="71">
        <v>16373729917.104099</v>
      </c>
    </row>
    <row r="1665" spans="1:3" ht="13">
      <c r="A1665" s="72">
        <v>43887</v>
      </c>
      <c r="B1665" s="71">
        <v>227.48309314700001</v>
      </c>
      <c r="C1665" s="71">
        <v>18288182164.401501</v>
      </c>
    </row>
    <row r="1666" spans="1:3" ht="13">
      <c r="A1666" s="72">
        <v>43888</v>
      </c>
      <c r="B1666" s="71">
        <v>225.03226774000001</v>
      </c>
      <c r="C1666" s="71">
        <v>21295881650.226898</v>
      </c>
    </row>
    <row r="1667" spans="1:3" ht="13">
      <c r="A1667" s="72">
        <v>43889</v>
      </c>
      <c r="B1667" s="71">
        <v>227.73981150500001</v>
      </c>
      <c r="C1667" s="71">
        <v>17413289895.913101</v>
      </c>
    </row>
    <row r="1668" spans="1:3" ht="13">
      <c r="A1668" s="72">
        <v>43890</v>
      </c>
      <c r="B1668" s="71">
        <v>219.281186467</v>
      </c>
      <c r="C1668" s="71">
        <v>14837537619.781401</v>
      </c>
    </row>
    <row r="1669" spans="1:3" ht="13">
      <c r="A1669" s="72">
        <v>43891</v>
      </c>
      <c r="B1669" s="71">
        <v>218.553323119</v>
      </c>
      <c r="C1669" s="71">
        <v>13121312388.8241</v>
      </c>
    </row>
    <row r="1670" spans="1:3" ht="13">
      <c r="A1670" s="72">
        <v>43892</v>
      </c>
      <c r="B1670" s="71">
        <v>231.27030834999999</v>
      </c>
      <c r="C1670" s="71">
        <v>14173996849.207899</v>
      </c>
    </row>
    <row r="1671" spans="1:3" ht="13">
      <c r="A1671" s="72">
        <v>43893</v>
      </c>
      <c r="B1671" s="71">
        <v>224.141985089</v>
      </c>
      <c r="C1671" s="71">
        <v>15118211689.472</v>
      </c>
    </row>
    <row r="1672" spans="1:3" ht="13">
      <c r="A1672" s="72">
        <v>43894</v>
      </c>
      <c r="B1672" s="71">
        <v>223.857502181</v>
      </c>
      <c r="C1672" s="71">
        <v>13852813891.3076</v>
      </c>
    </row>
    <row r="1673" spans="1:3" ht="13">
      <c r="A1673" s="72">
        <v>43895</v>
      </c>
      <c r="B1673" s="71">
        <v>227.68930019699999</v>
      </c>
      <c r="C1673" s="71">
        <v>12452992052.827</v>
      </c>
    </row>
    <row r="1674" spans="1:3" ht="13">
      <c r="A1674" s="72">
        <v>43896</v>
      </c>
      <c r="B1674" s="71">
        <v>243.87209343000001</v>
      </c>
      <c r="C1674" s="71">
        <v>13692445973.306</v>
      </c>
    </row>
    <row r="1675" spans="1:3" ht="13">
      <c r="A1675" s="72">
        <v>43897</v>
      </c>
      <c r="B1675" s="71">
        <v>237.58979737799999</v>
      </c>
      <c r="C1675" s="71">
        <v>14232754402.6336</v>
      </c>
    </row>
    <row r="1676" spans="1:3" ht="13">
      <c r="A1676" s="72">
        <v>43898</v>
      </c>
      <c r="B1676" s="71">
        <v>199.971510806</v>
      </c>
      <c r="C1676" s="71">
        <v>14767672602.756901</v>
      </c>
    </row>
    <row r="1677" spans="1:3" ht="13">
      <c r="A1677" s="72">
        <v>43899</v>
      </c>
      <c r="B1677" s="71">
        <v>200.90822419700001</v>
      </c>
      <c r="C1677" s="71">
        <v>18677623019.654499</v>
      </c>
    </row>
    <row r="1678" spans="1:3" ht="13">
      <c r="A1678" s="72">
        <v>43900</v>
      </c>
      <c r="B1678" s="71">
        <v>200.61588732600001</v>
      </c>
      <c r="C1678" s="71">
        <v>15684378003.2962</v>
      </c>
    </row>
    <row r="1679" spans="1:3" ht="13">
      <c r="A1679" s="72">
        <v>43901</v>
      </c>
      <c r="B1679" s="71">
        <v>194.640330801</v>
      </c>
      <c r="C1679" s="71">
        <v>12545190706.1329</v>
      </c>
    </row>
    <row r="1680" spans="1:3" ht="13">
      <c r="A1680" s="72">
        <v>43902</v>
      </c>
      <c r="B1680" s="71">
        <v>107.008379492</v>
      </c>
      <c r="C1680" s="71">
        <v>15189358319.2108</v>
      </c>
    </row>
    <row r="1681" spans="1:3" ht="13">
      <c r="A1681" s="72">
        <v>43903</v>
      </c>
      <c r="B1681" s="71">
        <v>132.40931420000001</v>
      </c>
      <c r="C1681" s="71">
        <v>22030640951.208302</v>
      </c>
    </row>
    <row r="1682" spans="1:3" ht="13">
      <c r="A1682" s="72">
        <v>43904</v>
      </c>
      <c r="B1682" s="71">
        <v>123.39586941500001</v>
      </c>
      <c r="C1682" s="71">
        <v>14719502280.778</v>
      </c>
    </row>
    <row r="1683" spans="1:3" ht="13">
      <c r="A1683" s="72">
        <v>43905</v>
      </c>
      <c r="B1683" s="71">
        <v>124.502642483</v>
      </c>
      <c r="C1683" s="71">
        <v>9018642945.1245098</v>
      </c>
    </row>
    <row r="1684" spans="1:3" ht="13">
      <c r="A1684" s="72">
        <v>43906</v>
      </c>
      <c r="B1684" s="71">
        <v>110.425878106</v>
      </c>
      <c r="C1684" s="71">
        <v>10997643817.125799</v>
      </c>
    </row>
    <row r="1685" spans="1:3" ht="13">
      <c r="A1685" s="72">
        <v>43907</v>
      </c>
      <c r="B1685" s="71">
        <v>116.672575198</v>
      </c>
      <c r="C1685" s="71">
        <v>11485836831.6229</v>
      </c>
    </row>
    <row r="1686" spans="1:3" ht="13">
      <c r="A1686" s="72">
        <v>43908</v>
      </c>
      <c r="B1686" s="71">
        <v>117.290632819</v>
      </c>
      <c r="C1686" s="71">
        <v>8427429833.5668201</v>
      </c>
    </row>
    <row r="1687" spans="1:3" ht="13">
      <c r="A1687" s="72">
        <v>43909</v>
      </c>
      <c r="B1687" s="71">
        <v>136.15212901300001</v>
      </c>
      <c r="C1687" s="71">
        <v>36623756445.270798</v>
      </c>
    </row>
    <row r="1688" spans="1:3" ht="13">
      <c r="A1688" s="72">
        <v>43910</v>
      </c>
      <c r="B1688" s="71">
        <v>132.025663106</v>
      </c>
      <c r="C1688" s="71">
        <v>13363195754.2957</v>
      </c>
    </row>
    <row r="1689" spans="1:3" ht="13">
      <c r="A1689" s="72">
        <v>43911</v>
      </c>
      <c r="B1689" s="71">
        <v>131.558644018</v>
      </c>
      <c r="C1689" s="71">
        <v>21781866530.190201</v>
      </c>
    </row>
    <row r="1690" spans="1:3" ht="13">
      <c r="A1690" s="72">
        <v>43912</v>
      </c>
      <c r="B1690" s="71">
        <v>123.701864468</v>
      </c>
      <c r="C1690" s="71">
        <v>75975977548.408493</v>
      </c>
    </row>
    <row r="1691" spans="1:3" ht="13">
      <c r="A1691" s="72">
        <v>43913</v>
      </c>
      <c r="B1691" s="71">
        <v>135.083723308</v>
      </c>
      <c r="C1691" s="71">
        <v>51833881395.3405</v>
      </c>
    </row>
    <row r="1692" spans="1:3" ht="13">
      <c r="A1692" s="72">
        <v>43914</v>
      </c>
      <c r="B1692" s="71">
        <v>138.543429936</v>
      </c>
      <c r="C1692" s="71">
        <v>11303396253.3887</v>
      </c>
    </row>
    <row r="1693" spans="1:3" ht="13">
      <c r="A1693" s="72">
        <v>43915</v>
      </c>
      <c r="B1693" s="71">
        <v>135.96907484799999</v>
      </c>
      <c r="C1693" s="71">
        <v>10361114819.7073</v>
      </c>
    </row>
    <row r="1694" spans="1:3" ht="13">
      <c r="A1694" s="72">
        <v>43916</v>
      </c>
      <c r="B1694" s="71">
        <v>138.20772070800001</v>
      </c>
      <c r="C1694" s="71">
        <v>8291805623.3591099</v>
      </c>
    </row>
    <row r="1695" spans="1:3" ht="13">
      <c r="A1695" s="72">
        <v>43917</v>
      </c>
      <c r="B1695" s="71">
        <v>131.71381021299999</v>
      </c>
      <c r="C1695" s="71">
        <v>8250116076.04424</v>
      </c>
    </row>
    <row r="1696" spans="1:3" ht="13">
      <c r="A1696" s="72">
        <v>43918</v>
      </c>
      <c r="B1696" s="71">
        <v>131.05000216900001</v>
      </c>
      <c r="C1696" s="71">
        <v>8111606820.6918297</v>
      </c>
    </row>
    <row r="1697" spans="1:3" ht="13">
      <c r="A1697" s="72">
        <v>43919</v>
      </c>
      <c r="B1697" s="71">
        <v>125.423225043</v>
      </c>
      <c r="C1697" s="71">
        <v>7682366877.8732595</v>
      </c>
    </row>
    <row r="1698" spans="1:3" ht="13">
      <c r="A1698" s="72">
        <v>43920</v>
      </c>
      <c r="B1698" s="71">
        <v>132.41545440300001</v>
      </c>
      <c r="C1698" s="71">
        <v>7888248583.7093496</v>
      </c>
    </row>
    <row r="1699" spans="1:3" ht="13">
      <c r="A1699" s="72">
        <v>43921</v>
      </c>
      <c r="B1699" s="71">
        <v>133.36476028199999</v>
      </c>
      <c r="C1699" s="71">
        <v>7958860154.1164904</v>
      </c>
    </row>
    <row r="1700" spans="1:3" ht="13">
      <c r="A1700" s="72">
        <v>43922</v>
      </c>
      <c r="B1700" s="71">
        <v>134.91269235499999</v>
      </c>
      <c r="C1700" s="71">
        <v>7762114817.49228</v>
      </c>
    </row>
    <row r="1701" spans="1:3" ht="13">
      <c r="A1701" s="72">
        <v>43923</v>
      </c>
      <c r="B1701" s="71">
        <v>140.917345023</v>
      </c>
      <c r="C1701" s="71">
        <v>10034955895.688</v>
      </c>
    </row>
    <row r="1702" spans="1:3" ht="13">
      <c r="A1702" s="72">
        <v>43924</v>
      </c>
      <c r="B1702" s="71">
        <v>141.16326768600001</v>
      </c>
      <c r="C1702" s="71">
        <v>10602273859.7101</v>
      </c>
    </row>
    <row r="1703" spans="1:3" ht="13">
      <c r="A1703" s="72">
        <v>43925</v>
      </c>
      <c r="B1703" s="71">
        <v>144.082239582</v>
      </c>
      <c r="C1703" s="71">
        <v>8179879982.0476999</v>
      </c>
    </row>
    <row r="1704" spans="1:3" ht="13">
      <c r="A1704" s="72">
        <v>43926</v>
      </c>
      <c r="B1704" s="71">
        <v>143.16473068900001</v>
      </c>
      <c r="C1704" s="71">
        <v>7575353955.9329901</v>
      </c>
    </row>
    <row r="1705" spans="1:3" ht="13">
      <c r="A1705" s="72">
        <v>43927</v>
      </c>
      <c r="B1705" s="71">
        <v>169.82077991899999</v>
      </c>
      <c r="C1705" s="71">
        <v>11535643994.179899</v>
      </c>
    </row>
    <row r="1706" spans="1:3" ht="13">
      <c r="A1706" s="72">
        <v>43928</v>
      </c>
      <c r="B1706" s="71">
        <v>164.96331071099999</v>
      </c>
      <c r="C1706" s="71">
        <v>17553029602.361</v>
      </c>
    </row>
    <row r="1707" spans="1:3" ht="13">
      <c r="A1707" s="72">
        <v>43929</v>
      </c>
      <c r="B1707" s="71">
        <v>172.78801754899999</v>
      </c>
      <c r="C1707" s="71">
        <v>14116847315.037001</v>
      </c>
    </row>
    <row r="1708" spans="1:3" ht="13">
      <c r="A1708" s="72">
        <v>43930</v>
      </c>
      <c r="B1708" s="71">
        <v>170.178764328</v>
      </c>
      <c r="C1708" s="71">
        <v>10992699000.3755</v>
      </c>
    </row>
    <row r="1709" spans="1:3" ht="13">
      <c r="A1709" s="72">
        <v>43931</v>
      </c>
      <c r="B1709" s="71">
        <v>157.64427135700001</v>
      </c>
      <c r="C1709" s="71">
        <v>12597805394.073</v>
      </c>
    </row>
    <row r="1710" spans="1:3" ht="13">
      <c r="A1710" s="72">
        <v>43932</v>
      </c>
      <c r="B1710" s="71">
        <v>158.09504755500001</v>
      </c>
      <c r="C1710" s="71">
        <v>11721136920.780001</v>
      </c>
    </row>
    <row r="1711" spans="1:3" ht="13">
      <c r="A1711" s="72">
        <v>43933</v>
      </c>
      <c r="B1711" s="71">
        <v>160.11192081199999</v>
      </c>
      <c r="C1711" s="71">
        <v>10328332720.539</v>
      </c>
    </row>
    <row r="1712" spans="1:3" ht="13">
      <c r="A1712" s="72">
        <v>43934</v>
      </c>
      <c r="B1712" s="71">
        <v>156.421702697</v>
      </c>
      <c r="C1712" s="71">
        <v>12659600707.7836</v>
      </c>
    </row>
    <row r="1713" spans="1:3" ht="13">
      <c r="A1713" s="72">
        <v>43935</v>
      </c>
      <c r="B1713" s="71">
        <v>158.14384471400001</v>
      </c>
      <c r="C1713" s="71">
        <v>11247888932.451599</v>
      </c>
    </row>
    <row r="1714" spans="1:3" ht="13">
      <c r="A1714" s="72">
        <v>43936</v>
      </c>
      <c r="B1714" s="71">
        <v>153.38230165100001</v>
      </c>
      <c r="C1714" s="71">
        <v>11232326018.028601</v>
      </c>
    </row>
    <row r="1715" spans="1:3" ht="13">
      <c r="A1715" s="72">
        <v>43937</v>
      </c>
      <c r="B1715" s="71">
        <v>171.90488208400001</v>
      </c>
      <c r="C1715" s="71">
        <v>14951703711.646799</v>
      </c>
    </row>
    <row r="1716" spans="1:3" ht="13">
      <c r="A1716" s="72">
        <v>43938</v>
      </c>
      <c r="B1716" s="71">
        <v>170.65150731700001</v>
      </c>
      <c r="C1716" s="71">
        <v>14838850111.0077</v>
      </c>
    </row>
    <row r="1717" spans="1:3" ht="13">
      <c r="A1717" s="72">
        <v>43939</v>
      </c>
      <c r="B1717" s="71">
        <v>186.680127126</v>
      </c>
      <c r="C1717" s="71">
        <v>13252706071.796499</v>
      </c>
    </row>
    <row r="1718" spans="1:3" ht="13">
      <c r="A1718" s="72">
        <v>43940</v>
      </c>
      <c r="B1718" s="71">
        <v>180.458774447</v>
      </c>
      <c r="C1718" s="71">
        <v>16082484089.770599</v>
      </c>
    </row>
    <row r="1719" spans="1:3" ht="13">
      <c r="A1719" s="72">
        <v>43941</v>
      </c>
      <c r="B1719" s="71">
        <v>171.139673356</v>
      </c>
      <c r="C1719" s="71">
        <v>15529472258.2761</v>
      </c>
    </row>
    <row r="1720" spans="1:3" ht="13">
      <c r="A1720" s="72">
        <v>43942</v>
      </c>
      <c r="B1720" s="71">
        <v>170.99390233299999</v>
      </c>
      <c r="C1720" s="71">
        <v>16029201040.782</v>
      </c>
    </row>
    <row r="1721" spans="1:3" ht="13">
      <c r="A1721" s="72">
        <v>43943</v>
      </c>
      <c r="B1721" s="71">
        <v>182.08903681999999</v>
      </c>
      <c r="C1721" s="71">
        <v>12960518895.8258</v>
      </c>
    </row>
    <row r="1722" spans="1:3" ht="13">
      <c r="A1722" s="72">
        <v>43944</v>
      </c>
      <c r="B1722" s="71">
        <v>184.98347626399999</v>
      </c>
      <c r="C1722" s="71">
        <v>15160613340.6092</v>
      </c>
    </row>
    <row r="1723" spans="1:3" ht="13">
      <c r="A1723" s="72">
        <v>43945</v>
      </c>
      <c r="B1723" s="71">
        <v>187.45886077899999</v>
      </c>
      <c r="C1723" s="71">
        <v>14789422005.387501</v>
      </c>
    </row>
    <row r="1724" spans="1:3" ht="13">
      <c r="A1724" s="72">
        <v>43946</v>
      </c>
      <c r="B1724" s="71">
        <v>194.00791275700001</v>
      </c>
      <c r="C1724" s="71">
        <v>13384323121.603901</v>
      </c>
    </row>
    <row r="1725" spans="1:3" ht="13">
      <c r="A1725" s="72">
        <v>43947</v>
      </c>
      <c r="B1725" s="71">
        <v>196.76665238800001</v>
      </c>
      <c r="C1725" s="71">
        <v>13217089945.688</v>
      </c>
    </row>
    <row r="1726" spans="1:3" ht="13">
      <c r="A1726" s="72">
        <v>43948</v>
      </c>
      <c r="B1726" s="71">
        <v>196.224923813</v>
      </c>
      <c r="C1726" s="71">
        <v>14347611517.262899</v>
      </c>
    </row>
    <row r="1727" spans="1:3" ht="13">
      <c r="A1727" s="72">
        <v>43949</v>
      </c>
      <c r="B1727" s="71">
        <v>197.125676833</v>
      </c>
      <c r="C1727" s="71">
        <v>13468804790.343599</v>
      </c>
    </row>
    <row r="1728" spans="1:3" ht="13">
      <c r="A1728" s="72">
        <v>43950</v>
      </c>
      <c r="B1728" s="71">
        <v>214.90044179700001</v>
      </c>
      <c r="C1728" s="71">
        <v>16360133178.812201</v>
      </c>
    </row>
    <row r="1729" spans="1:3" ht="13">
      <c r="A1729" s="72">
        <v>43951</v>
      </c>
      <c r="B1729" s="71">
        <v>205.781142308</v>
      </c>
      <c r="C1729" s="71">
        <v>21949772004.7187</v>
      </c>
    </row>
    <row r="1730" spans="1:3" ht="13">
      <c r="A1730" s="72">
        <v>43952</v>
      </c>
      <c r="B1730" s="71">
        <v>212.20474413400001</v>
      </c>
      <c r="C1730" s="71">
        <v>18548033560.4039</v>
      </c>
    </row>
    <row r="1731" spans="1:3" ht="13">
      <c r="A1731" s="72">
        <v>43953</v>
      </c>
      <c r="B1731" s="71">
        <v>214.08330550700001</v>
      </c>
      <c r="C1731" s="71">
        <v>14573505775.510401</v>
      </c>
    </row>
    <row r="1732" spans="1:3" ht="13">
      <c r="A1732" s="72">
        <v>43954</v>
      </c>
      <c r="B1732" s="71">
        <v>209.90565899699999</v>
      </c>
      <c r="C1732" s="71">
        <v>14992442059.9034</v>
      </c>
    </row>
    <row r="1733" spans="1:3" ht="13">
      <c r="A1733" s="72">
        <v>43955</v>
      </c>
      <c r="B1733" s="71">
        <v>206.96922135899999</v>
      </c>
      <c r="C1733" s="71">
        <v>15841145131.260099</v>
      </c>
    </row>
    <row r="1734" spans="1:3" ht="13">
      <c r="A1734" s="72">
        <v>43956</v>
      </c>
      <c r="B1734" s="71">
        <v>204.561741584</v>
      </c>
      <c r="C1734" s="71">
        <v>14903296223.7682</v>
      </c>
    </row>
    <row r="1735" spans="1:3" ht="13">
      <c r="A1735" s="72">
        <v>43957</v>
      </c>
      <c r="B1735" s="71">
        <v>201.10254733900001</v>
      </c>
      <c r="C1735" s="71">
        <v>14224517545.597401</v>
      </c>
    </row>
    <row r="1736" spans="1:3" ht="13">
      <c r="A1736" s="72">
        <v>43958</v>
      </c>
      <c r="B1736" s="71">
        <v>212.42213712500001</v>
      </c>
      <c r="C1736" s="71">
        <v>16443503902.2862</v>
      </c>
    </row>
    <row r="1737" spans="1:3" ht="13">
      <c r="A1737" s="72">
        <v>43959</v>
      </c>
      <c r="B1737" s="71">
        <v>211.70898808800001</v>
      </c>
      <c r="C1737" s="71">
        <v>17108159080.4058</v>
      </c>
    </row>
    <row r="1738" spans="1:3" ht="13">
      <c r="A1738" s="72">
        <v>43960</v>
      </c>
      <c r="B1738" s="71">
        <v>210.61116081700001</v>
      </c>
      <c r="C1738" s="71">
        <v>14312675013.6553</v>
      </c>
    </row>
    <row r="1739" spans="1:3" ht="13">
      <c r="A1739" s="72">
        <v>43961</v>
      </c>
      <c r="B1739" s="71">
        <v>187.99800429800001</v>
      </c>
      <c r="C1739" s="71">
        <v>17690796421.2691</v>
      </c>
    </row>
    <row r="1740" spans="1:3" ht="13">
      <c r="A1740" s="72">
        <v>43962</v>
      </c>
      <c r="B1740" s="71">
        <v>185.95035475099999</v>
      </c>
      <c r="C1740" s="71">
        <v>15293555758.236799</v>
      </c>
    </row>
    <row r="1741" spans="1:3" ht="13">
      <c r="A1741" s="72">
        <v>43963</v>
      </c>
      <c r="B1741" s="71">
        <v>189.45576978599999</v>
      </c>
      <c r="C1741" s="71">
        <v>14204738794.046499</v>
      </c>
    </row>
    <row r="1742" spans="1:3" ht="13">
      <c r="A1742" s="72">
        <v>43964</v>
      </c>
      <c r="B1742" s="71">
        <v>199.427059646</v>
      </c>
      <c r="C1742" s="71">
        <v>12166676581.241899</v>
      </c>
    </row>
    <row r="1743" spans="1:3" ht="13">
      <c r="A1743" s="72">
        <v>43965</v>
      </c>
      <c r="B1743" s="71">
        <v>203.06572107900001</v>
      </c>
      <c r="C1743" s="71">
        <v>15161884337.3386</v>
      </c>
    </row>
    <row r="1744" spans="1:3" ht="13">
      <c r="A1744" s="72">
        <v>43966</v>
      </c>
      <c r="B1744" s="71">
        <v>194.58234962500001</v>
      </c>
      <c r="C1744" s="71">
        <v>14812112522.723301</v>
      </c>
    </row>
    <row r="1745" spans="1:3" ht="13">
      <c r="A1745" s="72">
        <v>43967</v>
      </c>
      <c r="B1745" s="71">
        <v>200.689502116</v>
      </c>
      <c r="C1745" s="71">
        <v>13145310042.868299</v>
      </c>
    </row>
    <row r="1746" spans="1:3" ht="13">
      <c r="A1746" s="72">
        <v>43968</v>
      </c>
      <c r="B1746" s="71">
        <v>206.88626039799999</v>
      </c>
      <c r="C1746" s="71">
        <v>12082489921.020599</v>
      </c>
    </row>
    <row r="1747" spans="1:3" ht="13">
      <c r="A1747" s="72">
        <v>43969</v>
      </c>
      <c r="B1747" s="71">
        <v>214.38803073299999</v>
      </c>
      <c r="C1747" s="71">
        <v>14238424661.5495</v>
      </c>
    </row>
    <row r="1748" spans="1:3" ht="13">
      <c r="A1748" s="72">
        <v>43970</v>
      </c>
      <c r="B1748" s="71">
        <v>213.618374781</v>
      </c>
      <c r="C1748" s="71">
        <v>12335601728.8029</v>
      </c>
    </row>
    <row r="1749" spans="1:3" ht="13">
      <c r="A1749" s="72">
        <v>43971</v>
      </c>
      <c r="B1749" s="71">
        <v>209.93871422199999</v>
      </c>
      <c r="C1749" s="71">
        <v>10743231231.302799</v>
      </c>
    </row>
    <row r="1750" spans="1:3" ht="13">
      <c r="A1750" s="72">
        <v>43972</v>
      </c>
      <c r="B1750" s="71">
        <v>199.132573331</v>
      </c>
      <c r="C1750" s="71">
        <v>10726046150.241301</v>
      </c>
    </row>
    <row r="1751" spans="1:3" ht="13">
      <c r="A1751" s="72">
        <v>43973</v>
      </c>
      <c r="B1751" s="71">
        <v>206.80257610300001</v>
      </c>
      <c r="C1751" s="71">
        <v>10925135757.071199</v>
      </c>
    </row>
    <row r="1752" spans="1:3" ht="13">
      <c r="A1752" s="72">
        <v>43974</v>
      </c>
      <c r="B1752" s="71">
        <v>206.55871711699999</v>
      </c>
      <c r="C1752" s="71">
        <v>9571982860.1346207</v>
      </c>
    </row>
    <row r="1753" spans="1:3" ht="13">
      <c r="A1753" s="72">
        <v>43975</v>
      </c>
      <c r="B1753" s="71">
        <v>202.03390027899999</v>
      </c>
      <c r="C1753" s="71">
        <v>8430894690.68925</v>
      </c>
    </row>
    <row r="1754" spans="1:3" ht="13">
      <c r="A1754" s="72">
        <v>43976</v>
      </c>
      <c r="B1754" s="71">
        <v>204.12476589600001</v>
      </c>
      <c r="C1754" s="71">
        <v>9480976188.59548</v>
      </c>
    </row>
    <row r="1755" spans="1:3" ht="13">
      <c r="A1755" s="72">
        <v>43977</v>
      </c>
      <c r="B1755" s="71">
        <v>201.069135536</v>
      </c>
      <c r="C1755" s="71">
        <v>7916217217.2736702</v>
      </c>
    </row>
    <row r="1756" spans="1:3" ht="13">
      <c r="A1756" s="72">
        <v>43978</v>
      </c>
      <c r="B1756" s="71">
        <v>207.44972743100001</v>
      </c>
      <c r="C1756" s="71">
        <v>8177164284.0534201</v>
      </c>
    </row>
    <row r="1757" spans="1:3" ht="13">
      <c r="A1757" s="72">
        <v>43979</v>
      </c>
      <c r="B1757" s="71">
        <v>218.63981951</v>
      </c>
      <c r="C1757" s="71">
        <v>8538289784.8239698</v>
      </c>
    </row>
    <row r="1758" spans="1:3" ht="13">
      <c r="A1758" s="72">
        <v>43980</v>
      </c>
      <c r="B1758" s="71">
        <v>220.137673345</v>
      </c>
      <c r="C1758" s="71">
        <v>11557721298.612499</v>
      </c>
    </row>
    <row r="1759" spans="1:3" ht="13">
      <c r="A1759" s="72">
        <v>43981</v>
      </c>
      <c r="B1759" s="71">
        <v>242.460016723</v>
      </c>
      <c r="C1759" s="71">
        <v>10876356549.790199</v>
      </c>
    </row>
    <row r="1760" spans="1:3" ht="13">
      <c r="A1760" s="72">
        <v>43982</v>
      </c>
      <c r="B1760" s="71">
        <v>231.996814124</v>
      </c>
      <c r="C1760" s="71">
        <v>12368591238.364401</v>
      </c>
    </row>
    <row r="1761" spans="1:3" ht="13">
      <c r="A1761" s="72">
        <v>43983</v>
      </c>
      <c r="B1761" s="71">
        <v>247.85940130899999</v>
      </c>
      <c r="C1761" s="71">
        <v>10850713400.1485</v>
      </c>
    </row>
    <row r="1762" spans="1:3" ht="13">
      <c r="A1762" s="72">
        <v>43984</v>
      </c>
      <c r="B1762" s="71">
        <v>237.68096724899999</v>
      </c>
      <c r="C1762" s="71">
        <v>11977471608.173201</v>
      </c>
    </row>
    <row r="1763" spans="1:3" ht="13">
      <c r="A1763" s="72">
        <v>43985</v>
      </c>
      <c r="B1763" s="71">
        <v>244.170851121</v>
      </c>
      <c r="C1763" s="71">
        <v>10085839970.363501</v>
      </c>
    </row>
    <row r="1764" spans="1:3" ht="13">
      <c r="A1764" s="72">
        <v>43986</v>
      </c>
      <c r="B1764" s="71">
        <v>243.63383383999999</v>
      </c>
      <c r="C1764" s="71">
        <v>8592508026.881321</v>
      </c>
    </row>
    <row r="1765" spans="1:3" ht="13">
      <c r="A1765" s="72">
        <v>43987</v>
      </c>
      <c r="B1765" s="71">
        <v>240.433126031</v>
      </c>
      <c r="C1765" s="71">
        <v>8488057700.5975704</v>
      </c>
    </row>
    <row r="1766" spans="1:3" ht="13">
      <c r="A1766" s="72">
        <v>43988</v>
      </c>
      <c r="B1766" s="71">
        <v>241.85863894400001</v>
      </c>
      <c r="C1766" s="71">
        <v>7336086541.57164</v>
      </c>
    </row>
    <row r="1767" spans="1:3" ht="13">
      <c r="A1767" s="72">
        <v>43989</v>
      </c>
      <c r="B1767" s="71">
        <v>244.05842139500001</v>
      </c>
      <c r="C1767" s="71">
        <v>6788697026.4506397</v>
      </c>
    </row>
    <row r="1768" spans="1:3" ht="13">
      <c r="A1768" s="72">
        <v>43990</v>
      </c>
      <c r="B1768" s="71">
        <v>246.37811569300001</v>
      </c>
      <c r="C1768" s="71">
        <v>7925119435.4918203</v>
      </c>
    </row>
    <row r="1769" spans="1:3" ht="13">
      <c r="A1769" s="72">
        <v>43991</v>
      </c>
      <c r="B1769" s="71">
        <v>243.84233571999999</v>
      </c>
      <c r="C1769" s="71">
        <v>6957291391.6882296</v>
      </c>
    </row>
    <row r="1770" spans="1:3" ht="13">
      <c r="A1770" s="72">
        <v>43992</v>
      </c>
      <c r="B1770" s="71">
        <v>247.42369167000001</v>
      </c>
      <c r="C1770" s="71">
        <v>6048210826.6448402</v>
      </c>
    </row>
    <row r="1771" spans="1:3" ht="13">
      <c r="A1771" s="72">
        <v>43993</v>
      </c>
      <c r="B1771" s="71">
        <v>231.684924223</v>
      </c>
      <c r="C1771" s="71">
        <v>8853781172.7251892</v>
      </c>
    </row>
    <row r="1772" spans="1:3" ht="13">
      <c r="A1772" s="72">
        <v>43994</v>
      </c>
      <c r="B1772" s="71">
        <v>237.33735205400001</v>
      </c>
      <c r="C1772" s="71">
        <v>9458729936.5745602</v>
      </c>
    </row>
    <row r="1773" spans="1:3" ht="13">
      <c r="A1773" s="72">
        <v>43995</v>
      </c>
      <c r="B1773" s="71">
        <v>238.13314199199999</v>
      </c>
      <c r="C1773" s="71">
        <v>5982190206.3470001</v>
      </c>
    </row>
    <row r="1774" spans="1:3" ht="13">
      <c r="A1774" s="72">
        <v>43996</v>
      </c>
      <c r="B1774" s="71">
        <v>232.85738889699999</v>
      </c>
      <c r="C1774" s="71">
        <v>5675792063.77038</v>
      </c>
    </row>
    <row r="1775" spans="1:3" ht="13">
      <c r="A1775" s="72">
        <v>43997</v>
      </c>
      <c r="B1775" s="71">
        <v>230.81812489999999</v>
      </c>
      <c r="C1775" s="71">
        <v>8069366775.6013699</v>
      </c>
    </row>
    <row r="1776" spans="1:3" ht="13">
      <c r="A1776" s="72">
        <v>43998</v>
      </c>
      <c r="B1776" s="71">
        <v>235.256045376</v>
      </c>
      <c r="C1776" s="71">
        <v>7268339509.6134796</v>
      </c>
    </row>
    <row r="1777" spans="1:3" ht="13">
      <c r="A1777" s="72">
        <v>43999</v>
      </c>
      <c r="B1777" s="71">
        <v>234.045622635</v>
      </c>
      <c r="C1777" s="71">
        <v>5843949644.6201401</v>
      </c>
    </row>
    <row r="1778" spans="1:3" ht="13">
      <c r="A1778" s="72">
        <v>44000</v>
      </c>
      <c r="B1778" s="71">
        <v>231.69105982100001</v>
      </c>
      <c r="C1778" s="71">
        <v>6037576925.3682604</v>
      </c>
    </row>
    <row r="1779" spans="1:3" ht="13">
      <c r="A1779" s="72">
        <v>44001</v>
      </c>
      <c r="B1779" s="71">
        <v>228.74430480300001</v>
      </c>
      <c r="C1779" s="71">
        <v>6241277839.4422398</v>
      </c>
    </row>
    <row r="1780" spans="1:3" ht="13">
      <c r="A1780" s="72">
        <v>44002</v>
      </c>
      <c r="B1780" s="71">
        <v>229.00659802600001</v>
      </c>
      <c r="C1780" s="71">
        <v>5597088075.6970901</v>
      </c>
    </row>
    <row r="1781" spans="1:3" ht="13">
      <c r="A1781" s="72">
        <v>44003</v>
      </c>
      <c r="B1781" s="71">
        <v>227.90963079700001</v>
      </c>
      <c r="C1781" s="71">
        <v>4729805925.7967901</v>
      </c>
    </row>
    <row r="1782" spans="1:3" ht="13">
      <c r="A1782" s="72">
        <v>44004</v>
      </c>
      <c r="B1782" s="71">
        <v>243.13930890399999</v>
      </c>
      <c r="C1782" s="71">
        <v>5889313680.44028</v>
      </c>
    </row>
    <row r="1783" spans="1:3" ht="13">
      <c r="A1783" s="72">
        <v>44005</v>
      </c>
      <c r="B1783" s="71">
        <v>242.932288731</v>
      </c>
      <c r="C1783" s="71">
        <v>6553742454.5969801</v>
      </c>
    </row>
    <row r="1784" spans="1:3" ht="13">
      <c r="A1784" s="72">
        <v>44006</v>
      </c>
      <c r="B1784" s="71">
        <v>234.69432212699999</v>
      </c>
      <c r="C1784" s="71">
        <v>6446440943.76826</v>
      </c>
    </row>
    <row r="1785" spans="1:3" ht="13">
      <c r="A1785" s="72">
        <v>44007</v>
      </c>
      <c r="B1785" s="71">
        <v>232.737107377</v>
      </c>
      <c r="C1785" s="71">
        <v>6748072455.6707697</v>
      </c>
    </row>
    <row r="1786" spans="1:3" ht="13">
      <c r="A1786" s="72">
        <v>44008</v>
      </c>
      <c r="B1786" s="71">
        <v>229.68656806600001</v>
      </c>
      <c r="C1786" s="71">
        <v>5423818528.62356</v>
      </c>
    </row>
    <row r="1787" spans="1:3" ht="13">
      <c r="A1787" s="72">
        <v>44009</v>
      </c>
      <c r="B1787" s="71">
        <v>221.084688333</v>
      </c>
      <c r="C1787" s="71">
        <v>5014409697.5444298</v>
      </c>
    </row>
    <row r="1788" spans="1:3" ht="13">
      <c r="A1788" s="72">
        <v>44010</v>
      </c>
      <c r="B1788" s="71">
        <v>224.86900957399999</v>
      </c>
      <c r="C1788" s="71">
        <v>5629967266.9541998</v>
      </c>
    </row>
    <row r="1789" spans="1:3" ht="13">
      <c r="A1789" s="72">
        <v>44011</v>
      </c>
      <c r="B1789" s="71">
        <v>227.75230482399999</v>
      </c>
      <c r="C1789" s="71">
        <v>5098196136.7063503</v>
      </c>
    </row>
    <row r="1790" spans="1:3" ht="13">
      <c r="A1790" s="72">
        <v>44012</v>
      </c>
      <c r="B1790" s="71">
        <v>225.84011110399999</v>
      </c>
      <c r="C1790" s="71">
        <v>5302482851.1512899</v>
      </c>
    </row>
    <row r="1791" spans="1:3" ht="13">
      <c r="A1791" s="72">
        <v>44013</v>
      </c>
      <c r="B1791" s="71">
        <v>230.57222653299999</v>
      </c>
      <c r="C1791" s="71">
        <v>4919654732.4544296</v>
      </c>
    </row>
    <row r="1792" spans="1:3" ht="13">
      <c r="A1792" s="72">
        <v>44014</v>
      </c>
      <c r="B1792" s="71">
        <v>226.93722266</v>
      </c>
      <c r="C1792" s="71">
        <v>5302575968.5652599</v>
      </c>
    </row>
    <row r="1793" spans="1:3" ht="13">
      <c r="A1793" s="72">
        <v>44015</v>
      </c>
      <c r="B1793" s="71">
        <v>225.17716095</v>
      </c>
      <c r="C1793" s="71">
        <v>4918815292.6868401</v>
      </c>
    </row>
    <row r="1794" spans="1:3" ht="13">
      <c r="A1794" s="72">
        <v>44016</v>
      </c>
      <c r="B1794" s="71">
        <v>228.97704499899999</v>
      </c>
      <c r="C1794" s="71">
        <v>4053794606.5099401</v>
      </c>
    </row>
    <row r="1795" spans="1:3" ht="13">
      <c r="A1795" s="72">
        <v>44017</v>
      </c>
      <c r="B1795" s="71">
        <v>227.704448657</v>
      </c>
      <c r="C1795" s="71">
        <v>4223751344.5405302</v>
      </c>
    </row>
    <row r="1796" spans="1:3" ht="13">
      <c r="A1796" s="72">
        <v>44018</v>
      </c>
      <c r="B1796" s="71">
        <v>241.338889174</v>
      </c>
      <c r="C1796" s="71">
        <v>5936682098.4052801</v>
      </c>
    </row>
    <row r="1797" spans="1:3" ht="13">
      <c r="A1797" s="72">
        <v>44019</v>
      </c>
      <c r="B1797" s="71">
        <v>238.81083228099999</v>
      </c>
      <c r="C1797" s="71">
        <v>6915350158.7421799</v>
      </c>
    </row>
    <row r="1798" spans="1:3" ht="13">
      <c r="A1798" s="72">
        <v>44020</v>
      </c>
      <c r="B1798" s="71">
        <v>246.49385339400001</v>
      </c>
      <c r="C1798" s="71">
        <v>6300945588.98423</v>
      </c>
    </row>
    <row r="1799" spans="1:3" ht="13">
      <c r="A1799" s="72">
        <v>44021</v>
      </c>
      <c r="B1799" s="71">
        <v>241.99541205200001</v>
      </c>
      <c r="C1799" s="71">
        <v>6581563334.7159595</v>
      </c>
    </row>
    <row r="1800" spans="1:3" ht="13">
      <c r="A1800" s="72">
        <v>44022</v>
      </c>
      <c r="B1800" s="71">
        <v>240.769551595</v>
      </c>
      <c r="C1800" s="71">
        <v>5297644650.1047697</v>
      </c>
    </row>
    <row r="1801" spans="1:3" ht="13">
      <c r="A1801" s="72">
        <v>44023</v>
      </c>
      <c r="B1801" s="71">
        <v>239.01531098800001</v>
      </c>
      <c r="C1801" s="71">
        <v>4087550050.7487602</v>
      </c>
    </row>
    <row r="1802" spans="1:3" ht="13">
      <c r="A1802" s="72">
        <v>44024</v>
      </c>
      <c r="B1802" s="71">
        <v>241.750859459</v>
      </c>
      <c r="C1802" s="71">
        <v>4016136538.3397799</v>
      </c>
    </row>
    <row r="1803" spans="1:3" ht="13">
      <c r="A1803" s="72">
        <v>44025</v>
      </c>
      <c r="B1803" s="71">
        <v>240.008287268</v>
      </c>
      <c r="C1803" s="71">
        <v>5193115977.3449697</v>
      </c>
    </row>
    <row r="1804" spans="1:3" ht="13">
      <c r="A1804" s="72">
        <v>44026</v>
      </c>
      <c r="B1804" s="71">
        <v>240.36327907699999</v>
      </c>
      <c r="C1804" s="71">
        <v>5112761889.1452303</v>
      </c>
    </row>
    <row r="1805" spans="1:3" ht="13">
      <c r="A1805" s="72">
        <v>44027</v>
      </c>
      <c r="B1805" s="71">
        <v>238.84559229199999</v>
      </c>
      <c r="C1805" s="71">
        <v>4398236329.79953</v>
      </c>
    </row>
    <row r="1806" spans="1:3" ht="13">
      <c r="A1806" s="72">
        <v>44028</v>
      </c>
      <c r="B1806" s="71">
        <v>233.809780972</v>
      </c>
      <c r="C1806" s="71">
        <v>5550009276.8675404</v>
      </c>
    </row>
    <row r="1807" spans="1:3" ht="13">
      <c r="A1807" s="72">
        <v>44029</v>
      </c>
      <c r="B1807" s="71">
        <v>232.798653616</v>
      </c>
      <c r="C1807" s="71">
        <v>5206630776.5106401</v>
      </c>
    </row>
    <row r="1808" spans="1:3" ht="13">
      <c r="A1808" s="72">
        <v>44030</v>
      </c>
      <c r="B1808" s="71">
        <v>235.67214418200001</v>
      </c>
      <c r="C1808" s="71">
        <v>4303371590.21803</v>
      </c>
    </row>
    <row r="1809" spans="1:3" ht="13">
      <c r="A1809" s="72">
        <v>44031</v>
      </c>
      <c r="B1809" s="71">
        <v>238.91001711800001</v>
      </c>
      <c r="C1809" s="71">
        <v>4348865425.3888302</v>
      </c>
    </row>
    <row r="1810" spans="1:3" ht="13">
      <c r="A1810" s="72">
        <v>44032</v>
      </c>
      <c r="B1810" s="71">
        <v>236.23526852200001</v>
      </c>
      <c r="C1810" s="71">
        <v>5374214599.6001101</v>
      </c>
    </row>
    <row r="1811" spans="1:3" ht="13">
      <c r="A1811" s="72">
        <v>44033</v>
      </c>
      <c r="B1811" s="71">
        <v>245.387860402</v>
      </c>
      <c r="C1811" s="71">
        <v>6690414255.4244499</v>
      </c>
    </row>
    <row r="1812" spans="1:3" ht="13">
      <c r="A1812" s="72">
        <v>44034</v>
      </c>
      <c r="B1812" s="71">
        <v>262.92968966799998</v>
      </c>
      <c r="C1812" s="71">
        <v>7388905990.4706097</v>
      </c>
    </row>
    <row r="1813" spans="1:3" ht="13">
      <c r="A1813" s="72">
        <v>44035</v>
      </c>
      <c r="B1813" s="71">
        <v>274.71013088900003</v>
      </c>
      <c r="C1813" s="71">
        <v>13303054454.4014</v>
      </c>
    </row>
    <row r="1814" spans="1:3" ht="13">
      <c r="A1814" s="72">
        <v>44036</v>
      </c>
      <c r="B1814" s="71">
        <v>279.11388608499999</v>
      </c>
      <c r="C1814" s="71">
        <v>13852769271.5877</v>
      </c>
    </row>
    <row r="1815" spans="1:3" ht="13">
      <c r="A1815" s="72">
        <v>44037</v>
      </c>
      <c r="B1815" s="71">
        <v>303.87840323</v>
      </c>
      <c r="C1815" s="71">
        <v>14332847880.980301</v>
      </c>
    </row>
    <row r="1816" spans="1:3" ht="13">
      <c r="A1816" s="72">
        <v>44038</v>
      </c>
      <c r="B1816" s="71">
        <v>309.37964463600002</v>
      </c>
      <c r="C1816" s="71">
        <v>19926080284.2066</v>
      </c>
    </row>
    <row r="1817" spans="1:3" ht="13">
      <c r="A1817" s="72">
        <v>44039</v>
      </c>
      <c r="B1817" s="71">
        <v>320.763709049</v>
      </c>
      <c r="C1817" s="71">
        <v>21951074701.575401</v>
      </c>
    </row>
    <row r="1818" spans="1:3" ht="13">
      <c r="A1818" s="72">
        <v>44040</v>
      </c>
      <c r="B1818" s="71">
        <v>315.64349888700002</v>
      </c>
      <c r="C1818" s="71">
        <v>21915536968.656799</v>
      </c>
    </row>
    <row r="1819" spans="1:3" ht="13">
      <c r="A1819" s="72">
        <v>44041</v>
      </c>
      <c r="B1819" s="71">
        <v>316.36786446399998</v>
      </c>
      <c r="C1819" s="71">
        <v>15560635407.901899</v>
      </c>
    </row>
    <row r="1820" spans="1:3" ht="13">
      <c r="A1820" s="72">
        <v>44042</v>
      </c>
      <c r="B1820" s="71">
        <v>334.31994449600001</v>
      </c>
      <c r="C1820" s="71">
        <v>13258573932.769199</v>
      </c>
    </row>
    <row r="1821" spans="1:3" ht="13">
      <c r="A1821" s="72">
        <v>44043</v>
      </c>
      <c r="B1821" s="71">
        <v>346.00670621</v>
      </c>
      <c r="C1821" s="71">
        <v>17719726515.8839</v>
      </c>
    </row>
    <row r="1822" spans="1:3" ht="13">
      <c r="A1822" s="72">
        <v>44044</v>
      </c>
      <c r="B1822" s="71">
        <v>386.65448512400002</v>
      </c>
      <c r="C1822" s="71">
        <v>19568367863.865002</v>
      </c>
    </row>
    <row r="1823" spans="1:3" ht="13">
      <c r="A1823" s="72">
        <v>44045</v>
      </c>
      <c r="B1823" s="71">
        <v>370.477146264</v>
      </c>
      <c r="C1823" s="71">
        <v>33878467864.250999</v>
      </c>
    </row>
    <row r="1824" spans="1:3" ht="13">
      <c r="A1824" s="72">
        <v>44046</v>
      </c>
      <c r="B1824" s="71">
        <v>386.63718177700002</v>
      </c>
      <c r="C1824" s="71">
        <v>25750777805.412998</v>
      </c>
    </row>
    <row r="1825" spans="1:3" ht="13">
      <c r="A1825" s="72">
        <v>44047</v>
      </c>
      <c r="B1825" s="71">
        <v>389.51606066599999</v>
      </c>
      <c r="C1825" s="71">
        <v>23516223052.890202</v>
      </c>
    </row>
    <row r="1826" spans="1:3" ht="13">
      <c r="A1826" s="72">
        <v>44048</v>
      </c>
      <c r="B1826" s="71">
        <v>400.57661248400001</v>
      </c>
      <c r="C1826" s="71">
        <v>17651056126.1082</v>
      </c>
    </row>
    <row r="1827" spans="1:3" ht="13">
      <c r="A1827" s="72">
        <v>44049</v>
      </c>
      <c r="B1827" s="71">
        <v>394.986153398</v>
      </c>
      <c r="C1827" s="71">
        <v>18247300097.681801</v>
      </c>
    </row>
    <row r="1828" spans="1:3" ht="13">
      <c r="A1828" s="72">
        <v>44050</v>
      </c>
      <c r="B1828" s="71">
        <v>379.44430621700002</v>
      </c>
      <c r="C1828" s="71">
        <v>16408768547.6092</v>
      </c>
    </row>
    <row r="1829" spans="1:3" ht="13">
      <c r="A1829" s="72">
        <v>44051</v>
      </c>
      <c r="B1829" s="71">
        <v>392.35994290799999</v>
      </c>
      <c r="C1829" s="71">
        <v>17856927606.7425</v>
      </c>
    </row>
    <row r="1830" spans="1:3" ht="13">
      <c r="A1830" s="72">
        <v>44052</v>
      </c>
      <c r="B1830" s="71">
        <v>389.39537569399999</v>
      </c>
      <c r="C1830" s="71">
        <v>14523340272.351</v>
      </c>
    </row>
    <row r="1831" spans="1:3" ht="13">
      <c r="A1831" s="72">
        <v>44053</v>
      </c>
      <c r="B1831" s="71">
        <v>395.51823667100001</v>
      </c>
      <c r="C1831" s="71">
        <v>15748723556.5033</v>
      </c>
    </row>
    <row r="1832" spans="1:3" ht="13">
      <c r="A1832" s="72">
        <v>44054</v>
      </c>
      <c r="B1832" s="71">
        <v>379.11326219400001</v>
      </c>
      <c r="C1832" s="71">
        <v>16027343383.0693</v>
      </c>
    </row>
    <row r="1833" spans="1:3" ht="13">
      <c r="A1833" s="72">
        <v>44055</v>
      </c>
      <c r="B1833" s="71">
        <v>387.60986023100003</v>
      </c>
      <c r="C1833" s="71">
        <v>18936799773.849201</v>
      </c>
    </row>
    <row r="1834" spans="1:3" ht="13">
      <c r="A1834" s="72">
        <v>44056</v>
      </c>
      <c r="B1834" s="71">
        <v>425.51604671699999</v>
      </c>
      <c r="C1834" s="71">
        <v>19037714675.1306</v>
      </c>
    </row>
    <row r="1835" spans="1:3" ht="13">
      <c r="A1835" s="72">
        <v>44057</v>
      </c>
      <c r="B1835" s="71">
        <v>436.92385168800001</v>
      </c>
      <c r="C1835" s="71">
        <v>26567843615.532299</v>
      </c>
    </row>
    <row r="1836" spans="1:3" ht="13">
      <c r="A1836" s="72">
        <v>44058</v>
      </c>
      <c r="B1836" s="71">
        <v>432.84437977099998</v>
      </c>
      <c r="C1836" s="71">
        <v>19175457741.185299</v>
      </c>
    </row>
    <row r="1837" spans="1:3" ht="13">
      <c r="A1837" s="72">
        <v>44059</v>
      </c>
      <c r="B1837" s="71">
        <v>433.501322587</v>
      </c>
      <c r="C1837" s="71">
        <v>15249440776.954901</v>
      </c>
    </row>
    <row r="1838" spans="1:3" ht="13">
      <c r="A1838" s="72">
        <v>44060</v>
      </c>
      <c r="B1838" s="71">
        <v>430.798284303</v>
      </c>
      <c r="C1838" s="71">
        <v>16203065799.7889</v>
      </c>
    </row>
    <row r="1839" spans="1:3" ht="13">
      <c r="A1839" s="72">
        <v>44061</v>
      </c>
      <c r="B1839" s="71">
        <v>423.12821322600001</v>
      </c>
      <c r="C1839" s="71">
        <v>18872381370.109699</v>
      </c>
    </row>
    <row r="1840" spans="1:3" ht="13">
      <c r="A1840" s="72">
        <v>44062</v>
      </c>
      <c r="B1840" s="71">
        <v>406.04697189699999</v>
      </c>
      <c r="C1840" s="71">
        <v>18577230989.389702</v>
      </c>
    </row>
    <row r="1841" spans="1:3" ht="13">
      <c r="A1841" s="72">
        <v>44063</v>
      </c>
      <c r="B1841" s="71">
        <v>416.47230389499998</v>
      </c>
      <c r="C1841" s="71">
        <v>18247659340.960701</v>
      </c>
    </row>
    <row r="1842" spans="1:3" ht="13">
      <c r="A1842" s="72">
        <v>44064</v>
      </c>
      <c r="B1842" s="71">
        <v>387.51097451700002</v>
      </c>
      <c r="C1842" s="71">
        <v>15709687764.511101</v>
      </c>
    </row>
    <row r="1843" spans="1:3" ht="13">
      <c r="A1843" s="72">
        <v>44065</v>
      </c>
      <c r="B1843" s="71">
        <v>395.87460785500002</v>
      </c>
      <c r="C1843" s="71">
        <v>17851384658.101299</v>
      </c>
    </row>
    <row r="1844" spans="1:3" ht="13">
      <c r="A1844" s="72">
        <v>44066</v>
      </c>
      <c r="B1844" s="71">
        <v>391.440359425</v>
      </c>
      <c r="C1844" s="71">
        <v>12836541319.938101</v>
      </c>
    </row>
    <row r="1845" spans="1:3" ht="13">
      <c r="A1845" s="72">
        <v>44067</v>
      </c>
      <c r="B1845" s="71">
        <v>407.98325060299999</v>
      </c>
      <c r="C1845" s="71">
        <v>13579573557.5646</v>
      </c>
    </row>
    <row r="1846" spans="1:3" ht="13">
      <c r="A1846" s="72">
        <v>44068</v>
      </c>
      <c r="B1846" s="71">
        <v>383.91615635199997</v>
      </c>
      <c r="C1846" s="71">
        <v>16506629922.537901</v>
      </c>
    </row>
    <row r="1847" spans="1:3" ht="13">
      <c r="A1847" s="72">
        <v>44069</v>
      </c>
      <c r="B1847" s="71">
        <v>385.87042393799999</v>
      </c>
      <c r="C1847" s="71">
        <v>18065341230.888401</v>
      </c>
    </row>
    <row r="1848" spans="1:3" ht="13">
      <c r="A1848" s="72">
        <v>44070</v>
      </c>
      <c r="B1848" s="71">
        <v>382.84135973600002</v>
      </c>
      <c r="C1848" s="71">
        <v>14933767456.305</v>
      </c>
    </row>
    <row r="1849" spans="1:3" ht="13">
      <c r="A1849" s="72">
        <v>44071</v>
      </c>
      <c r="B1849" s="71">
        <v>393.97933087299998</v>
      </c>
      <c r="C1849" s="71">
        <v>15522931906.7659</v>
      </c>
    </row>
    <row r="1850" spans="1:3" ht="13">
      <c r="A1850" s="72">
        <v>44072</v>
      </c>
      <c r="B1850" s="71">
        <v>399.093090287</v>
      </c>
      <c r="C1850" s="71">
        <v>12559044215.0739</v>
      </c>
    </row>
    <row r="1851" spans="1:3" ht="13">
      <c r="A1851" s="72">
        <v>44073</v>
      </c>
      <c r="B1851" s="71">
        <v>423.18946467900003</v>
      </c>
      <c r="C1851" s="71">
        <v>14574425303.318199</v>
      </c>
    </row>
    <row r="1852" spans="1:3" ht="13">
      <c r="A1852" s="72">
        <v>44074</v>
      </c>
      <c r="B1852" s="71">
        <v>429.80093269499997</v>
      </c>
      <c r="C1852" s="71">
        <v>18539887567.8741</v>
      </c>
    </row>
    <row r="1853" spans="1:3" ht="13">
      <c r="A1853" s="72">
        <v>44075</v>
      </c>
      <c r="B1853" s="71">
        <v>475.932746796</v>
      </c>
      <c r="C1853" s="71">
        <v>25596090611.992401</v>
      </c>
    </row>
    <row r="1854" spans="1:3" ht="13">
      <c r="A1854" s="72">
        <v>44076</v>
      </c>
      <c r="B1854" s="71">
        <v>436.479540574</v>
      </c>
      <c r="C1854" s="71">
        <v>30274356437.219299</v>
      </c>
    </row>
    <row r="1855" spans="1:3" ht="13">
      <c r="A1855" s="72">
        <v>44077</v>
      </c>
      <c r="B1855" s="71">
        <v>383.07829223900001</v>
      </c>
      <c r="C1855" s="71">
        <v>30361676281.301498</v>
      </c>
    </row>
    <row r="1856" spans="1:3" ht="13">
      <c r="A1856" s="72">
        <v>44078</v>
      </c>
      <c r="B1856" s="71">
        <v>385.84474882199999</v>
      </c>
      <c r="C1856" s="71">
        <v>31294251884.848301</v>
      </c>
    </row>
    <row r="1857" spans="1:3" ht="13">
      <c r="A1857" s="72">
        <v>44079</v>
      </c>
      <c r="B1857" s="71">
        <v>331.38112497399999</v>
      </c>
      <c r="C1857" s="71">
        <v>29781436708.8335</v>
      </c>
    </row>
    <row r="1858" spans="1:3" ht="13">
      <c r="A1858" s="72">
        <v>44080</v>
      </c>
      <c r="B1858" s="71">
        <v>355.34334997799999</v>
      </c>
      <c r="C1858" s="71">
        <v>43155697539.316902</v>
      </c>
    </row>
    <row r="1859" spans="1:3" ht="13">
      <c r="A1859" s="72">
        <v>44081</v>
      </c>
      <c r="B1859" s="71">
        <v>352.275398693</v>
      </c>
      <c r="C1859" s="71">
        <v>29841577729.9417</v>
      </c>
    </row>
    <row r="1860" spans="1:3" ht="13">
      <c r="A1860" s="72">
        <v>44082</v>
      </c>
      <c r="B1860" s="71">
        <v>338.912343717</v>
      </c>
      <c r="C1860" s="71">
        <v>24433336896.1791</v>
      </c>
    </row>
    <row r="1861" spans="1:3" ht="13">
      <c r="A1861" s="72">
        <v>44083</v>
      </c>
      <c r="B1861" s="71">
        <v>351.90431453399998</v>
      </c>
      <c r="C1861" s="71">
        <v>21737601651.667999</v>
      </c>
    </row>
    <row r="1862" spans="1:3" ht="13">
      <c r="A1862" s="72">
        <v>44084</v>
      </c>
      <c r="B1862" s="71">
        <v>366.59973239999999</v>
      </c>
      <c r="C1862" s="71">
        <v>22628775637.972099</v>
      </c>
    </row>
    <row r="1863" spans="1:3" ht="13">
      <c r="A1863" s="72">
        <v>44085</v>
      </c>
      <c r="B1863" s="71">
        <v>372.29578282</v>
      </c>
      <c r="C1863" s="71">
        <v>21294709859.152</v>
      </c>
    </row>
    <row r="1864" spans="1:3" ht="13">
      <c r="A1864" s="72">
        <v>44086</v>
      </c>
      <c r="B1864" s="71">
        <v>384.20633352800002</v>
      </c>
      <c r="C1864" s="71">
        <v>17250620646.840801</v>
      </c>
    </row>
    <row r="1865" spans="1:3" ht="13">
      <c r="A1865" s="72">
        <v>44087</v>
      </c>
      <c r="B1865" s="71">
        <v>365.27891704899997</v>
      </c>
      <c r="C1865" s="71">
        <v>18956358547.7635</v>
      </c>
    </row>
    <row r="1866" spans="1:3" ht="13">
      <c r="A1866" s="72">
        <v>44088</v>
      </c>
      <c r="B1866" s="71">
        <v>376.46918595300002</v>
      </c>
      <c r="C1866" s="71">
        <v>21340863191.520401</v>
      </c>
    </row>
    <row r="1867" spans="1:3" ht="13">
      <c r="A1867" s="72">
        <v>44089</v>
      </c>
      <c r="B1867" s="71">
        <v>364.15392883599998</v>
      </c>
      <c r="C1867" s="71">
        <v>20436343769.983398</v>
      </c>
    </row>
    <row r="1868" spans="1:3" ht="13">
      <c r="A1868" s="72">
        <v>44090</v>
      </c>
      <c r="B1868" s="71">
        <v>366.74593427600001</v>
      </c>
      <c r="C1868" s="71">
        <v>20421971346.968601</v>
      </c>
    </row>
    <row r="1869" spans="1:3" ht="13">
      <c r="A1869" s="72">
        <v>44091</v>
      </c>
      <c r="B1869" s="71">
        <v>388.297506774</v>
      </c>
      <c r="C1869" s="71">
        <v>23907331520.7911</v>
      </c>
    </row>
    <row r="1870" spans="1:3" ht="13">
      <c r="A1870" s="72">
        <v>44092</v>
      </c>
      <c r="B1870" s="71">
        <v>382.33205879299999</v>
      </c>
      <c r="C1870" s="71">
        <v>23187725688.405998</v>
      </c>
    </row>
    <row r="1871" spans="1:3" ht="13">
      <c r="A1871" s="72">
        <v>44093</v>
      </c>
      <c r="B1871" s="71">
        <v>384.77245963899998</v>
      </c>
      <c r="C1871" s="71">
        <v>17067636602.3305</v>
      </c>
    </row>
    <row r="1872" spans="1:3" ht="13">
      <c r="A1872" s="72">
        <v>44094</v>
      </c>
      <c r="B1872" s="71">
        <v>371.93076200799999</v>
      </c>
      <c r="C1872" s="71">
        <v>15024813309.8596</v>
      </c>
    </row>
    <row r="1873" spans="1:3" ht="13">
      <c r="A1873" s="72">
        <v>44095</v>
      </c>
      <c r="B1873" s="71">
        <v>341.38714233899998</v>
      </c>
      <c r="C1873" s="71">
        <v>19397296349.037601</v>
      </c>
    </row>
    <row r="1874" spans="1:3" ht="13">
      <c r="A1874" s="72">
        <v>44096</v>
      </c>
      <c r="B1874" s="71">
        <v>344.07233312699998</v>
      </c>
      <c r="C1874" s="71">
        <v>19631714707.973499</v>
      </c>
    </row>
    <row r="1875" spans="1:3" ht="13">
      <c r="A1875" s="72">
        <v>44097</v>
      </c>
      <c r="B1875" s="71">
        <v>320.76556310799998</v>
      </c>
      <c r="C1875" s="71">
        <v>13914982251.0956</v>
      </c>
    </row>
    <row r="1876" spans="1:3" ht="13">
      <c r="A1876" s="72">
        <v>44098</v>
      </c>
      <c r="B1876" s="71">
        <v>349.01067626999998</v>
      </c>
      <c r="C1876" s="71">
        <v>17593858755.4328</v>
      </c>
    </row>
    <row r="1877" spans="1:3" ht="13">
      <c r="A1877" s="72">
        <v>44099</v>
      </c>
      <c r="B1877" s="71">
        <v>351.66533814799999</v>
      </c>
      <c r="C1877" s="71">
        <v>16489367064.3932</v>
      </c>
    </row>
    <row r="1878" spans="1:3" ht="13">
      <c r="A1878" s="72">
        <v>44100</v>
      </c>
      <c r="B1878" s="71">
        <v>354.90198595999999</v>
      </c>
      <c r="C1878" s="71">
        <v>14128977255.9568</v>
      </c>
    </row>
    <row r="1879" spans="1:3" ht="13">
      <c r="A1879" s="72">
        <v>44101</v>
      </c>
      <c r="B1879" s="71">
        <v>357.07683184299998</v>
      </c>
      <c r="C1879" s="71">
        <v>13274405428.624001</v>
      </c>
    </row>
    <row r="1880" spans="1:3" ht="13">
      <c r="A1880" s="72">
        <v>44102</v>
      </c>
      <c r="B1880" s="71">
        <v>354.75362484499999</v>
      </c>
      <c r="C1880" s="71">
        <v>12240570630.4123</v>
      </c>
    </row>
    <row r="1881" spans="1:3" ht="13">
      <c r="A1881" s="72">
        <v>44103</v>
      </c>
      <c r="B1881" s="71">
        <v>359.528061471</v>
      </c>
      <c r="C1881" s="71">
        <v>13604204070.4935</v>
      </c>
    </row>
    <row r="1882" spans="1:3" ht="13">
      <c r="A1882" s="72">
        <v>44104</v>
      </c>
      <c r="B1882" s="71">
        <v>359.380501348</v>
      </c>
      <c r="C1882" s="71">
        <v>10750901718.026699</v>
      </c>
    </row>
    <row r="1883" spans="1:3" ht="13">
      <c r="A1883" s="72">
        <v>44105</v>
      </c>
      <c r="B1883" s="71">
        <v>352.92416941599998</v>
      </c>
      <c r="C1883" s="71">
        <v>11757675812.716999</v>
      </c>
    </row>
    <row r="1884" spans="1:3" ht="13">
      <c r="A1884" s="72">
        <v>44106</v>
      </c>
      <c r="B1884" s="71">
        <v>346.04683592399999</v>
      </c>
      <c r="C1884" s="71">
        <v>15708735701.089399</v>
      </c>
    </row>
    <row r="1885" spans="1:3" ht="13">
      <c r="A1885" s="72">
        <v>44107</v>
      </c>
      <c r="B1885" s="71">
        <v>346.30904930899999</v>
      </c>
      <c r="C1885" s="71">
        <v>10864336123.7467</v>
      </c>
    </row>
    <row r="1886" spans="1:3" ht="13">
      <c r="A1886" s="72">
        <v>44108</v>
      </c>
      <c r="B1886" s="71">
        <v>352.214924145</v>
      </c>
      <c r="C1886" s="71">
        <v>7696532627.9914303</v>
      </c>
    </row>
    <row r="1887" spans="1:3" ht="13">
      <c r="A1887" s="72">
        <v>44109</v>
      </c>
      <c r="B1887" s="71">
        <v>353.85455321900002</v>
      </c>
      <c r="C1887" s="71">
        <v>8863022283.0181904</v>
      </c>
    </row>
    <row r="1888" spans="1:3" ht="13">
      <c r="A1888" s="72">
        <v>44110</v>
      </c>
      <c r="B1888" s="71">
        <v>340.661695968</v>
      </c>
      <c r="C1888" s="71">
        <v>9434934522.3598003</v>
      </c>
    </row>
    <row r="1889" spans="1:3" ht="13">
      <c r="A1889" s="72">
        <v>44111</v>
      </c>
      <c r="B1889" s="71">
        <v>341.50761016000001</v>
      </c>
      <c r="C1889" s="71">
        <v>11889771755.5632</v>
      </c>
    </row>
    <row r="1890" spans="1:3" ht="13">
      <c r="A1890" s="72">
        <v>44112</v>
      </c>
      <c r="B1890" s="71">
        <v>350.93967699699999</v>
      </c>
      <c r="C1890" s="71">
        <v>9820746332.5072708</v>
      </c>
    </row>
    <row r="1891" spans="1:3" ht="13">
      <c r="A1891" s="72">
        <v>44113</v>
      </c>
      <c r="B1891" s="71">
        <v>365.98971069999999</v>
      </c>
      <c r="C1891" s="71">
        <v>10996941195.680201</v>
      </c>
    </row>
    <row r="1892" spans="1:3" ht="13">
      <c r="A1892" s="72">
        <v>44114</v>
      </c>
      <c r="B1892" s="71">
        <v>370.81639976100001</v>
      </c>
      <c r="C1892" s="71">
        <v>12467964683.4568</v>
      </c>
    </row>
    <row r="1893" spans="1:3" ht="13">
      <c r="A1893" s="72">
        <v>44115</v>
      </c>
      <c r="B1893" s="71">
        <v>374.89478751299998</v>
      </c>
      <c r="C1893" s="71">
        <v>9827859503.1005402</v>
      </c>
    </row>
    <row r="1894" spans="1:3" ht="13">
      <c r="A1894" s="72">
        <v>44116</v>
      </c>
      <c r="B1894" s="71">
        <v>387.73798719500002</v>
      </c>
      <c r="C1894" s="71">
        <v>11027452762.148399</v>
      </c>
    </row>
    <row r="1895" spans="1:3" ht="13">
      <c r="A1895" s="72">
        <v>44117</v>
      </c>
      <c r="B1895" s="71">
        <v>381.301105511</v>
      </c>
      <c r="C1895" s="71">
        <v>15351943869.008801</v>
      </c>
    </row>
    <row r="1896" spans="1:3" ht="13">
      <c r="A1896" s="72">
        <v>44118</v>
      </c>
      <c r="B1896" s="71">
        <v>379.64217725899999</v>
      </c>
      <c r="C1896" s="71">
        <v>11511322207.715599</v>
      </c>
    </row>
    <row r="1897" spans="1:3" ht="13">
      <c r="A1897" s="72">
        <v>44119</v>
      </c>
      <c r="B1897" s="71">
        <v>377.34664367800002</v>
      </c>
      <c r="C1897" s="71">
        <v>11174692621.1891</v>
      </c>
    </row>
    <row r="1898" spans="1:3" ht="13">
      <c r="A1898" s="72">
        <v>44120</v>
      </c>
      <c r="B1898" s="71">
        <v>365.910710021</v>
      </c>
      <c r="C1898" s="71">
        <v>11967627185.5126</v>
      </c>
    </row>
    <row r="1899" spans="1:3" ht="13">
      <c r="A1899" s="72">
        <v>44121</v>
      </c>
      <c r="B1899" s="71">
        <v>368.88179255400001</v>
      </c>
      <c r="C1899" s="71">
        <v>8584714398.9265404</v>
      </c>
    </row>
    <row r="1900" spans="1:3" ht="13">
      <c r="A1900" s="72">
        <v>44122</v>
      </c>
      <c r="B1900" s="71">
        <v>377.953189114</v>
      </c>
      <c r="C1900" s="71">
        <v>6931830365.4197197</v>
      </c>
    </row>
    <row r="1901" spans="1:3" ht="13">
      <c r="A1901" s="72">
        <v>44123</v>
      </c>
      <c r="B1901" s="71">
        <v>379.977811465</v>
      </c>
      <c r="C1901" s="71">
        <v>8241124031.6332598</v>
      </c>
    </row>
    <row r="1902" spans="1:3" ht="13">
      <c r="A1902" s="72">
        <v>44124</v>
      </c>
      <c r="B1902" s="71">
        <v>369.00085434900001</v>
      </c>
      <c r="C1902" s="71">
        <v>10191174721.7868</v>
      </c>
    </row>
    <row r="1903" spans="1:3" ht="13">
      <c r="A1903" s="72">
        <v>44125</v>
      </c>
      <c r="B1903" s="71">
        <v>391.92282695</v>
      </c>
      <c r="C1903" s="71">
        <v>14535344579.1926</v>
      </c>
    </row>
    <row r="1904" spans="1:3" ht="13">
      <c r="A1904" s="72">
        <v>44126</v>
      </c>
      <c r="B1904" s="71">
        <v>413.51707418299998</v>
      </c>
      <c r="C1904" s="71">
        <v>16498182125.9489</v>
      </c>
    </row>
    <row r="1905" spans="1:3" ht="13">
      <c r="A1905" s="72">
        <v>44127</v>
      </c>
      <c r="B1905" s="71">
        <v>409.40004318699999</v>
      </c>
      <c r="C1905" s="71">
        <v>13901313261.3692</v>
      </c>
    </row>
    <row r="1906" spans="1:3" ht="13">
      <c r="A1906" s="72">
        <v>44128</v>
      </c>
      <c r="B1906" s="71">
        <v>412.72766038899999</v>
      </c>
      <c r="C1906" s="71">
        <v>10079249596.4475</v>
      </c>
    </row>
    <row r="1907" spans="1:3" ht="13">
      <c r="A1907" s="72">
        <v>44129</v>
      </c>
      <c r="B1907" s="71">
        <v>406.29575983799998</v>
      </c>
      <c r="C1907" s="71">
        <v>9283611355.9924393</v>
      </c>
    </row>
    <row r="1908" spans="1:3" ht="13">
      <c r="A1908" s="72">
        <v>44130</v>
      </c>
      <c r="B1908" s="71">
        <v>393.73438339</v>
      </c>
      <c r="C1908" s="71">
        <v>13265450638.1192</v>
      </c>
    </row>
    <row r="1909" spans="1:3" ht="13">
      <c r="A1909" s="72">
        <v>44131</v>
      </c>
      <c r="B1909" s="71">
        <v>403.84218437999999</v>
      </c>
      <c r="C1909" s="71">
        <v>12959368782.190599</v>
      </c>
    </row>
    <row r="1910" spans="1:3" ht="13">
      <c r="A1910" s="72">
        <v>44132</v>
      </c>
      <c r="B1910" s="71">
        <v>389.01314445000003</v>
      </c>
      <c r="C1910" s="71">
        <v>12850058519.354799</v>
      </c>
    </row>
    <row r="1911" spans="1:3" ht="13">
      <c r="A1911" s="72">
        <v>44133</v>
      </c>
      <c r="B1911" s="71">
        <v>386.73511785900001</v>
      </c>
      <c r="C1911" s="71">
        <v>11937811703.093201</v>
      </c>
    </row>
    <row r="1912" spans="1:3" ht="13">
      <c r="A1912" s="72">
        <v>44134</v>
      </c>
      <c r="B1912" s="71">
        <v>383.357277893</v>
      </c>
      <c r="C1912" s="71">
        <v>12127768326.419701</v>
      </c>
    </row>
    <row r="1913" spans="1:3" ht="13">
      <c r="A1913" s="72">
        <v>44135</v>
      </c>
      <c r="B1913" s="71">
        <v>386.56342867699999</v>
      </c>
      <c r="C1913" s="71">
        <v>10543037027.5061</v>
      </c>
    </row>
    <row r="1914" spans="1:3" ht="13">
      <c r="A1914" s="72">
        <v>44136</v>
      </c>
      <c r="B1914" s="71">
        <v>395.485324349</v>
      </c>
      <c r="C1914" s="71">
        <v>8576498192.5948601</v>
      </c>
    </row>
    <row r="1915" spans="1:3" ht="13">
      <c r="A1915" s="72">
        <v>44137</v>
      </c>
      <c r="B1915" s="71">
        <v>384.20179314900003</v>
      </c>
      <c r="C1915" s="71">
        <v>11422822896.4338</v>
      </c>
    </row>
    <row r="1916" spans="1:3" ht="13">
      <c r="A1916" s="72">
        <v>44138</v>
      </c>
      <c r="B1916" s="71">
        <v>387.41287206999999</v>
      </c>
      <c r="C1916" s="71">
        <v>11099741489.160299</v>
      </c>
    </row>
    <row r="1917" spans="1:3" ht="13">
      <c r="A1917" s="72">
        <v>44139</v>
      </c>
      <c r="B1917" s="71">
        <v>401.77406065100001</v>
      </c>
      <c r="C1917" s="71">
        <v>11165254705.0966</v>
      </c>
    </row>
    <row r="1918" spans="1:3" ht="13">
      <c r="A1918" s="72">
        <v>44140</v>
      </c>
      <c r="B1918" s="71">
        <v>416.23882446499999</v>
      </c>
      <c r="C1918" s="71">
        <v>15579144258.268999</v>
      </c>
    </row>
    <row r="1919" spans="1:3" ht="13">
      <c r="A1919" s="72">
        <v>44141</v>
      </c>
      <c r="B1919" s="71">
        <v>455.73600530700003</v>
      </c>
      <c r="C1919" s="71">
        <v>21090683806.810501</v>
      </c>
    </row>
    <row r="1920" spans="1:3" ht="13">
      <c r="A1920" s="72">
        <v>44142</v>
      </c>
      <c r="B1920" s="71">
        <v>436.08436011999999</v>
      </c>
      <c r="C1920" s="71">
        <v>20441258183.803398</v>
      </c>
    </row>
    <row r="1921" spans="1:3" ht="13">
      <c r="A1921" s="72">
        <v>44143</v>
      </c>
      <c r="B1921" s="71">
        <v>455.13389852199998</v>
      </c>
      <c r="C1921" s="71">
        <v>18027015604.483501</v>
      </c>
    </row>
    <row r="1922" spans="1:3" ht="13">
      <c r="A1922" s="72">
        <v>44144</v>
      </c>
      <c r="B1922" s="71">
        <v>445.258615926</v>
      </c>
      <c r="C1922" s="71">
        <v>14727778060.995399</v>
      </c>
    </row>
    <row r="1923" spans="1:3" ht="13">
      <c r="A1923" s="72">
        <v>44145</v>
      </c>
      <c r="B1923" s="71">
        <v>450.36759415900002</v>
      </c>
      <c r="C1923" s="71">
        <v>14818758592.082001</v>
      </c>
    </row>
    <row r="1924" spans="1:3" ht="13">
      <c r="A1924" s="72">
        <v>44146</v>
      </c>
      <c r="B1924" s="71">
        <v>464.01719746499998</v>
      </c>
      <c r="C1924" s="71">
        <v>15303700857.244801</v>
      </c>
    </row>
    <row r="1925" spans="1:3" ht="13">
      <c r="A1925" s="72">
        <v>44147</v>
      </c>
      <c r="B1925" s="71">
        <v>462.37130975899998</v>
      </c>
      <c r="C1925" s="71">
        <v>15104558481.3015</v>
      </c>
    </row>
    <row r="1926" spans="1:3" ht="13">
      <c r="A1926" s="72">
        <v>44148</v>
      </c>
      <c r="B1926" s="71">
        <v>476.45197690700002</v>
      </c>
      <c r="C1926" s="71">
        <v>14349713424.488501</v>
      </c>
    </row>
    <row r="1927" spans="1:3" ht="13">
      <c r="A1927" s="72">
        <v>44149</v>
      </c>
      <c r="B1927" s="71">
        <v>462.49974910100002</v>
      </c>
      <c r="C1927" s="71">
        <v>13920288683.709299</v>
      </c>
    </row>
    <row r="1928" spans="1:3" ht="13">
      <c r="A1928" s="72">
        <v>44150</v>
      </c>
      <c r="B1928" s="71">
        <v>449.01583911799997</v>
      </c>
      <c r="C1928" s="71">
        <v>11047060426.9151</v>
      </c>
    </row>
    <row r="1929" spans="1:3" ht="13">
      <c r="A1929" s="72">
        <v>44151</v>
      </c>
      <c r="B1929" s="71">
        <v>461.60218038699998</v>
      </c>
      <c r="C1929" s="71">
        <v>11740238768.4016</v>
      </c>
    </row>
    <row r="1930" spans="1:3" ht="13">
      <c r="A1930" s="72">
        <v>44152</v>
      </c>
      <c r="B1930" s="71">
        <v>483.02522022900001</v>
      </c>
      <c r="C1930" s="71">
        <v>13666803243.397301</v>
      </c>
    </row>
    <row r="1931" spans="1:3" ht="13">
      <c r="A1931" s="72">
        <v>44153</v>
      </c>
      <c r="B1931" s="71">
        <v>479.75642871700001</v>
      </c>
      <c r="C1931" s="71">
        <v>20614086056.655102</v>
      </c>
    </row>
    <row r="1932" spans="1:3" ht="13">
      <c r="A1932" s="72">
        <v>44154</v>
      </c>
      <c r="B1932" s="71">
        <v>471.62588894800001</v>
      </c>
      <c r="C1932" s="71">
        <v>18476367260.256599</v>
      </c>
    </row>
    <row r="1933" spans="1:3" ht="13">
      <c r="A1933" s="72">
        <v>44155</v>
      </c>
      <c r="B1933" s="71">
        <v>509.87956105299997</v>
      </c>
      <c r="C1933" s="71">
        <v>17153498152.5434</v>
      </c>
    </row>
    <row r="1934" spans="1:3" ht="13">
      <c r="A1934" s="72">
        <v>44156</v>
      </c>
      <c r="B1934" s="71">
        <v>551.38945997099995</v>
      </c>
      <c r="C1934" s="71">
        <v>21431198111.267101</v>
      </c>
    </row>
    <row r="1935" spans="1:3" ht="13">
      <c r="A1935" s="72">
        <v>44157</v>
      </c>
      <c r="B1935" s="71">
        <v>561.98212322500001</v>
      </c>
      <c r="C1935" s="71">
        <v>27406674038.013901</v>
      </c>
    </row>
    <row r="1936" spans="1:3" ht="13">
      <c r="A1936" s="72">
        <v>44158</v>
      </c>
      <c r="B1936" s="71">
        <v>608.36061937099998</v>
      </c>
      <c r="C1936" s="71">
        <v>33207042698.273701</v>
      </c>
    </row>
    <row r="1937" spans="1:3" ht="13">
      <c r="A1937" s="72">
        <v>44159</v>
      </c>
      <c r="B1937" s="71">
        <v>603.41840735699998</v>
      </c>
      <c r="C1937" s="71">
        <v>34719065009.145103</v>
      </c>
    </row>
    <row r="1938" spans="1:3" ht="13">
      <c r="A1938" s="72">
        <v>44160</v>
      </c>
      <c r="B1938" s="71">
        <v>572.31980911599999</v>
      </c>
      <c r="C1938" s="71">
        <v>25917481064.807701</v>
      </c>
    </row>
    <row r="1939" spans="1:3" ht="13">
      <c r="A1939" s="72">
        <v>44161</v>
      </c>
      <c r="B1939" s="71">
        <v>518.23509946000001</v>
      </c>
      <c r="C1939" s="71">
        <v>31155087716.1731</v>
      </c>
    </row>
    <row r="1940" spans="1:3" ht="13">
      <c r="A1940" s="72">
        <v>44162</v>
      </c>
      <c r="B1940" s="71">
        <v>516.51158980100001</v>
      </c>
      <c r="C1940" s="71">
        <v>25719042781.0756</v>
      </c>
    </row>
    <row r="1941" spans="1:3" ht="13">
      <c r="A1941" s="72">
        <v>44163</v>
      </c>
      <c r="B1941" s="71">
        <v>538.32136946100002</v>
      </c>
      <c r="C1941" s="71">
        <v>15138980070.966</v>
      </c>
    </row>
    <row r="1942" spans="1:3" ht="13">
      <c r="A1942" s="72">
        <v>44164</v>
      </c>
      <c r="B1942" s="71">
        <v>573.80238440100004</v>
      </c>
      <c r="C1942" s="71">
        <v>15787770057.231001</v>
      </c>
    </row>
    <row r="1943" spans="1:3" ht="13">
      <c r="A1943" s="72">
        <v>44165</v>
      </c>
      <c r="B1943" s="71">
        <v>615.56451109499994</v>
      </c>
      <c r="C1943" s="71">
        <v>20300381107.938599</v>
      </c>
    </row>
    <row r="1944" spans="1:3" ht="13">
      <c r="A1944" s="72">
        <v>44166</v>
      </c>
      <c r="B1944" s="71">
        <v>589.81446740000001</v>
      </c>
      <c r="C1944" s="71">
        <v>27801311744.233101</v>
      </c>
    </row>
    <row r="1945" spans="1:3" ht="13">
      <c r="A1945" s="72">
        <v>44167</v>
      </c>
      <c r="B1945" s="71">
        <v>598.35725347300001</v>
      </c>
      <c r="C1945" s="71">
        <v>29296849357.987701</v>
      </c>
    </row>
    <row r="1946" spans="1:3" ht="13">
      <c r="A1946" s="72">
        <v>44168</v>
      </c>
      <c r="B1946" s="71">
        <v>616.90485321400001</v>
      </c>
      <c r="C1946" s="71">
        <v>18849754263.437199</v>
      </c>
    </row>
    <row r="1947" spans="1:3" ht="13">
      <c r="A1947" s="72">
        <v>44169</v>
      </c>
      <c r="B1947" s="71">
        <v>571.97833317100003</v>
      </c>
      <c r="C1947" s="71">
        <v>18578754854.955799</v>
      </c>
    </row>
    <row r="1948" spans="1:3" ht="13">
      <c r="A1948" s="72">
        <v>44170</v>
      </c>
      <c r="B1948" s="71">
        <v>595.54850619299998</v>
      </c>
      <c r="C1948" s="71">
        <v>18657983308.107899</v>
      </c>
    </row>
    <row r="1949" spans="1:3" ht="13">
      <c r="A1949" s="72">
        <v>44171</v>
      </c>
      <c r="B1949" s="71">
        <v>601.69726837600001</v>
      </c>
      <c r="C1949" s="71">
        <v>13355002634.1576</v>
      </c>
    </row>
    <row r="1950" spans="1:3" ht="13">
      <c r="A1950" s="72">
        <v>44172</v>
      </c>
      <c r="B1950" s="71">
        <v>592.59222527999998</v>
      </c>
      <c r="C1950" s="71">
        <v>12541614833.2033</v>
      </c>
    </row>
    <row r="1951" spans="1:3" ht="13">
      <c r="A1951" s="72">
        <v>44173</v>
      </c>
      <c r="B1951" s="71">
        <v>556.15775774199994</v>
      </c>
      <c r="C1951" s="71">
        <v>13094354178.4505</v>
      </c>
    </row>
    <row r="1952" spans="1:3" ht="13">
      <c r="A1952" s="72">
        <v>44174</v>
      </c>
      <c r="B1952" s="71">
        <v>573.99581662200001</v>
      </c>
      <c r="C1952" s="71">
        <v>20405094324.356201</v>
      </c>
    </row>
    <row r="1953" spans="1:3" ht="13">
      <c r="A1953" s="72">
        <v>44175</v>
      </c>
      <c r="B1953" s="71">
        <v>560.29598199600002</v>
      </c>
      <c r="C1953" s="71">
        <v>16786263794.833799</v>
      </c>
    </row>
    <row r="1954" spans="1:3" ht="13">
      <c r="A1954" s="72">
        <v>44176</v>
      </c>
      <c r="B1954" s="71">
        <v>545.38517705599997</v>
      </c>
      <c r="C1954" s="71">
        <v>16090933180.577801</v>
      </c>
    </row>
    <row r="1955" spans="1:3" ht="13">
      <c r="A1955" s="72">
        <v>44177</v>
      </c>
      <c r="B1955" s="71">
        <v>568.07172463699999</v>
      </c>
      <c r="C1955" s="71">
        <v>13077358658.153601</v>
      </c>
    </row>
    <row r="1956" spans="1:3" ht="13">
      <c r="A1956" s="72">
        <v>44178</v>
      </c>
      <c r="B1956" s="71">
        <v>590.39815971300004</v>
      </c>
      <c r="C1956" s="71">
        <v>12883086837.633301</v>
      </c>
    </row>
    <row r="1957" spans="1:3" ht="13">
      <c r="A1957" s="72">
        <v>44179</v>
      </c>
      <c r="B1957" s="71">
        <v>585.83092674700003</v>
      </c>
      <c r="C1957" s="71">
        <v>13285092245.337</v>
      </c>
    </row>
    <row r="1958" spans="1:3" ht="13">
      <c r="A1958" s="72">
        <v>44180</v>
      </c>
      <c r="B1958" s="71">
        <v>589.17471009400003</v>
      </c>
      <c r="C1958" s="71">
        <v>12501104462.707701</v>
      </c>
    </row>
    <row r="1959" spans="1:3" ht="13">
      <c r="A1959" s="72">
        <v>44181</v>
      </c>
      <c r="B1959" s="71">
        <v>636.77174968999998</v>
      </c>
      <c r="C1959" s="71">
        <v>14853794060.064699</v>
      </c>
    </row>
    <row r="1960" spans="1:3" ht="13">
      <c r="A1960" s="72">
        <v>44182</v>
      </c>
      <c r="B1960" s="71">
        <v>644.53227158499999</v>
      </c>
      <c r="C1960" s="71">
        <v>32464770188.756599</v>
      </c>
    </row>
    <row r="1961" spans="1:3" ht="13">
      <c r="A1961" s="72">
        <v>44183</v>
      </c>
      <c r="B1961" s="71">
        <v>654.529322299</v>
      </c>
      <c r="C1961" s="71">
        <v>32211180193.387402</v>
      </c>
    </row>
    <row r="1962" spans="1:3" ht="13">
      <c r="A1962" s="72">
        <v>44184</v>
      </c>
      <c r="B1962" s="71">
        <v>659.95734825700004</v>
      </c>
      <c r="C1962" s="71">
        <v>20605945919.77</v>
      </c>
    </row>
    <row r="1963" spans="1:3" ht="13">
      <c r="A1963" s="72">
        <v>44185</v>
      </c>
      <c r="B1963" s="71">
        <v>639.93658181599994</v>
      </c>
      <c r="C1963" s="71">
        <v>19625176203.116798</v>
      </c>
    </row>
    <row r="1964" spans="1:3" ht="13">
      <c r="A1964" s="72">
        <v>44186</v>
      </c>
      <c r="B1964" s="71">
        <v>611.39595163000001</v>
      </c>
      <c r="C1964" s="71">
        <v>21788103341.292198</v>
      </c>
    </row>
    <row r="1965" spans="1:3" ht="13">
      <c r="A1965" s="72">
        <v>44187</v>
      </c>
      <c r="B1965" s="71">
        <v>635.279992483</v>
      </c>
      <c r="C1965" s="71">
        <v>21143128007.7178</v>
      </c>
    </row>
    <row r="1966" spans="1:3" ht="13">
      <c r="A1966" s="72">
        <v>44188</v>
      </c>
      <c r="B1966" s="71">
        <v>587.24368610399995</v>
      </c>
      <c r="C1966" s="71">
        <v>22016623613.669998</v>
      </c>
    </row>
    <row r="1967" spans="1:3" ht="13">
      <c r="A1967" s="72">
        <v>44189</v>
      </c>
      <c r="B1967" s="71">
        <v>612.106973917</v>
      </c>
      <c r="C1967" s="71">
        <v>25875008468.279202</v>
      </c>
    </row>
    <row r="1968" spans="1:3" ht="13">
      <c r="A1968" s="72">
        <v>44190</v>
      </c>
      <c r="B1968" s="71">
        <v>625.39911962300005</v>
      </c>
      <c r="C1968" s="71">
        <v>19584229908.451302</v>
      </c>
    </row>
    <row r="1969" spans="1:3" ht="13">
      <c r="A1969" s="72">
        <v>44191</v>
      </c>
      <c r="B1969" s="71">
        <v>635.63044901199999</v>
      </c>
      <c r="C1969" s="71">
        <v>19986054740.754501</v>
      </c>
    </row>
    <row r="1970" spans="1:3" ht="13">
      <c r="A1970" s="72">
        <v>44192</v>
      </c>
      <c r="B1970" s="71">
        <v>683.88150880800004</v>
      </c>
      <c r="C1970" s="71">
        <v>29408105948.798698</v>
      </c>
    </row>
    <row r="1971" spans="1:3" ht="13">
      <c r="A1971" s="72">
        <v>44193</v>
      </c>
      <c r="B1971" s="71">
        <v>731.98537442600002</v>
      </c>
      <c r="C1971" s="71">
        <v>43965957947.587799</v>
      </c>
    </row>
    <row r="1972" spans="1:3" ht="13">
      <c r="A1972" s="72">
        <v>44194</v>
      </c>
      <c r="B1972" s="71">
        <v>732.94383229699997</v>
      </c>
      <c r="C1972" s="71">
        <v>33560625431.582901</v>
      </c>
    </row>
    <row r="1973" spans="1:3" ht="13">
      <c r="A1973" s="72">
        <v>44195</v>
      </c>
      <c r="B1973" s="71">
        <v>753.752103938</v>
      </c>
      <c r="C1973" s="71">
        <v>27809473840.693802</v>
      </c>
    </row>
    <row r="1974" spans="1:3" ht="13">
      <c r="A1974" s="72">
        <v>44196</v>
      </c>
      <c r="B1974" s="71">
        <v>744.03743925000003</v>
      </c>
      <c r="C1974" s="71">
        <v>32085916100.308899</v>
      </c>
    </row>
    <row r="1975" spans="1:3" ht="13">
      <c r="A1975" s="72">
        <v>44197</v>
      </c>
      <c r="B1975" s="71">
        <v>730.868534178</v>
      </c>
      <c r="C1975" s="71">
        <v>23706827592.346401</v>
      </c>
    </row>
    <row r="1976" spans="1:3" ht="13">
      <c r="A1976" s="72">
        <v>44198</v>
      </c>
      <c r="B1976" s="71">
        <v>771.80638070299995</v>
      </c>
      <c r="C1976" s="71">
        <v>22035309315.237202</v>
      </c>
    </row>
    <row r="1977" spans="1:3" ht="13">
      <c r="A1977" s="72">
        <v>44199</v>
      </c>
      <c r="B1977" s="71">
        <v>982.08246280599997</v>
      </c>
      <c r="C1977" s="71">
        <v>42437519218.113197</v>
      </c>
    </row>
    <row r="1978" spans="1:3" ht="13">
      <c r="A1978" s="72">
        <v>44200</v>
      </c>
      <c r="B1978" s="71">
        <v>1040.789196724</v>
      </c>
      <c r="C1978" s="71">
        <v>99914889203.757294</v>
      </c>
    </row>
    <row r="1979" spans="1:3" ht="13">
      <c r="A1979" s="72">
        <v>44201</v>
      </c>
      <c r="B1979" s="71">
        <v>1102.3058024439999</v>
      </c>
      <c r="C1979" s="71">
        <v>87973351491.364807</v>
      </c>
    </row>
    <row r="1980" spans="1:3" ht="13">
      <c r="A1980" s="72">
        <v>44202</v>
      </c>
      <c r="B1980" s="71">
        <v>1207.1122887460001</v>
      </c>
      <c r="C1980" s="71">
        <v>66136904550.039101</v>
      </c>
    </row>
    <row r="1981" spans="1:3" ht="13">
      <c r="A1981" s="72">
        <v>44203</v>
      </c>
      <c r="B1981" s="71">
        <v>1226.2707607689999</v>
      </c>
      <c r="C1981" s="71">
        <v>69636874878.297394</v>
      </c>
    </row>
    <row r="1982" spans="1:3" ht="13">
      <c r="A1982" s="72">
        <v>44204</v>
      </c>
      <c r="B1982" s="71">
        <v>1219.7541760199999</v>
      </c>
      <c r="C1982" s="71">
        <v>74834975973.389893</v>
      </c>
    </row>
    <row r="1983" spans="1:3" ht="13">
      <c r="A1983" s="72">
        <v>44205</v>
      </c>
      <c r="B1983" s="71">
        <v>1284.7531127140001</v>
      </c>
      <c r="C1983" s="71">
        <v>56769902511.298599</v>
      </c>
    </row>
    <row r="1984" spans="1:3" ht="13">
      <c r="A1984" s="72">
        <v>44206</v>
      </c>
      <c r="B1984" s="71">
        <v>1263.993464009</v>
      </c>
      <c r="C1984" s="71">
        <v>57825073378.1408</v>
      </c>
    </row>
    <row r="1985" spans="1:3" ht="13">
      <c r="A1985" s="72">
        <v>44207</v>
      </c>
      <c r="B1985" s="71">
        <v>1091.4017302259999</v>
      </c>
      <c r="C1985" s="71">
        <v>82360308517.976105</v>
      </c>
    </row>
    <row r="1986" spans="1:3" ht="13">
      <c r="A1986" s="72">
        <v>44208</v>
      </c>
      <c r="B1986" s="71">
        <v>1044.332167129</v>
      </c>
      <c r="C1986" s="71">
        <v>79469006351.345001</v>
      </c>
    </row>
    <row r="1987" spans="1:3" ht="13">
      <c r="A1987" s="72">
        <v>44209</v>
      </c>
      <c r="B1987" s="71">
        <v>1130.065833872</v>
      </c>
      <c r="C1987" s="71">
        <v>52027694718.785301</v>
      </c>
    </row>
    <row r="1988" spans="1:3" ht="13">
      <c r="A1988" s="72">
        <v>44210</v>
      </c>
      <c r="B1988" s="71">
        <v>1220.241033479</v>
      </c>
      <c r="C1988" s="71">
        <v>45944451364.511299</v>
      </c>
    </row>
    <row r="1989" spans="1:3" ht="13">
      <c r="A1989" s="72">
        <v>44211</v>
      </c>
      <c r="B1989" s="71">
        <v>1166.9580148079999</v>
      </c>
      <c r="C1989" s="71">
        <v>54737261213.836998</v>
      </c>
    </row>
    <row r="1990" spans="1:3" ht="13">
      <c r="A1990" s="72">
        <v>44212</v>
      </c>
      <c r="B1990" s="71">
        <v>1235.766738172</v>
      </c>
      <c r="C1990" s="71">
        <v>55657526833.382896</v>
      </c>
    </row>
    <row r="1991" spans="1:3" ht="13">
      <c r="A1991" s="72">
        <v>44213</v>
      </c>
      <c r="B1991" s="71">
        <v>1234.4679250239999</v>
      </c>
      <c r="C1991" s="71">
        <v>51283343265.144203</v>
      </c>
    </row>
    <row r="1992" spans="1:3" ht="13">
      <c r="A1992" s="72">
        <v>44214</v>
      </c>
      <c r="B1992" s="71">
        <v>1260.2386610839999</v>
      </c>
      <c r="C1992" s="71">
        <v>43122868894.0103</v>
      </c>
    </row>
    <row r="1993" spans="1:3" ht="13">
      <c r="A1993" s="72">
        <v>44215</v>
      </c>
      <c r="B1993" s="71">
        <v>1386.9808121799999</v>
      </c>
      <c r="C1993" s="71">
        <v>60479280675.502502</v>
      </c>
    </row>
    <row r="1994" spans="1:3" ht="13">
      <c r="A1994" s="72">
        <v>44216</v>
      </c>
      <c r="B1994" s="71">
        <v>1385.325719148</v>
      </c>
      <c r="C1994" s="71">
        <v>76141583200.163895</v>
      </c>
    </row>
    <row r="1995" spans="1:3" ht="13">
      <c r="A1995" s="72">
        <v>44217</v>
      </c>
      <c r="B1995" s="71">
        <v>1128.5592762470001</v>
      </c>
      <c r="C1995" s="71">
        <v>70734494737.574905</v>
      </c>
    </row>
    <row r="1996" spans="1:3" ht="13">
      <c r="A1996" s="72">
        <v>44218</v>
      </c>
      <c r="B1996" s="71">
        <v>1237.2034025139999</v>
      </c>
      <c r="C1996" s="71">
        <v>78630119586.195404</v>
      </c>
    </row>
    <row r="1997" spans="1:3" ht="13">
      <c r="A1997" s="72">
        <v>44219</v>
      </c>
      <c r="B1997" s="71">
        <v>1231.985488668</v>
      </c>
      <c r="C1997" s="71">
        <v>46981137924.264801</v>
      </c>
    </row>
    <row r="1998" spans="1:3" ht="13">
      <c r="A1998" s="72">
        <v>44220</v>
      </c>
      <c r="B1998" s="71">
        <v>1397.406839193</v>
      </c>
      <c r="C1998" s="71">
        <v>45300423691.658798</v>
      </c>
    </row>
    <row r="1999" spans="1:3" ht="13">
      <c r="A1999" s="72">
        <v>44221</v>
      </c>
      <c r="B1999" s="71">
        <v>1322.609995904</v>
      </c>
      <c r="C1999" s="71">
        <v>65227836093.712097</v>
      </c>
    </row>
    <row r="2000" spans="1:3" ht="13">
      <c r="A2000" s="72">
        <v>44222</v>
      </c>
      <c r="B2000" s="71">
        <v>1356.0360232410001</v>
      </c>
      <c r="C2000" s="71">
        <v>64819621702.518898</v>
      </c>
    </row>
    <row r="2001" spans="1:3" ht="13">
      <c r="A2001" s="72">
        <v>44223</v>
      </c>
      <c r="B2001" s="71">
        <v>1250.2496145140001</v>
      </c>
      <c r="C2001" s="71">
        <v>61210536935.2099</v>
      </c>
    </row>
    <row r="2002" spans="1:3" ht="13">
      <c r="A2002" s="72">
        <v>44224</v>
      </c>
      <c r="B2002" s="71">
        <v>1331.961424886</v>
      </c>
      <c r="C2002" s="71">
        <v>60091691953.169701</v>
      </c>
    </row>
    <row r="2003" spans="1:3" ht="13">
      <c r="A2003" s="72">
        <v>44225</v>
      </c>
      <c r="B2003" s="71">
        <v>1387.439978418</v>
      </c>
      <c r="C2003" s="71">
        <v>66558092995.153801</v>
      </c>
    </row>
    <row r="2004" spans="1:3" ht="13">
      <c r="A2004" s="72">
        <v>44226</v>
      </c>
      <c r="B2004" s="71">
        <v>1379.8670683390001</v>
      </c>
      <c r="C2004" s="71">
        <v>61266389536.7108</v>
      </c>
    </row>
    <row r="2005" spans="1:3" ht="13">
      <c r="A2005" s="72">
        <v>44227</v>
      </c>
      <c r="B2005" s="71">
        <v>1315.587630859</v>
      </c>
      <c r="C2005" s="71">
        <v>37349232211.377899</v>
      </c>
    </row>
    <row r="2006" spans="1:3" ht="13">
      <c r="A2006" s="72">
        <v>44228</v>
      </c>
      <c r="B2006" s="71">
        <v>1373.843459124</v>
      </c>
      <c r="C2006" s="71">
        <v>42264270582.106796</v>
      </c>
    </row>
    <row r="2007" spans="1:3" ht="13">
      <c r="A2007" s="72">
        <v>44229</v>
      </c>
      <c r="B2007" s="71">
        <v>1516.8379132380001</v>
      </c>
      <c r="C2007" s="71">
        <v>56250945162.938004</v>
      </c>
    </row>
    <row r="2008" spans="1:3" ht="13">
      <c r="A2008" s="72">
        <v>44230</v>
      </c>
      <c r="B2008" s="71">
        <v>1662.0745197199999</v>
      </c>
      <c r="C2008" s="71">
        <v>72681831089.7211</v>
      </c>
    </row>
    <row r="2009" spans="1:3" ht="13">
      <c r="A2009" s="72">
        <v>44231</v>
      </c>
      <c r="B2009" s="71">
        <v>1593.0797248900001</v>
      </c>
      <c r="C2009" s="71">
        <v>69234192110.520599</v>
      </c>
    </row>
    <row r="2010" spans="1:3" ht="13">
      <c r="A2010" s="72">
        <v>44232</v>
      </c>
      <c r="B2010" s="71">
        <v>1715.445469406</v>
      </c>
      <c r="C2010" s="71">
        <v>64957851199.795502</v>
      </c>
    </row>
    <row r="2011" spans="1:3" ht="13">
      <c r="A2011" s="72">
        <v>44233</v>
      </c>
      <c r="B2011" s="71">
        <v>1675.2893477580001</v>
      </c>
      <c r="C2011" s="71">
        <v>62409578101.2612</v>
      </c>
    </row>
    <row r="2012" spans="1:3" ht="13">
      <c r="A2012" s="72">
        <v>44234</v>
      </c>
      <c r="B2012" s="71">
        <v>1613.342017918</v>
      </c>
      <c r="C2012" s="71">
        <v>54472202357.2117</v>
      </c>
    </row>
    <row r="2013" spans="1:3" ht="13">
      <c r="A2013" s="72">
        <v>44235</v>
      </c>
      <c r="B2013" s="71">
        <v>1747.9596340610001</v>
      </c>
      <c r="C2013" s="71">
        <v>61836707429.353302</v>
      </c>
    </row>
    <row r="2014" spans="1:3" ht="13">
      <c r="A2014" s="72">
        <v>44236</v>
      </c>
      <c r="B2014" s="71">
        <v>1767.6644487680001</v>
      </c>
      <c r="C2014" s="71">
        <v>70192533802.424606</v>
      </c>
    </row>
    <row r="2015" spans="1:3" ht="13">
      <c r="A2015" s="72">
        <v>44237</v>
      </c>
      <c r="B2015" s="71">
        <v>1742.193880436</v>
      </c>
      <c r="C2015" s="71">
        <v>62851334886.2742</v>
      </c>
    </row>
    <row r="2016" spans="1:3" ht="13">
      <c r="A2016" s="72">
        <v>44238</v>
      </c>
      <c r="B2016" s="71">
        <v>1779.9253052639999</v>
      </c>
      <c r="C2016" s="71">
        <v>54693213689.393204</v>
      </c>
    </row>
    <row r="2017" spans="1:3" ht="13">
      <c r="A2017" s="72">
        <v>44239</v>
      </c>
      <c r="B2017" s="71">
        <v>1840.8489171480001</v>
      </c>
      <c r="C2017" s="71">
        <v>52066984581.379501</v>
      </c>
    </row>
    <row r="2018" spans="1:3" ht="13">
      <c r="A2018" s="72">
        <v>44240</v>
      </c>
      <c r="B2018" s="71">
        <v>1810.679595308</v>
      </c>
      <c r="C2018" s="71">
        <v>55058152711.434097</v>
      </c>
    </row>
    <row r="2019" spans="1:3" ht="13">
      <c r="A2019" s="72">
        <v>44241</v>
      </c>
      <c r="B2019" s="71">
        <v>1804.8221426949999</v>
      </c>
      <c r="C2019" s="71">
        <v>47153885175.015404</v>
      </c>
    </row>
    <row r="2020" spans="1:3" ht="13">
      <c r="A2020" s="72">
        <v>44242</v>
      </c>
      <c r="B2020" s="71">
        <v>1778.1901875589999</v>
      </c>
      <c r="C2020" s="71">
        <v>53889692951.656502</v>
      </c>
    </row>
    <row r="2021" spans="1:3" ht="13">
      <c r="A2021" s="72">
        <v>44243</v>
      </c>
      <c r="B2021" s="71">
        <v>1783.3887534779999</v>
      </c>
      <c r="C2021" s="71">
        <v>51392448545.319603</v>
      </c>
    </row>
    <row r="2022" spans="1:3" ht="13">
      <c r="A2022" s="72">
        <v>44244</v>
      </c>
      <c r="B2022" s="71">
        <v>1841.8415878390001</v>
      </c>
      <c r="C2022" s="71">
        <v>49391979613.003098</v>
      </c>
    </row>
    <row r="2023" spans="1:3" ht="13">
      <c r="A2023" s="72">
        <v>44245</v>
      </c>
      <c r="B2023" s="71">
        <v>1924.322706533</v>
      </c>
      <c r="C2023" s="71">
        <v>53999855956.579102</v>
      </c>
    </row>
    <row r="2024" spans="1:3" ht="13">
      <c r="A2024" s="72">
        <v>44246</v>
      </c>
      <c r="B2024" s="71">
        <v>1950.3382138899999</v>
      </c>
      <c r="C2024" s="71">
        <v>50698098934.259201</v>
      </c>
    </row>
    <row r="2025" spans="1:3" ht="13">
      <c r="A2025" s="72">
        <v>44247</v>
      </c>
      <c r="B2025" s="71">
        <v>1915.886606046</v>
      </c>
      <c r="C2025" s="71">
        <v>58705087546.897003</v>
      </c>
    </row>
    <row r="2026" spans="1:3" ht="13">
      <c r="A2026" s="72">
        <v>44248</v>
      </c>
      <c r="B2026" s="71">
        <v>1928.444381413</v>
      </c>
      <c r="C2026" s="71">
        <v>61283948088.286598</v>
      </c>
    </row>
    <row r="2027" spans="1:3" ht="13">
      <c r="A2027" s="72">
        <v>44249</v>
      </c>
      <c r="B2027" s="71">
        <v>1777.266854706</v>
      </c>
      <c r="C2027" s="71">
        <v>63114500948.373299</v>
      </c>
    </row>
    <row r="2028" spans="1:3" ht="13">
      <c r="A2028" s="72">
        <v>44250</v>
      </c>
      <c r="B2028" s="71">
        <v>1560.5901305140001</v>
      </c>
      <c r="C2028" s="71">
        <v>93043539824.406799</v>
      </c>
    </row>
    <row r="2029" spans="1:3" ht="13">
      <c r="A2029" s="72">
        <v>44251</v>
      </c>
      <c r="B2029" s="71">
        <v>1624.8004251120001</v>
      </c>
      <c r="C2029" s="71">
        <v>82119677003.409607</v>
      </c>
    </row>
    <row r="2030" spans="1:3" ht="13">
      <c r="A2030" s="72">
        <v>44252</v>
      </c>
      <c r="B2030" s="71">
        <v>1496.2222853620001</v>
      </c>
      <c r="C2030" s="71">
        <v>53748315677.101799</v>
      </c>
    </row>
    <row r="2031" spans="1:3" ht="13">
      <c r="A2031" s="72">
        <v>44253</v>
      </c>
      <c r="B2031" s="71">
        <v>1440.9866867159999</v>
      </c>
      <c r="C2031" s="71">
        <v>59540366533.245903</v>
      </c>
    </row>
    <row r="2032" spans="1:3" ht="13">
      <c r="A2032" s="72">
        <v>44254</v>
      </c>
      <c r="B2032" s="71">
        <v>1465.575895445</v>
      </c>
      <c r="C2032" s="71">
        <v>47595898108.703903</v>
      </c>
    </row>
    <row r="2033" spans="1:3" ht="13">
      <c r="A2033" s="72">
        <v>44255</v>
      </c>
      <c r="B2033" s="71">
        <v>1415.2045880620001</v>
      </c>
      <c r="C2033" s="71">
        <v>44125895718.104103</v>
      </c>
    </row>
    <row r="2034" spans="1:3" ht="13">
      <c r="A2034" s="72">
        <v>44256</v>
      </c>
      <c r="B2034" s="71">
        <v>1568.604468408</v>
      </c>
      <c r="C2034" s="71">
        <v>50350338859.406403</v>
      </c>
    </row>
    <row r="2035" spans="1:3" ht="13">
      <c r="A2035" s="72">
        <v>44257</v>
      </c>
      <c r="B2035" s="71">
        <v>1490.240623077</v>
      </c>
      <c r="C2035" s="71">
        <v>44690190941.053101</v>
      </c>
    </row>
    <row r="2036" spans="1:3" ht="13">
      <c r="A2036" s="72">
        <v>44258</v>
      </c>
      <c r="B2036" s="71">
        <v>1580.2368535210001</v>
      </c>
      <c r="C2036" s="71">
        <v>45575401259.493896</v>
      </c>
    </row>
    <row r="2037" spans="1:3" ht="13">
      <c r="A2037" s="72">
        <v>44259</v>
      </c>
      <c r="B2037" s="71">
        <v>1540.8064845419999</v>
      </c>
      <c r="C2037" s="71">
        <v>46922872406.608101</v>
      </c>
    </row>
    <row r="2038" spans="1:3" ht="13">
      <c r="A2038" s="72">
        <v>44260</v>
      </c>
      <c r="B2038" s="71">
        <v>1533.479448739</v>
      </c>
      <c r="C2038" s="71">
        <v>49050114937.415604</v>
      </c>
    </row>
    <row r="2039" spans="1:3" ht="13">
      <c r="A2039" s="72">
        <v>44261</v>
      </c>
      <c r="B2039" s="71">
        <v>1657.8375045309999</v>
      </c>
      <c r="C2039" s="71">
        <v>44369988462.7687</v>
      </c>
    </row>
    <row r="2040" spans="1:3" ht="13">
      <c r="A2040" s="72">
        <v>44262</v>
      </c>
      <c r="B2040" s="71">
        <v>1729.839443585</v>
      </c>
      <c r="C2040" s="71">
        <v>46505016366.482697</v>
      </c>
    </row>
    <row r="2041" spans="1:3" ht="13">
      <c r="A2041" s="72">
        <v>44263</v>
      </c>
      <c r="B2041" s="71">
        <v>1833.2360594869999</v>
      </c>
      <c r="C2041" s="71">
        <v>47681903949.835403</v>
      </c>
    </row>
    <row r="2042" spans="1:3" ht="13">
      <c r="A2042" s="72">
        <v>44264</v>
      </c>
      <c r="B2042" s="71">
        <v>1865.8178016910001</v>
      </c>
      <c r="C2042" s="71">
        <v>53363960468.997002</v>
      </c>
    </row>
    <row r="2043" spans="1:3" ht="13">
      <c r="A2043" s="72">
        <v>44265</v>
      </c>
      <c r="B2043" s="71">
        <v>1801.1227226660001</v>
      </c>
      <c r="C2043" s="71">
        <v>47168717435.6558</v>
      </c>
    </row>
    <row r="2044" spans="1:3" ht="13">
      <c r="A2044" s="72">
        <v>44266</v>
      </c>
      <c r="B2044" s="71">
        <v>1824.804384624</v>
      </c>
      <c r="C2044" s="71">
        <v>48700475346.361603</v>
      </c>
    </row>
    <row r="2045" spans="1:3" ht="13">
      <c r="A2045" s="72">
        <v>44267</v>
      </c>
      <c r="B2045" s="71">
        <v>1768.988476727</v>
      </c>
      <c r="C2045" s="71">
        <v>45495982299.103302</v>
      </c>
    </row>
    <row r="2046" spans="1:3" ht="13">
      <c r="A2046" s="72">
        <v>44268</v>
      </c>
      <c r="B2046" s="71">
        <v>1925.332966902</v>
      </c>
      <c r="C2046" s="71">
        <v>46288353881.749298</v>
      </c>
    </row>
    <row r="2047" spans="1:3" ht="13">
      <c r="A2047" s="72">
        <v>44269</v>
      </c>
      <c r="B2047" s="71">
        <v>1865.143312594</v>
      </c>
      <c r="C2047" s="71">
        <v>42846097820.834396</v>
      </c>
    </row>
    <row r="2048" spans="1:3" ht="13">
      <c r="A2048" s="72">
        <v>44270</v>
      </c>
      <c r="B2048" s="71">
        <v>1789.7155331389999</v>
      </c>
      <c r="C2048" s="71">
        <v>40030011278.306602</v>
      </c>
    </row>
    <row r="2049" spans="1:3" ht="13">
      <c r="A2049" s="72">
        <v>44271</v>
      </c>
      <c r="B2049" s="71">
        <v>1797.1569575450001</v>
      </c>
      <c r="C2049" s="71">
        <v>39430216685.712997</v>
      </c>
    </row>
    <row r="2050" spans="1:3" ht="13">
      <c r="A2050" s="72">
        <v>44272</v>
      </c>
      <c r="B2050" s="71">
        <v>1819.4547031520001</v>
      </c>
      <c r="C2050" s="71">
        <v>31674453805.307098</v>
      </c>
    </row>
    <row r="2051" spans="1:3" ht="13">
      <c r="A2051" s="72">
        <v>44273</v>
      </c>
      <c r="B2051" s="71">
        <v>1777.9599005580001</v>
      </c>
      <c r="C2051" s="71">
        <v>50989302242.067596</v>
      </c>
    </row>
    <row r="2052" spans="1:3" ht="13">
      <c r="A2052" s="72">
        <v>44274</v>
      </c>
      <c r="B2052" s="71">
        <v>1809.9718294429999</v>
      </c>
      <c r="C2052" s="71">
        <v>45068684294.678596</v>
      </c>
    </row>
    <row r="2053" spans="1:3" ht="13">
      <c r="A2053" s="72">
        <v>44275</v>
      </c>
      <c r="B2053" s="71">
        <v>1811.77</v>
      </c>
      <c r="C2053" s="71">
        <v>28905329290.2425</v>
      </c>
    </row>
    <row r="2054" spans="1:3" ht="13">
      <c r="A2054" s="72">
        <v>44276</v>
      </c>
      <c r="B2054" s="71">
        <v>1785.7100835159999</v>
      </c>
      <c r="C2054" s="71">
        <v>33122376468.379902</v>
      </c>
    </row>
    <row r="2055" spans="1:3" ht="13">
      <c r="A2055" s="72">
        <v>44277</v>
      </c>
      <c r="B2055" s="71">
        <v>1685.6924307270001</v>
      </c>
      <c r="C2055" s="71">
        <v>27839283763.5126</v>
      </c>
    </row>
    <row r="2056" spans="1:3" ht="13">
      <c r="A2056" s="72">
        <v>44278</v>
      </c>
      <c r="B2056" s="71">
        <v>1676.195721839</v>
      </c>
      <c r="C2056" s="71">
        <v>34476629424.404602</v>
      </c>
    </row>
    <row r="2057" spans="1:3" ht="13">
      <c r="A2057" s="72">
        <v>44279</v>
      </c>
      <c r="B2057" s="71">
        <v>1588.349569452</v>
      </c>
      <c r="C2057" s="71">
        <v>30382285901.983898</v>
      </c>
    </row>
    <row r="2058" spans="1:3" ht="13">
      <c r="A2058" s="72">
        <v>44280</v>
      </c>
      <c r="B2058" s="71">
        <v>1588.852929807</v>
      </c>
      <c r="C2058" s="71">
        <v>51539371565.986099</v>
      </c>
    </row>
    <row r="2059" spans="1:3" ht="13">
      <c r="A2059" s="72">
        <v>44281</v>
      </c>
      <c r="B2059" s="71">
        <v>1700.7706092999999</v>
      </c>
      <c r="C2059" s="71">
        <v>32814613566.248299</v>
      </c>
    </row>
    <row r="2060" spans="1:3" ht="13">
      <c r="A2060" s="72">
        <v>44282</v>
      </c>
      <c r="B2060" s="71">
        <v>1717.0676819160001</v>
      </c>
      <c r="C2060" s="71">
        <v>26404756086.336102</v>
      </c>
    </row>
    <row r="2061" spans="1:3" ht="13">
      <c r="A2061" s="72">
        <v>44283</v>
      </c>
      <c r="B2061" s="71">
        <v>1689.59</v>
      </c>
      <c r="C2061" s="71">
        <v>23353438462.7341</v>
      </c>
    </row>
    <row r="2062" spans="1:3" ht="13">
      <c r="A2062" s="72">
        <v>44284</v>
      </c>
      <c r="B2062" s="71">
        <v>1821.258442566</v>
      </c>
      <c r="C2062" s="71">
        <v>26220359471.6558</v>
      </c>
    </row>
    <row r="2063" spans="1:3" ht="13">
      <c r="A2063" s="72">
        <v>44285</v>
      </c>
      <c r="B2063" s="71">
        <v>1843.0189026149999</v>
      </c>
      <c r="C2063" s="71">
        <v>32649726728.2868</v>
      </c>
    </row>
    <row r="2064" spans="1:3" ht="13">
      <c r="A2064" s="72">
        <v>44286</v>
      </c>
      <c r="B2064" s="71">
        <v>1915.2947670359999</v>
      </c>
      <c r="C2064" s="71">
        <v>33375887879.376099</v>
      </c>
    </row>
    <row r="2065" spans="1:3" ht="13">
      <c r="A2065" s="72">
        <v>44287</v>
      </c>
      <c r="B2065" s="71">
        <v>1971.3727818320001</v>
      </c>
      <c r="C2065" s="71">
        <v>44889449904.989197</v>
      </c>
    </row>
    <row r="2066" spans="1:3" ht="13">
      <c r="A2066" s="72">
        <v>44288</v>
      </c>
      <c r="B2066" s="71">
        <v>2133.90000968</v>
      </c>
      <c r="C2066" s="71">
        <v>45813296618.786797</v>
      </c>
    </row>
    <row r="2067" spans="1:3" ht="13">
      <c r="A2067" s="72">
        <v>44289</v>
      </c>
      <c r="B2067" s="71">
        <v>2022.7479775639999</v>
      </c>
      <c r="C2067" s="71">
        <v>47145055916.329399</v>
      </c>
    </row>
    <row r="2068" spans="1:3" ht="13">
      <c r="A2068" s="72">
        <v>44290</v>
      </c>
      <c r="B2068" s="71">
        <v>2082.75</v>
      </c>
      <c r="C2068" s="71">
        <v>44968079087.3451</v>
      </c>
    </row>
    <row r="2069" spans="1:3" ht="13">
      <c r="A2069" s="72">
        <v>44291</v>
      </c>
      <c r="B2069" s="71">
        <v>2108.6537888050002</v>
      </c>
      <c r="C2069" s="71">
        <v>37656941013.016098</v>
      </c>
    </row>
    <row r="2070" spans="1:3" ht="13">
      <c r="A2070" s="72">
        <v>44292</v>
      </c>
      <c r="B2070" s="71">
        <v>2122.406132527</v>
      </c>
      <c r="C2070" s="71">
        <v>44254943019.282799</v>
      </c>
    </row>
    <row r="2071" spans="1:3" ht="13">
      <c r="A2071" s="72">
        <v>44293</v>
      </c>
      <c r="B2071" s="71">
        <v>1985.808114041</v>
      </c>
      <c r="C2071" s="71">
        <v>44849034140.446297</v>
      </c>
    </row>
    <row r="2072" spans="1:3" ht="13">
      <c r="A2072" s="72">
        <v>44294</v>
      </c>
      <c r="B2072" s="71">
        <v>2083.36</v>
      </c>
      <c r="C2072" s="71">
        <v>49430987096.612297</v>
      </c>
    </row>
    <row r="2073" spans="1:3" ht="13">
      <c r="A2073" s="72">
        <v>44295</v>
      </c>
      <c r="B2073" s="71">
        <v>2074.94</v>
      </c>
      <c r="C2073" s="71">
        <v>34631471594.115997</v>
      </c>
    </row>
    <row r="2074" spans="1:3" ht="13">
      <c r="A2074" s="72">
        <v>44296</v>
      </c>
      <c r="B2074" s="71">
        <v>2142.1753993560001</v>
      </c>
      <c r="C2074" s="71">
        <v>42423990355.710503</v>
      </c>
    </row>
    <row r="2075" spans="1:3" ht="13">
      <c r="A2075" s="72">
        <v>44297</v>
      </c>
      <c r="B2075" s="71">
        <v>2153.53066197</v>
      </c>
      <c r="C2075" s="71">
        <v>38987180885.349197</v>
      </c>
    </row>
    <row r="2076" spans="1:3" ht="13">
      <c r="A2076" s="72">
        <v>44298</v>
      </c>
      <c r="B2076" s="71">
        <v>2146.7199999999998</v>
      </c>
      <c r="C2076" s="71">
        <v>38091609782.083199</v>
      </c>
    </row>
    <row r="2077" spans="1:3" ht="13">
      <c r="A2077" s="72">
        <v>44299</v>
      </c>
      <c r="B2077" s="71">
        <v>2304.2800000000002</v>
      </c>
      <c r="C2077" s="71">
        <v>46341439163.711197</v>
      </c>
    </row>
    <row r="2078" spans="1:3" ht="13">
      <c r="A2078" s="72">
        <v>44300</v>
      </c>
      <c r="B2078" s="71">
        <v>2422.6341142830001</v>
      </c>
      <c r="C2078" s="71">
        <v>62784990994.896797</v>
      </c>
    </row>
    <row r="2079" spans="1:3" ht="13">
      <c r="A2079" s="72">
        <v>44301</v>
      </c>
      <c r="B2079" s="71">
        <v>2518.66</v>
      </c>
      <c r="C2079" s="71">
        <v>67143967546.955704</v>
      </c>
    </row>
    <row r="2080" spans="1:3" ht="13">
      <c r="A2080" s="72">
        <v>44302</v>
      </c>
      <c r="B2080" s="71">
        <v>2432.9443303889998</v>
      </c>
      <c r="C2080" s="71">
        <v>68393132409.239098</v>
      </c>
    </row>
    <row r="2081" spans="1:3" ht="13">
      <c r="A2081" s="72">
        <v>44303</v>
      </c>
      <c r="B2081" s="71">
        <v>2331.75</v>
      </c>
      <c r="C2081" s="71">
        <v>62116093784.2845</v>
      </c>
    </row>
    <row r="2082" spans="1:3" ht="13">
      <c r="A2082" s="72">
        <v>44304</v>
      </c>
      <c r="B2082" s="71">
        <v>2231.0219218299999</v>
      </c>
      <c r="C2082" s="71">
        <v>87591818115.936005</v>
      </c>
    </row>
    <row r="2083" spans="1:3" ht="13">
      <c r="A2083" s="72">
        <v>44305</v>
      </c>
      <c r="B2083" s="71">
        <v>2167.4364556139999</v>
      </c>
      <c r="C2083" s="71">
        <v>70423975604.983795</v>
      </c>
    </row>
    <row r="2084" spans="1:3" ht="13">
      <c r="A2084" s="72">
        <v>44306</v>
      </c>
      <c r="B2084" s="71">
        <v>2330.63</v>
      </c>
      <c r="C2084" s="71">
        <v>69787407007.459503</v>
      </c>
    </row>
    <row r="2085" spans="1:3" ht="13">
      <c r="A2085" s="72">
        <v>44307</v>
      </c>
      <c r="B2085" s="71">
        <v>2368.14</v>
      </c>
      <c r="C2085" s="71">
        <v>72134642389.691498</v>
      </c>
    </row>
    <row r="2086" spans="1:3" ht="13">
      <c r="A2086" s="72">
        <v>44308</v>
      </c>
      <c r="B2086" s="71">
        <v>2415.1770908590001</v>
      </c>
      <c r="C2086" s="71">
        <v>93568879279.796906</v>
      </c>
    </row>
    <row r="2087" spans="1:3" ht="13">
      <c r="A2087" s="72">
        <v>44309</v>
      </c>
      <c r="B2087" s="71">
        <v>2364.282567194</v>
      </c>
      <c r="C2087" s="71">
        <v>131320333808.735</v>
      </c>
    </row>
    <row r="2088" spans="1:3" ht="13">
      <c r="A2088" s="72">
        <v>44310</v>
      </c>
      <c r="B2088" s="71">
        <v>2358.089307746</v>
      </c>
      <c r="C2088" s="71">
        <v>80373889421.763901</v>
      </c>
    </row>
    <row r="2089" spans="1:3" ht="13">
      <c r="A2089" s="72">
        <v>44311</v>
      </c>
      <c r="B2089" s="71">
        <v>2308.101084726</v>
      </c>
      <c r="C2089" s="71">
        <v>51522511166.616302</v>
      </c>
    </row>
    <row r="2090" spans="1:3" ht="13">
      <c r="A2090" s="72">
        <v>44312</v>
      </c>
      <c r="B2090" s="71">
        <v>2532.483306047</v>
      </c>
      <c r="C2090" s="71">
        <v>61536391085.808098</v>
      </c>
    </row>
    <row r="2091" spans="1:3" ht="13">
      <c r="A2091" s="72">
        <v>44313</v>
      </c>
      <c r="B2091" s="71">
        <v>2647.2472673769998</v>
      </c>
      <c r="C2091" s="71">
        <v>50763629760.8592</v>
      </c>
    </row>
    <row r="2092" spans="1:3" ht="13">
      <c r="A2092" s="72">
        <v>44314</v>
      </c>
      <c r="B2092" s="71">
        <v>2750.461036657</v>
      </c>
      <c r="C2092" s="71">
        <v>53970914198.686096</v>
      </c>
    </row>
    <row r="2093" spans="1:3" ht="13">
      <c r="A2093" s="72">
        <v>44315</v>
      </c>
      <c r="B2093" s="71">
        <v>2765.425747369</v>
      </c>
      <c r="C2093" s="71">
        <v>56240079646.254601</v>
      </c>
    </row>
    <row r="2094" spans="1:3" ht="13">
      <c r="A2094" s="72">
        <v>44316</v>
      </c>
      <c r="B2094" s="71">
        <v>2773.6022996669999</v>
      </c>
      <c r="C2094" s="71">
        <v>50888363092.243202</v>
      </c>
    </row>
    <row r="2095" spans="1:3" ht="13">
      <c r="A2095" s="72">
        <v>44317</v>
      </c>
      <c r="B2095" s="71">
        <v>2953.0324142270001</v>
      </c>
      <c r="C2095" s="71">
        <v>46664803194.008904</v>
      </c>
    </row>
    <row r="2096" spans="1:3" ht="13">
      <c r="A2096" s="72">
        <v>44318</v>
      </c>
      <c r="B2096" s="71">
        <v>2957.5</v>
      </c>
      <c r="C2096" s="71">
        <v>46938879043.152496</v>
      </c>
    </row>
    <row r="2097" spans="1:3" ht="13">
      <c r="A2097" s="72">
        <v>44319</v>
      </c>
      <c r="B2097" s="71">
        <v>3440.5516120769998</v>
      </c>
      <c r="C2097" s="71">
        <v>58401789517.575401</v>
      </c>
    </row>
    <row r="2098" spans="1:3" ht="13">
      <c r="A2098" s="72">
        <v>44320</v>
      </c>
      <c r="B2098" s="71">
        <v>3242.7177085449998</v>
      </c>
      <c r="C2098" s="71">
        <v>98694381701.455994</v>
      </c>
    </row>
    <row r="2099" spans="1:3" ht="13">
      <c r="A2099" s="72">
        <v>44321</v>
      </c>
      <c r="B2099" s="71">
        <v>3527.6</v>
      </c>
      <c r="C2099" s="71">
        <v>91189517896.498596</v>
      </c>
    </row>
    <row r="2100" spans="1:3" ht="13">
      <c r="A2100" s="72">
        <v>44322</v>
      </c>
      <c r="B2100" s="71">
        <v>3502.82</v>
      </c>
      <c r="C2100" s="71">
        <v>72288736164.401306</v>
      </c>
    </row>
    <row r="2101" spans="1:3" ht="13">
      <c r="A2101" s="72">
        <v>44323</v>
      </c>
      <c r="B2101" s="71">
        <v>3488.96</v>
      </c>
      <c r="C2101" s="71">
        <v>66618974093.656898</v>
      </c>
    </row>
    <row r="2102" spans="1:3" ht="13">
      <c r="A2102" s="72">
        <v>44324</v>
      </c>
      <c r="B2102" s="71">
        <v>3908.0276898080001</v>
      </c>
      <c r="C2102" s="71">
        <v>60277015038.491203</v>
      </c>
    </row>
    <row r="2103" spans="1:3" ht="13">
      <c r="A2103" s="72">
        <v>44325</v>
      </c>
      <c r="B2103" s="71">
        <v>3925.5633868609998</v>
      </c>
      <c r="C2103" s="71">
        <v>77380429957.755096</v>
      </c>
    </row>
    <row r="2104" spans="1:3" ht="13">
      <c r="A2104" s="72">
        <v>44326</v>
      </c>
      <c r="B2104" s="71">
        <v>3954.3768986670002</v>
      </c>
      <c r="C2104" s="71">
        <v>80777018463.820801</v>
      </c>
    </row>
    <row r="2105" spans="1:3" ht="13">
      <c r="A2105" s="72">
        <v>44327</v>
      </c>
      <c r="B2105" s="71">
        <v>4172.7833598400002</v>
      </c>
      <c r="C2105" s="71">
        <v>103099874135.131</v>
      </c>
    </row>
    <row r="2106" spans="1:3" ht="13">
      <c r="A2106" s="72">
        <v>44328</v>
      </c>
      <c r="B2106" s="71">
        <v>3932.0034913469999</v>
      </c>
      <c r="C2106" s="71">
        <v>82734304295.575607</v>
      </c>
    </row>
    <row r="2107" spans="1:3" ht="13">
      <c r="A2107" s="72">
        <v>44329</v>
      </c>
      <c r="B2107" s="71">
        <v>3731.1812102439999</v>
      </c>
      <c r="C2107" s="71">
        <v>128139930381.375</v>
      </c>
    </row>
    <row r="2108" spans="1:3" ht="13">
      <c r="A2108" s="72">
        <v>44330</v>
      </c>
      <c r="B2108" s="71">
        <v>4087.82</v>
      </c>
      <c r="C2108" s="71">
        <v>90462378452.429398</v>
      </c>
    </row>
    <row r="2109" spans="1:3" ht="13">
      <c r="A2109" s="72">
        <v>44331</v>
      </c>
      <c r="B2109" s="71">
        <v>3660.04</v>
      </c>
      <c r="C2109" s="71">
        <v>66435941958.605797</v>
      </c>
    </row>
    <row r="2110" spans="1:3" ht="13">
      <c r="A2110" s="72">
        <v>44332</v>
      </c>
      <c r="B2110" s="71">
        <v>3577.7</v>
      </c>
      <c r="C2110" s="71">
        <v>65897724755.656097</v>
      </c>
    </row>
    <row r="2111" spans="1:3" ht="13">
      <c r="A2111" s="72">
        <v>44333</v>
      </c>
      <c r="B2111" s="71">
        <v>3288.1148591360002</v>
      </c>
      <c r="C2111" s="71">
        <v>90005707448.4142</v>
      </c>
    </row>
    <row r="2112" spans="1:3" ht="13">
      <c r="A2112" s="72">
        <v>44334</v>
      </c>
      <c r="B2112" s="71">
        <v>3393.2102561840002</v>
      </c>
      <c r="C2112" s="71">
        <v>77818604570.969894</v>
      </c>
    </row>
    <row r="2113" spans="1:3" ht="13">
      <c r="A2113" s="72">
        <v>44335</v>
      </c>
      <c r="B2113" s="71">
        <v>2484.9228221540002</v>
      </c>
      <c r="C2113" s="71">
        <v>102230713084.207</v>
      </c>
    </row>
    <row r="2114" spans="1:3" ht="13">
      <c r="A2114" s="72">
        <v>44336</v>
      </c>
      <c r="B2114" s="71">
        <v>2757.9372316382401</v>
      </c>
      <c r="C2114" s="71">
        <v>137107676795.76801</v>
      </c>
    </row>
    <row r="2115" spans="1:3" ht="13">
      <c r="A2115" s="72">
        <v>44337</v>
      </c>
      <c r="B2115" s="71">
        <v>2411.0698699475201</v>
      </c>
      <c r="C2115" s="71">
        <v>81705366912</v>
      </c>
    </row>
    <row r="2116" spans="1:3" ht="13">
      <c r="A2116" s="72">
        <v>44338</v>
      </c>
      <c r="B2116" s="71">
        <v>2301.8000000000002</v>
      </c>
      <c r="C2116" s="71">
        <v>81332266112</v>
      </c>
    </row>
    <row r="2117" spans="1:3" ht="13">
      <c r="A2117" s="72">
        <v>44339</v>
      </c>
      <c r="B2117" s="71">
        <v>2113.0448026345498</v>
      </c>
      <c r="C2117" s="71">
        <v>61748691441.777702</v>
      </c>
    </row>
    <row r="2118" spans="1:3" ht="13">
      <c r="A2118" s="72">
        <v>44340</v>
      </c>
      <c r="B2118" s="71">
        <v>2634.6111795257498</v>
      </c>
      <c r="C2118" s="71">
        <v>83352504620.755203</v>
      </c>
    </row>
    <row r="2119" spans="1:3" ht="13">
      <c r="A2119" s="72">
        <v>44341</v>
      </c>
      <c r="B2119" s="71">
        <v>2691.3770050889502</v>
      </c>
      <c r="C2119" s="71">
        <v>77043354339.555496</v>
      </c>
    </row>
    <row r="2120" spans="1:3" ht="13">
      <c r="A2120" s="72">
        <v>44342</v>
      </c>
      <c r="B2120" s="71">
        <v>2876.2038316819799</v>
      </c>
      <c r="C2120" s="71">
        <v>69161700977.777695</v>
      </c>
    </row>
    <row r="2121" spans="1:3" ht="13">
      <c r="A2121" s="72">
        <v>44343</v>
      </c>
      <c r="B2121" s="71">
        <v>2750.5556680667501</v>
      </c>
      <c r="C2121" s="71">
        <v>61653272846.222198</v>
      </c>
    </row>
    <row r="2122" spans="1:3" ht="13">
      <c r="A2122" s="72">
        <v>44344</v>
      </c>
      <c r="B2122" s="71">
        <v>2429.0100000000002</v>
      </c>
      <c r="C2122" s="71">
        <v>50687604614.689796</v>
      </c>
    </row>
    <row r="2123" spans="1:3" ht="13">
      <c r="A2123" s="72">
        <v>44345</v>
      </c>
      <c r="B2123" s="71">
        <v>2282.84</v>
      </c>
      <c r="C2123" s="71">
        <v>55547577514.666603</v>
      </c>
    </row>
    <row r="2124" spans="1:3" ht="13">
      <c r="A2124" s="72">
        <v>44346</v>
      </c>
      <c r="B2124" s="71">
        <v>2392.56193204806</v>
      </c>
      <c r="C2124" s="71">
        <v>51062077955.580399</v>
      </c>
    </row>
    <row r="2125" spans="1:3" ht="13">
      <c r="A2125" s="72">
        <v>44347</v>
      </c>
      <c r="B2125" s="71">
        <v>2716.0342414575798</v>
      </c>
      <c r="C2125" s="71">
        <v>45078368241.728203</v>
      </c>
    </row>
    <row r="2126" spans="1:3" ht="13">
      <c r="A2126" s="72">
        <v>44348</v>
      </c>
      <c r="B2126" s="71">
        <v>2633.37</v>
      </c>
      <c r="C2126" s="71">
        <v>49942346991.0522</v>
      </c>
    </row>
    <row r="2127" spans="1:3" ht="13">
      <c r="A2127" s="72">
        <v>44349</v>
      </c>
      <c r="B2127" s="71">
        <v>2717.69</v>
      </c>
      <c r="C2127" s="71">
        <v>45146552334.222198</v>
      </c>
    </row>
    <row r="2128" spans="1:3" ht="13">
      <c r="A2128" s="72">
        <v>44350</v>
      </c>
      <c r="B2128" s="71">
        <v>2859.22</v>
      </c>
      <c r="C2128" s="71">
        <v>51316261091.555496</v>
      </c>
    </row>
    <row r="2129" spans="1:3" ht="13">
      <c r="A2129" s="72">
        <v>44351</v>
      </c>
      <c r="B2129" s="71">
        <v>2693.41</v>
      </c>
      <c r="C2129" s="71">
        <v>56377336561.777702</v>
      </c>
    </row>
    <row r="2130" spans="1:3" ht="13">
      <c r="A2130" s="72">
        <v>44352</v>
      </c>
      <c r="B2130" s="71">
        <v>2621.39</v>
      </c>
      <c r="C2130" s="71">
        <v>50568307598.222198</v>
      </c>
    </row>
    <row r="2131" spans="1:3" ht="13">
      <c r="A2131" s="72">
        <v>44353</v>
      </c>
      <c r="B2131" s="71">
        <v>2715.42</v>
      </c>
      <c r="C2131" s="71">
        <v>46832836456.856003</v>
      </c>
    </row>
    <row r="2132" spans="1:3" ht="13">
      <c r="A2132" s="72">
        <v>44354</v>
      </c>
      <c r="B2132" s="71">
        <v>2592.0819617310199</v>
      </c>
      <c r="C2132" s="71">
        <v>42937529080.888802</v>
      </c>
    </row>
    <row r="2133" spans="1:3" ht="13">
      <c r="A2133" s="72">
        <v>44355</v>
      </c>
      <c r="B2133" s="71">
        <v>2514.7572273135802</v>
      </c>
      <c r="C2133" s="71">
        <v>60987077209.510399</v>
      </c>
    </row>
    <row r="2134" spans="1:3" ht="13">
      <c r="A2134" s="72">
        <v>44356</v>
      </c>
      <c r="B2134" s="71">
        <v>2613.35540571925</v>
      </c>
      <c r="C2134" s="71">
        <v>60566912853.333298</v>
      </c>
    </row>
    <row r="2135" spans="1:3" ht="13">
      <c r="A2135" s="72">
        <v>44357</v>
      </c>
      <c r="B2135" s="71">
        <v>2483.09</v>
      </c>
      <c r="C2135" s="71">
        <v>50281390622.327499</v>
      </c>
    </row>
    <row r="2136" spans="1:3" ht="13">
      <c r="A2136" s="72">
        <v>44358</v>
      </c>
      <c r="B2136" s="71">
        <v>2353.48</v>
      </c>
      <c r="C2136" s="71">
        <v>40483088448</v>
      </c>
    </row>
    <row r="2137" spans="1:3" ht="13">
      <c r="A2137" s="72">
        <v>44359</v>
      </c>
      <c r="B2137" s="71">
        <v>2378.0300000000002</v>
      </c>
      <c r="C2137" s="71">
        <v>41453918257.777702</v>
      </c>
    </row>
    <row r="2138" spans="1:3" ht="13">
      <c r="A2138" s="72">
        <v>44360</v>
      </c>
      <c r="B2138" s="71">
        <v>2508.0300000000002</v>
      </c>
      <c r="C2138" s="71">
        <v>36890377002.666603</v>
      </c>
    </row>
    <row r="2139" spans="1:3" ht="13">
      <c r="A2139" s="72">
        <v>44361</v>
      </c>
      <c r="B2139" s="71">
        <v>2583.08</v>
      </c>
      <c r="C2139" s="71">
        <v>41433968512</v>
      </c>
    </row>
    <row r="2140" spans="1:3" ht="13">
      <c r="A2140" s="72">
        <v>44362</v>
      </c>
      <c r="B2140" s="71">
        <v>2552.59</v>
      </c>
      <c r="C2140" s="71">
        <v>41452076693.333298</v>
      </c>
    </row>
    <row r="2141" spans="1:3" ht="13">
      <c r="A2141" s="72">
        <v>44363</v>
      </c>
      <c r="B2141" s="71">
        <v>2366.0960578177301</v>
      </c>
      <c r="C2141" s="71">
        <v>36061754150.3554</v>
      </c>
    </row>
    <row r="2142" spans="1:3" ht="13">
      <c r="A2142" s="72">
        <v>44364</v>
      </c>
      <c r="B2142" s="71">
        <v>2377.83</v>
      </c>
      <c r="C2142" s="71">
        <v>35905639734.411102</v>
      </c>
    </row>
    <row r="2143" spans="1:3" ht="13">
      <c r="A2143" s="72">
        <v>44365</v>
      </c>
      <c r="B2143" s="71">
        <v>2227.4699999999998</v>
      </c>
      <c r="C2143" s="71">
        <v>31839007651.5555</v>
      </c>
    </row>
    <row r="2144" spans="1:3" ht="13">
      <c r="A2144" s="72">
        <v>44366</v>
      </c>
      <c r="B2144" s="71">
        <v>2181.0500000000002</v>
      </c>
      <c r="C2144" s="71">
        <v>33007749127.111099</v>
      </c>
    </row>
    <row r="2145" spans="1:3" ht="13">
      <c r="A2145" s="72">
        <v>44367</v>
      </c>
      <c r="B2145" s="71">
        <v>2245.5318023888899</v>
      </c>
      <c r="C2145" s="71">
        <v>29647835484.444401</v>
      </c>
    </row>
    <row r="2146" spans="1:3" ht="13">
      <c r="A2146" s="72">
        <v>44368</v>
      </c>
      <c r="B2146" s="71">
        <v>1895.47</v>
      </c>
      <c r="C2146" s="71">
        <v>42688597775.487503</v>
      </c>
    </row>
    <row r="2147" spans="1:3" ht="13">
      <c r="A2147" s="72">
        <v>44369</v>
      </c>
      <c r="B2147" s="71">
        <v>1872</v>
      </c>
      <c r="C2147" s="71">
        <v>51600065696.557404</v>
      </c>
    </row>
    <row r="2148" spans="1:3" ht="13">
      <c r="A2148" s="72">
        <v>44370</v>
      </c>
      <c r="B2148" s="71">
        <v>1972.07</v>
      </c>
      <c r="C2148" s="71">
        <v>48773871073.243797</v>
      </c>
    </row>
    <row r="2149" spans="1:3" ht="13">
      <c r="A2149" s="72">
        <v>44371</v>
      </c>
      <c r="B2149" s="71">
        <v>1989.07236798964</v>
      </c>
      <c r="C2149" s="71">
        <v>32379233621.333302</v>
      </c>
    </row>
    <row r="2150" spans="1:3" ht="13">
      <c r="A2150" s="72">
        <v>44372</v>
      </c>
      <c r="B2150" s="71">
        <v>1823.51374362508</v>
      </c>
      <c r="C2150" s="71">
        <v>31200907836.8671</v>
      </c>
    </row>
    <row r="2151" spans="1:3" ht="13">
      <c r="A2151" s="72">
        <v>44373</v>
      </c>
      <c r="B2151" s="71">
        <v>1815.11</v>
      </c>
      <c r="C2151" s="71">
        <v>33875120911.711102</v>
      </c>
    </row>
    <row r="2152" spans="1:3" ht="13">
      <c r="A2152" s="72">
        <v>44374</v>
      </c>
      <c r="B2152" s="71">
        <v>1973.73</v>
      </c>
      <c r="C2152" s="71">
        <v>30500859218.929501</v>
      </c>
    </row>
    <row r="2153" spans="1:3" ht="13">
      <c r="A2153" s="72">
        <v>44375</v>
      </c>
      <c r="B2153" s="71">
        <v>2085.09</v>
      </c>
      <c r="C2153" s="71">
        <v>35536020321.352097</v>
      </c>
    </row>
    <row r="2154" spans="1:3" ht="13">
      <c r="A2154" s="72">
        <v>44376</v>
      </c>
      <c r="B2154" s="71">
        <v>2167.1340936818701</v>
      </c>
      <c r="C2154" s="71">
        <v>39270642702.222198</v>
      </c>
    </row>
    <row r="2155" spans="1:3" ht="13">
      <c r="A2155" s="72">
        <v>44377</v>
      </c>
      <c r="B2155" s="71">
        <v>2278.5542275263401</v>
      </c>
      <c r="C2155" s="71">
        <v>35796252729.087097</v>
      </c>
    </row>
    <row r="2156" spans="1:3" ht="13">
      <c r="A2156" s="72">
        <v>44378</v>
      </c>
      <c r="B2156" s="71">
        <v>2122.9</v>
      </c>
      <c r="C2156" s="71">
        <v>41271193271.7491</v>
      </c>
    </row>
    <row r="2157" spans="1:3" ht="13">
      <c r="A2157" s="72">
        <v>44379</v>
      </c>
      <c r="B2157" s="71">
        <v>2141.6483445222102</v>
      </c>
      <c r="C2157" s="71">
        <v>39089640334.222198</v>
      </c>
    </row>
    <row r="2158" spans="1:3" ht="13">
      <c r="A2158" s="72">
        <v>44380</v>
      </c>
      <c r="B2158" s="71">
        <v>2232.1732960064001</v>
      </c>
      <c r="C2158" s="71">
        <v>28746181073.454498</v>
      </c>
    </row>
    <row r="2159" spans="1:3" ht="13">
      <c r="A2159" s="72">
        <v>44381</v>
      </c>
      <c r="B2159" s="71">
        <v>2326.5035407362002</v>
      </c>
      <c r="C2159" s="71">
        <v>28505858773.333302</v>
      </c>
    </row>
    <row r="2160" spans="1:3" ht="13">
      <c r="A2160" s="72">
        <v>44382</v>
      </c>
      <c r="B2160" s="71">
        <v>2218.6084284008698</v>
      </c>
      <c r="C2160" s="71">
        <v>35384275342.222198</v>
      </c>
    </row>
    <row r="2161" spans="1:3" ht="13">
      <c r="A2161" s="72">
        <v>44383</v>
      </c>
      <c r="B2161" s="71">
        <v>2321.2896861581298</v>
      </c>
      <c r="C2161" s="71">
        <v>41013952924.444397</v>
      </c>
    </row>
    <row r="2162" spans="1:3" ht="13">
      <c r="A2162" s="72">
        <v>44384</v>
      </c>
      <c r="B2162" s="71">
        <v>2317.44661001441</v>
      </c>
      <c r="C2162" s="71">
        <v>43124795171.555496</v>
      </c>
    </row>
    <row r="2163" spans="1:3" ht="13">
      <c r="A2163" s="72">
        <v>44385</v>
      </c>
      <c r="B2163" s="71">
        <v>2131.9308673028099</v>
      </c>
      <c r="C2163" s="71">
        <v>41682520320</v>
      </c>
    </row>
    <row r="2164" spans="1:3" ht="13">
      <c r="A2164" s="72">
        <v>44386</v>
      </c>
      <c r="B2164" s="71">
        <v>2157.3447453040098</v>
      </c>
      <c r="C2164" s="71">
        <v>42035981361.777702</v>
      </c>
    </row>
    <row r="2165" spans="1:3" ht="13">
      <c r="A2165" s="72">
        <v>44387</v>
      </c>
      <c r="B2165" s="71">
        <v>2124.9265136251602</v>
      </c>
      <c r="C2165" s="71">
        <v>37241989148.444397</v>
      </c>
    </row>
    <row r="2166" spans="1:3" ht="13">
      <c r="A2166" s="72">
        <v>44388</v>
      </c>
      <c r="B2166" s="71">
        <v>2149.6040753657298</v>
      </c>
      <c r="C2166" s="71">
        <v>29896356746.257801</v>
      </c>
    </row>
    <row r="2167" spans="1:3" ht="13">
      <c r="A2167" s="72">
        <v>44389</v>
      </c>
      <c r="B2167" s="71">
        <v>2055.4296450345601</v>
      </c>
      <c r="C2167" s="71">
        <v>29241104234.666599</v>
      </c>
    </row>
    <row r="2168" spans="1:3" ht="13">
      <c r="A2168" s="72">
        <v>44390</v>
      </c>
      <c r="B2168" s="71">
        <v>1937.90805222517</v>
      </c>
      <c r="C2168" s="71">
        <v>30844963185.777699</v>
      </c>
    </row>
    <row r="2169" spans="1:3" ht="13">
      <c r="A2169" s="72">
        <v>44391</v>
      </c>
      <c r="B2169" s="71">
        <v>1993.8121980747601</v>
      </c>
      <c r="C2169" s="71">
        <v>30744751815.111099</v>
      </c>
    </row>
    <row r="2170" spans="1:3" ht="13">
      <c r="A2170" s="72">
        <v>44392</v>
      </c>
      <c r="B2170" s="71">
        <v>1908.88361687049</v>
      </c>
      <c r="C2170" s="71">
        <v>29515926684.444401</v>
      </c>
    </row>
    <row r="2171" spans="1:3" ht="13">
      <c r="A2171" s="72">
        <v>44393</v>
      </c>
      <c r="B2171" s="71">
        <v>1879.51</v>
      </c>
      <c r="C2171" s="71">
        <v>28135131768.888802</v>
      </c>
    </row>
    <row r="2172" spans="1:3" ht="13">
      <c r="A2172" s="72">
        <v>44394</v>
      </c>
      <c r="B2172" s="71">
        <v>1901.01</v>
      </c>
      <c r="C2172" s="71">
        <v>26145684529.777699</v>
      </c>
    </row>
    <row r="2173" spans="1:3" ht="13">
      <c r="A2173" s="72">
        <v>44395</v>
      </c>
      <c r="B2173" s="71">
        <v>1901.58</v>
      </c>
      <c r="C2173" s="71">
        <v>25804942983.111099</v>
      </c>
    </row>
    <row r="2174" spans="1:3" ht="13">
      <c r="A2174" s="72">
        <v>44396</v>
      </c>
      <c r="B2174" s="71">
        <v>1824.42</v>
      </c>
      <c r="C2174" s="71">
        <v>24047289351.111099</v>
      </c>
    </row>
    <row r="2175" spans="1:3" ht="13">
      <c r="A2175" s="72">
        <v>44397</v>
      </c>
      <c r="B2175" s="71">
        <v>1786.71</v>
      </c>
      <c r="C2175" s="71">
        <v>28687798940.444401</v>
      </c>
    </row>
    <row r="2176" spans="1:3" ht="13">
      <c r="A2176" s="72">
        <v>44398</v>
      </c>
      <c r="B2176" s="71">
        <v>1994.5</v>
      </c>
      <c r="C2176" s="71">
        <v>33026273258.5923</v>
      </c>
    </row>
    <row r="2177" spans="1:3" ht="13">
      <c r="A2177" s="72">
        <v>44399</v>
      </c>
      <c r="B2177" s="71">
        <v>2028.47</v>
      </c>
      <c r="C2177" s="71">
        <v>38578752668.444397</v>
      </c>
    </row>
    <row r="2178" spans="1:3" ht="13">
      <c r="A2178" s="72">
        <v>44400</v>
      </c>
      <c r="B2178" s="71">
        <v>2129.6617675194402</v>
      </c>
      <c r="C2178" s="71">
        <v>31527067121.777699</v>
      </c>
    </row>
    <row r="2179" spans="1:3" ht="13">
      <c r="A2179" s="72">
        <v>44401</v>
      </c>
      <c r="B2179" s="71">
        <v>2187.59</v>
      </c>
      <c r="C2179" s="71">
        <v>30717181034.666599</v>
      </c>
    </row>
    <row r="2180" spans="1:3" ht="13">
      <c r="A2180" s="72">
        <v>44402</v>
      </c>
      <c r="B2180" s="71">
        <v>2193.3200000000002</v>
      </c>
      <c r="C2180" s="71">
        <v>27764064762.647999</v>
      </c>
    </row>
    <row r="2181" spans="1:3" ht="13">
      <c r="A2181" s="72">
        <v>44403</v>
      </c>
      <c r="B2181" s="71">
        <v>2235.15</v>
      </c>
      <c r="C2181" s="71">
        <v>42334135941.797897</v>
      </c>
    </row>
    <row r="2182" spans="1:3" ht="13">
      <c r="A2182" s="72">
        <v>44404</v>
      </c>
      <c r="B2182" s="71">
        <v>2292.9499999999998</v>
      </c>
      <c r="C2182" s="71">
        <v>46156114709.333298</v>
      </c>
    </row>
    <row r="2183" spans="1:3" ht="13">
      <c r="A2183" s="72">
        <v>44405</v>
      </c>
      <c r="B2183" s="71">
        <v>2301.0500000000002</v>
      </c>
      <c r="C2183" s="71">
        <v>38761611384.888802</v>
      </c>
    </row>
    <row r="2184" spans="1:3" ht="13">
      <c r="A2184" s="72">
        <v>44406</v>
      </c>
      <c r="B2184" s="71">
        <v>2379.9</v>
      </c>
      <c r="C2184" s="71">
        <v>29086706993.777699</v>
      </c>
    </row>
    <row r="2185" spans="1:3" ht="13">
      <c r="A2185" s="72">
        <v>44407</v>
      </c>
      <c r="B2185" s="71">
        <v>2463.85</v>
      </c>
      <c r="C2185" s="71">
        <v>33147690744.888802</v>
      </c>
    </row>
    <row r="2186" spans="1:3" ht="13">
      <c r="A2186" s="72">
        <v>44408</v>
      </c>
      <c r="B2186" s="71">
        <v>2543.3737957282201</v>
      </c>
      <c r="C2186" s="71">
        <v>33746910933.333302</v>
      </c>
    </row>
    <row r="2187" spans="1:3" ht="13">
      <c r="A2187" s="72">
        <v>44409</v>
      </c>
      <c r="B2187" s="71">
        <v>2572.8347144621698</v>
      </c>
      <c r="C2187" s="71">
        <v>35564211989.333298</v>
      </c>
    </row>
    <row r="2188" spans="1:3" ht="13">
      <c r="A2188" s="72">
        <v>44410</v>
      </c>
      <c r="B2188" s="71">
        <v>2614.3573838884299</v>
      </c>
      <c r="C2188" s="71">
        <v>44237357496.888802</v>
      </c>
    </row>
    <row r="2189" spans="1:3" ht="13">
      <c r="A2189" s="72">
        <v>44411</v>
      </c>
      <c r="B2189" s="71">
        <v>2520.81</v>
      </c>
      <c r="C2189" s="71">
        <v>42120189838.222198</v>
      </c>
    </row>
    <row r="2190" spans="1:3" ht="13">
      <c r="A2190" s="72">
        <v>44412</v>
      </c>
      <c r="B2190" s="71">
        <v>2731.1430150841602</v>
      </c>
      <c r="C2190" s="71">
        <v>39522265713.777702</v>
      </c>
    </row>
    <row r="2191" spans="1:3" ht="13">
      <c r="A2191" s="72">
        <v>44413</v>
      </c>
      <c r="B2191" s="71">
        <v>2833.4524127261602</v>
      </c>
      <c r="C2191" s="71">
        <v>52632716487.111099</v>
      </c>
    </row>
    <row r="2192" spans="1:3" ht="13">
      <c r="A2192" s="72">
        <v>44414</v>
      </c>
      <c r="B2192" s="71">
        <v>2896.39001382267</v>
      </c>
      <c r="C2192" s="71">
        <v>53153706140.444397</v>
      </c>
    </row>
    <row r="2193" spans="1:3" ht="13">
      <c r="A2193" s="72">
        <v>44415</v>
      </c>
      <c r="B2193" s="71">
        <v>3172.8407504412298</v>
      </c>
      <c r="C2193" s="71">
        <v>46200937880.167801</v>
      </c>
    </row>
    <row r="2194" spans="1:3" ht="13">
      <c r="A2194" s="72">
        <v>44416</v>
      </c>
      <c r="B2194" s="71">
        <v>3016.8806914858901</v>
      </c>
      <c r="C2194" s="71">
        <v>51550912256</v>
      </c>
    </row>
    <row r="2195" spans="1:3" ht="13">
      <c r="A2195" s="72">
        <v>44417</v>
      </c>
      <c r="B2195" s="71">
        <v>3164.7629820577599</v>
      </c>
      <c r="C2195" s="71">
        <v>49748753436.444397</v>
      </c>
    </row>
    <row r="2196" spans="1:3" ht="13">
      <c r="A2196" s="72">
        <v>44418</v>
      </c>
      <c r="B2196" s="71">
        <v>3147.2257869545101</v>
      </c>
      <c r="C2196" s="71">
        <v>47538539804.444397</v>
      </c>
    </row>
    <row r="2197" spans="1:3" ht="13">
      <c r="A2197" s="72">
        <v>44419</v>
      </c>
      <c r="B2197" s="71">
        <v>3172.8980000000001</v>
      </c>
      <c r="C2197" s="71">
        <v>43014164913.777702</v>
      </c>
    </row>
    <row r="2198" spans="1:3" ht="13">
      <c r="A2198" s="72">
        <v>44420</v>
      </c>
      <c r="B2198" s="71">
        <v>3053.8290999999999</v>
      </c>
      <c r="C2198" s="71">
        <v>38645201884.444397</v>
      </c>
    </row>
    <row r="2199" spans="1:3" ht="13">
      <c r="A2199" s="72">
        <v>44421</v>
      </c>
      <c r="B2199" s="71">
        <v>3330.0199926783998</v>
      </c>
      <c r="C2199" s="71">
        <v>38197176696.888802</v>
      </c>
    </row>
    <row r="2200" spans="1:3" ht="13">
      <c r="A2200" s="72">
        <v>44422</v>
      </c>
      <c r="B2200" s="71">
        <v>3273.1093999999998</v>
      </c>
      <c r="C2200" s="71">
        <v>33226024256</v>
      </c>
    </row>
    <row r="2201" spans="1:3" ht="13">
      <c r="A2201" s="72">
        <v>44423</v>
      </c>
      <c r="B2201" s="71">
        <v>3312.1702</v>
      </c>
      <c r="C2201" s="71">
        <v>29447591395.5555</v>
      </c>
    </row>
    <row r="2202" spans="1:3" ht="13">
      <c r="A2202" s="72">
        <v>44424</v>
      </c>
      <c r="B2202" s="71">
        <v>3158.2022000000002</v>
      </c>
      <c r="C2202" s="71">
        <v>35668256582.466797</v>
      </c>
    </row>
    <row r="2203" spans="1:3" ht="13">
      <c r="A2203" s="72">
        <v>44425</v>
      </c>
      <c r="B2203" s="71">
        <v>3017.2453999999998</v>
      </c>
      <c r="C2203" s="71">
        <v>35642646234.405502</v>
      </c>
    </row>
    <row r="2204" spans="1:3" ht="13">
      <c r="A2204" s="72">
        <v>44426</v>
      </c>
      <c r="B2204" s="71">
        <v>3040.6021999999998</v>
      </c>
      <c r="C2204" s="71">
        <v>38846090958.222198</v>
      </c>
    </row>
    <row r="2205" spans="1:3" ht="13">
      <c r="A2205" s="72">
        <v>44427</v>
      </c>
      <c r="B2205" s="71">
        <v>3179.7231999999999</v>
      </c>
      <c r="C2205" s="71">
        <v>30035902570.666599</v>
      </c>
    </row>
    <row r="2206" spans="1:3" ht="13">
      <c r="A2206" s="72">
        <v>44428</v>
      </c>
      <c r="B2206" s="71">
        <v>3286.6878503858302</v>
      </c>
      <c r="C2206" s="71">
        <v>30429153699.5555</v>
      </c>
    </row>
    <row r="2207" spans="1:3" ht="13">
      <c r="A2207" s="72">
        <v>44429</v>
      </c>
      <c r="B2207" s="71">
        <v>3240.0862000000002</v>
      </c>
      <c r="C2207" s="71">
        <v>28040550435.679401</v>
      </c>
    </row>
    <row r="2208" spans="1:3" ht="13">
      <c r="A2208" s="72">
        <v>44430</v>
      </c>
      <c r="B2208" s="71">
        <v>3248.84611688215</v>
      </c>
      <c r="C2208" s="71">
        <v>23759242236.431999</v>
      </c>
    </row>
    <row r="2209" spans="1:3" ht="13">
      <c r="A2209" s="72">
        <v>44431</v>
      </c>
      <c r="B2209" s="71">
        <v>3324.1943999999999</v>
      </c>
      <c r="C2209" s="71">
        <v>29702255736.888802</v>
      </c>
    </row>
    <row r="2210" spans="1:3" ht="13">
      <c r="A2210" s="72">
        <v>44432</v>
      </c>
      <c r="B2210" s="71">
        <v>3181.2343999999998</v>
      </c>
      <c r="C2210" s="71">
        <v>29952223060.139801</v>
      </c>
    </row>
    <row r="2211" spans="1:3" ht="13">
      <c r="A2211" s="72">
        <v>44433</v>
      </c>
      <c r="B2211" s="71">
        <v>3231.5520000000001</v>
      </c>
      <c r="C2211" s="71">
        <v>30534726741.333302</v>
      </c>
    </row>
    <row r="2212" spans="1:3" ht="13">
      <c r="A2212" s="72">
        <v>44434</v>
      </c>
      <c r="B2212" s="71">
        <v>3121.0153</v>
      </c>
      <c r="C2212" s="71">
        <v>28224284029.77</v>
      </c>
    </row>
    <row r="2213" spans="1:3" ht="13">
      <c r="A2213" s="72">
        <v>44435</v>
      </c>
      <c r="B2213" s="71">
        <v>3268.2547</v>
      </c>
      <c r="C2213" s="71">
        <v>25812508266.666599</v>
      </c>
    </row>
    <row r="2214" spans="1:3" ht="13">
      <c r="A2214" s="72">
        <v>44436</v>
      </c>
      <c r="B2214" s="71">
        <v>3247.4220999999998</v>
      </c>
      <c r="C2214" s="71">
        <v>23693021018.1408</v>
      </c>
    </row>
    <row r="2215" spans="1:3" ht="13">
      <c r="A2215" s="72">
        <v>44437</v>
      </c>
      <c r="B2215" s="71">
        <v>3236.1842000000001</v>
      </c>
      <c r="C2215" s="71">
        <v>21213475622.3554</v>
      </c>
    </row>
    <row r="2216" spans="1:3" ht="13">
      <c r="A2216" s="72">
        <v>44438</v>
      </c>
      <c r="B2216" s="71">
        <v>3233.0987</v>
      </c>
      <c r="C2216" s="71">
        <v>23938587323.317001</v>
      </c>
    </row>
    <row r="2217" spans="1:3" ht="13">
      <c r="A2217" s="72">
        <v>44439</v>
      </c>
      <c r="B2217" s="71">
        <v>3441.6880999999998</v>
      </c>
      <c r="C2217" s="71">
        <v>40154035000.888802</v>
      </c>
    </row>
    <row r="2218" spans="1:3" ht="13">
      <c r="A2218" s="72">
        <v>44440</v>
      </c>
      <c r="B2218" s="71">
        <v>3797.4872999999998</v>
      </c>
      <c r="C2218" s="71">
        <v>46300622080</v>
      </c>
    </row>
    <row r="2219" spans="1:3" ht="13">
      <c r="A2219" s="72">
        <v>44441</v>
      </c>
      <c r="B2219" s="71">
        <v>3797.8858</v>
      </c>
      <c r="C2219" s="71">
        <v>43137180097.560898</v>
      </c>
    </row>
    <row r="2220" spans="1:3" ht="13">
      <c r="A2220" s="72">
        <v>44442</v>
      </c>
      <c r="B2220" s="71">
        <v>3938.8593184784499</v>
      </c>
      <c r="C2220" s="71">
        <v>38345291183.721199</v>
      </c>
    </row>
    <row r="2221" spans="1:3" ht="13">
      <c r="A2221" s="72">
        <v>44443</v>
      </c>
      <c r="B2221" s="71">
        <v>3899.6312625566102</v>
      </c>
      <c r="C2221" s="71">
        <v>34933022343.111099</v>
      </c>
    </row>
    <row r="2222" spans="1:3" ht="13">
      <c r="A2222" s="72">
        <v>44444</v>
      </c>
      <c r="B2222" s="71">
        <v>3960.2366999999999</v>
      </c>
      <c r="C2222" s="71">
        <v>25297265870.222198</v>
      </c>
    </row>
    <row r="2223" spans="1:3" ht="13">
      <c r="A2223" s="72">
        <v>44445</v>
      </c>
      <c r="B2223" s="71">
        <v>3940.4683</v>
      </c>
      <c r="C2223" s="71">
        <v>25138240713.915401</v>
      </c>
    </row>
    <row r="2224" spans="1:3" ht="13">
      <c r="A2224" s="72">
        <v>44446</v>
      </c>
      <c r="B2224" s="71">
        <v>3441.5585999999998</v>
      </c>
      <c r="C2224" s="71">
        <v>37655810446.222198</v>
      </c>
    </row>
    <row r="2225" spans="1:3" ht="13">
      <c r="A2225" s="72">
        <v>44447</v>
      </c>
      <c r="B2225" s="71">
        <v>3490.7883000000002</v>
      </c>
      <c r="C2225" s="71">
        <v>57381083975.111099</v>
      </c>
    </row>
    <row r="2226" spans="1:3" ht="13">
      <c r="A2226" s="72">
        <v>44448</v>
      </c>
      <c r="B2226" s="71">
        <v>3432.1642999999999</v>
      </c>
      <c r="C2226" s="71">
        <v>37246966904.888802</v>
      </c>
    </row>
    <row r="2227" spans="1:3" ht="13">
      <c r="A2227" s="72">
        <v>44449</v>
      </c>
      <c r="B2227" s="71">
        <v>3218.4576000000002</v>
      </c>
      <c r="C2227" s="71">
        <v>29160810017.895401</v>
      </c>
    </row>
    <row r="2228" spans="1:3" ht="13">
      <c r="A2228" s="72">
        <v>44450</v>
      </c>
      <c r="B2228" s="71">
        <v>3273.1945000000001</v>
      </c>
      <c r="C2228" s="71">
        <v>29240999572.069599</v>
      </c>
    </row>
    <row r="2229" spans="1:3" ht="13">
      <c r="A2229" s="72">
        <v>44451</v>
      </c>
      <c r="B2229" s="71">
        <v>3416.4495999999999</v>
      </c>
      <c r="C2229" s="71">
        <v>22647023004.444401</v>
      </c>
    </row>
    <row r="2230" spans="1:3" ht="13">
      <c r="A2230" s="72">
        <v>44452</v>
      </c>
      <c r="B2230" s="71">
        <v>3303.3638588990998</v>
      </c>
      <c r="C2230" s="71">
        <v>28643691313.777699</v>
      </c>
    </row>
    <row r="2231" spans="1:3" ht="13">
      <c r="A2231" s="72">
        <v>44453</v>
      </c>
      <c r="B2231" s="71">
        <v>3422.5909999999999</v>
      </c>
      <c r="C2231" s="71">
        <v>29507197598.773499</v>
      </c>
    </row>
    <row r="2232" spans="1:3" ht="13">
      <c r="A2232" s="72">
        <v>44454</v>
      </c>
      <c r="B2232" s="71">
        <v>3591.1752000000001</v>
      </c>
      <c r="C2232" s="71">
        <v>23595684856.888802</v>
      </c>
    </row>
    <row r="2233" spans="1:3" ht="13">
      <c r="A2233" s="72">
        <v>44455</v>
      </c>
      <c r="B2233" s="71">
        <v>3577.8433</v>
      </c>
      <c r="C2233" s="71">
        <v>28934761280</v>
      </c>
    </row>
    <row r="2234" spans="1:3" ht="13">
      <c r="A2234" s="72">
        <v>44456</v>
      </c>
      <c r="B2234" s="71">
        <v>3401.2831999999999</v>
      </c>
      <c r="C2234" s="71">
        <v>26073960824.888802</v>
      </c>
    </row>
    <row r="2235" spans="1:3" ht="13">
      <c r="A2235" s="72">
        <v>44457</v>
      </c>
      <c r="B2235" s="71">
        <v>3435.5227</v>
      </c>
      <c r="C2235" s="71">
        <v>23194678197.073101</v>
      </c>
    </row>
    <row r="2236" spans="1:3" ht="13">
      <c r="A2236" s="72">
        <v>44458</v>
      </c>
      <c r="B2236" s="71">
        <v>3329.2156</v>
      </c>
      <c r="C2236" s="71">
        <v>19223792853.333302</v>
      </c>
    </row>
    <row r="2237" spans="1:3" ht="13">
      <c r="A2237" s="72">
        <v>44459</v>
      </c>
      <c r="B2237" s="71">
        <v>2982.0817999999999</v>
      </c>
      <c r="C2237" s="71">
        <v>31036572604.444401</v>
      </c>
    </row>
    <row r="2238" spans="1:3" ht="13">
      <c r="A2238" s="72">
        <v>44460</v>
      </c>
      <c r="B2238" s="71">
        <v>2756.2492999999999</v>
      </c>
      <c r="C2238" s="71">
        <v>42039727438.222198</v>
      </c>
    </row>
    <row r="2239" spans="1:3" ht="13">
      <c r="A2239" s="72">
        <v>44461</v>
      </c>
      <c r="B2239" s="71">
        <v>3076.6402453683299</v>
      </c>
      <c r="C2239" s="71">
        <v>43141827840</v>
      </c>
    </row>
    <row r="2240" spans="1:3" ht="13">
      <c r="A2240" s="72">
        <v>44462</v>
      </c>
      <c r="B2240" s="71">
        <v>3158.7165</v>
      </c>
      <c r="C2240" s="71">
        <v>30667544903.111099</v>
      </c>
    </row>
    <row r="2241" spans="1:3" ht="13">
      <c r="A2241" s="72">
        <v>44463</v>
      </c>
      <c r="B2241" s="71">
        <v>2930.0014999999999</v>
      </c>
      <c r="C2241" s="71">
        <v>32613387802.759499</v>
      </c>
    </row>
    <row r="2242" spans="1:3" ht="13">
      <c r="A2242" s="72">
        <v>44464</v>
      </c>
      <c r="B2242" s="71">
        <v>2945.6517796242802</v>
      </c>
      <c r="C2242" s="71">
        <v>33405874595.5555</v>
      </c>
    </row>
    <row r="2243" spans="1:3" ht="13">
      <c r="A2243" s="72">
        <v>44465</v>
      </c>
      <c r="B2243" s="71">
        <v>3067.5920000000001</v>
      </c>
      <c r="C2243" s="71">
        <v>28967767888.206001</v>
      </c>
    </row>
    <row r="2244" spans="1:3" ht="13">
      <c r="A2244" s="72">
        <v>44466</v>
      </c>
      <c r="B2244" s="71">
        <v>2948.7074943100301</v>
      </c>
      <c r="C2244" s="71">
        <v>28446766900.652401</v>
      </c>
    </row>
    <row r="2245" spans="1:3" ht="13">
      <c r="A2245" s="72">
        <v>44467</v>
      </c>
      <c r="B2245" s="71">
        <v>2811.5444000000002</v>
      </c>
      <c r="C2245" s="71">
        <v>25309393038.534698</v>
      </c>
    </row>
    <row r="2246" spans="1:3" ht="13">
      <c r="A2246" s="72">
        <v>44468</v>
      </c>
      <c r="B2246" s="71">
        <v>2854.8555999999999</v>
      </c>
      <c r="C2246" s="71">
        <v>23835927706.498199</v>
      </c>
    </row>
    <row r="2247" spans="1:3" ht="13">
      <c r="A2247" s="72">
        <v>44469</v>
      </c>
      <c r="B2247" s="71">
        <v>3009.4357074894601</v>
      </c>
      <c r="C2247" s="71">
        <v>24796819448.888802</v>
      </c>
    </row>
    <row r="2248" spans="1:3" ht="13">
      <c r="A2248" s="72">
        <v>44470</v>
      </c>
      <c r="B2248" s="71">
        <v>3307.9193759695199</v>
      </c>
      <c r="C2248" s="71">
        <v>27033261098.666599</v>
      </c>
    </row>
    <row r="2249" spans="1:3" ht="13">
      <c r="A2249" s="72">
        <v>44471</v>
      </c>
      <c r="B2249" s="71">
        <v>3393.1203</v>
      </c>
      <c r="C2249" s="71">
        <v>26572499128.888802</v>
      </c>
    </row>
    <row r="2250" spans="1:3" ht="13">
      <c r="A2250" s="72">
        <v>44472</v>
      </c>
      <c r="B2250" s="71">
        <v>3423.3294000000001</v>
      </c>
      <c r="C2250" s="71">
        <v>23648606208</v>
      </c>
    </row>
    <row r="2251" spans="1:3" ht="13">
      <c r="A2251" s="72">
        <v>44473</v>
      </c>
      <c r="B2251" s="71">
        <v>3396.3240000000001</v>
      </c>
      <c r="C2251" s="71">
        <v>22691844920.888802</v>
      </c>
    </row>
    <row r="2252" spans="1:3" ht="13">
      <c r="A2252" s="72">
        <v>44474</v>
      </c>
      <c r="B2252" s="71">
        <v>3509.1144534744799</v>
      </c>
      <c r="C2252" s="71">
        <v>25529465585.777699</v>
      </c>
    </row>
    <row r="2253" spans="1:3" ht="13">
      <c r="A2253" s="72">
        <v>44475</v>
      </c>
      <c r="B2253" s="71">
        <v>3590.8241790126599</v>
      </c>
      <c r="C2253" s="71">
        <v>28165578716.444401</v>
      </c>
    </row>
    <row r="2254" spans="1:3" ht="13">
      <c r="A2254" s="72">
        <v>44476</v>
      </c>
      <c r="B2254" s="71">
        <v>3594.6591289288899</v>
      </c>
      <c r="C2254" s="71">
        <v>30544829464.975601</v>
      </c>
    </row>
    <row r="2255" spans="1:3" ht="13">
      <c r="A2255" s="72">
        <v>44477</v>
      </c>
      <c r="B2255" s="71">
        <v>3564.0715</v>
      </c>
      <c r="C2255" s="71">
        <v>24510042581.333302</v>
      </c>
    </row>
    <row r="2256" spans="1:3" ht="13">
      <c r="A2256" s="72">
        <v>44478</v>
      </c>
      <c r="B2256" s="71">
        <v>3590.29731357732</v>
      </c>
      <c r="C2256" s="71">
        <v>20008727310.222198</v>
      </c>
    </row>
    <row r="2257" spans="1:3" ht="13">
      <c r="A2257" s="72">
        <v>44479</v>
      </c>
      <c r="B2257" s="71">
        <v>3433.7703000000001</v>
      </c>
      <c r="C2257" s="71">
        <v>20452277987.5555</v>
      </c>
    </row>
    <row r="2258" spans="1:3" ht="13">
      <c r="A2258" s="72">
        <v>44480</v>
      </c>
      <c r="B2258" s="71">
        <v>3542.1059609140002</v>
      </c>
      <c r="C2258" s="71">
        <v>26114599353.441601</v>
      </c>
    </row>
    <row r="2259" spans="1:3" ht="13">
      <c r="A2259" s="72">
        <v>44481</v>
      </c>
      <c r="B2259" s="71">
        <v>3494.8202150058801</v>
      </c>
      <c r="C2259" s="71">
        <v>24503337026.302101</v>
      </c>
    </row>
    <row r="2260" spans="1:3" ht="13">
      <c r="A2260" s="72">
        <v>44482</v>
      </c>
      <c r="B2260" s="71">
        <v>3602.4665</v>
      </c>
      <c r="C2260" s="71">
        <v>22314184291.505299</v>
      </c>
    </row>
    <row r="2261" spans="1:3" ht="13">
      <c r="A2261" s="72">
        <v>44483</v>
      </c>
      <c r="B2261" s="71">
        <v>3794.0518776720801</v>
      </c>
      <c r="C2261" s="71">
        <v>24671591984.848</v>
      </c>
    </row>
    <row r="2262" spans="1:3" ht="13">
      <c r="A2262" s="72">
        <v>44484</v>
      </c>
      <c r="B2262" s="71">
        <v>3874.3882289027101</v>
      </c>
      <c r="C2262" s="71">
        <v>27764274438.287701</v>
      </c>
    </row>
    <row r="2263" spans="1:3" ht="13">
      <c r="A2263" s="72">
        <v>44485</v>
      </c>
      <c r="B2263" s="71">
        <v>3842.7231086137199</v>
      </c>
      <c r="C2263" s="71">
        <v>25330359719.3498</v>
      </c>
    </row>
    <row r="2264" spans="1:3" ht="13">
      <c r="A2264" s="72">
        <v>44486</v>
      </c>
      <c r="B2264" s="71">
        <v>3856.7769893859499</v>
      </c>
      <c r="C2264" s="71">
        <v>20901648263.314201</v>
      </c>
    </row>
    <row r="2265" spans="1:3" ht="13">
      <c r="A2265" s="72">
        <v>44487</v>
      </c>
      <c r="B2265" s="71">
        <v>3754.3723</v>
      </c>
      <c r="C2265" s="71">
        <v>25054686272.447498</v>
      </c>
    </row>
    <row r="2266" spans="1:3" ht="13">
      <c r="A2266" s="72">
        <v>44488</v>
      </c>
      <c r="B2266" s="71">
        <v>3882.9353999999998</v>
      </c>
      <c r="C2266" s="71">
        <v>23232424942.035</v>
      </c>
    </row>
    <row r="2267" spans="1:3" ht="13">
      <c r="A2267" s="72">
        <v>44489</v>
      </c>
      <c r="B2267" s="71">
        <v>4164.8441667591696</v>
      </c>
      <c r="C2267" s="71">
        <v>25564426396.444401</v>
      </c>
    </row>
    <row r="2268" spans="1:3" ht="13">
      <c r="A2268" s="72">
        <v>44490</v>
      </c>
      <c r="B2268" s="71">
        <v>4075.5561179778001</v>
      </c>
      <c r="C2268" s="71">
        <v>41948811555.555496</v>
      </c>
    </row>
    <row r="2269" spans="1:3" ht="13">
      <c r="A2269" s="72">
        <v>44491</v>
      </c>
      <c r="B2269" s="71">
        <v>3980.62404791157</v>
      </c>
      <c r="C2269" s="71">
        <v>35881919985.777702</v>
      </c>
    </row>
    <row r="2270" spans="1:3" ht="13">
      <c r="A2270" s="72">
        <v>44492</v>
      </c>
      <c r="B2270" s="71">
        <v>4161.5046000000002</v>
      </c>
      <c r="C2270" s="71">
        <v>24613138254.222198</v>
      </c>
    </row>
    <row r="2271" spans="1:3" ht="13">
      <c r="A2271" s="72">
        <v>44493</v>
      </c>
      <c r="B2271" s="71">
        <v>4084.2658817106999</v>
      </c>
      <c r="C2271" s="71">
        <v>21419554595.5555</v>
      </c>
    </row>
    <row r="2272" spans="1:3" ht="13">
      <c r="A2272" s="72">
        <v>44494</v>
      </c>
      <c r="B2272" s="71">
        <v>4216.9841856835901</v>
      </c>
      <c r="C2272" s="71">
        <v>22752207857.777699</v>
      </c>
    </row>
    <row r="2273" spans="1:3" ht="13">
      <c r="A2273" s="72">
        <v>44495</v>
      </c>
      <c r="B2273" s="71">
        <v>4144.2269999999999</v>
      </c>
      <c r="C2273" s="71">
        <v>21401297024</v>
      </c>
    </row>
    <row r="2274" spans="1:3" ht="13">
      <c r="A2274" s="72">
        <v>44496</v>
      </c>
      <c r="B2274" s="71">
        <v>3953.5218</v>
      </c>
      <c r="C2274" s="71">
        <v>35496672056.888802</v>
      </c>
    </row>
    <row r="2275" spans="1:3" ht="13">
      <c r="A2275" s="72">
        <v>44497</v>
      </c>
      <c r="B2275" s="71">
        <v>4277.8796124566998</v>
      </c>
      <c r="C2275" s="71">
        <v>33911031608.888802</v>
      </c>
    </row>
    <row r="2276" spans="1:3" ht="13">
      <c r="A2276" s="72">
        <v>44498</v>
      </c>
      <c r="B2276" s="71">
        <v>4411.1237357359496</v>
      </c>
      <c r="C2276" s="71">
        <v>36124664853.333298</v>
      </c>
    </row>
    <row r="2277" spans="1:3" ht="13">
      <c r="A2277" s="72">
        <v>44499</v>
      </c>
      <c r="B2277" s="71">
        <v>4315.82383873652</v>
      </c>
      <c r="C2277" s="71">
        <v>24115032526.222198</v>
      </c>
    </row>
    <row r="2278" spans="1:3" ht="13">
      <c r="A2278" s="72">
        <v>44500</v>
      </c>
      <c r="B2278" s="71">
        <v>4297.5316999858696</v>
      </c>
      <c r="C2278" s="71">
        <v>23144903765.333302</v>
      </c>
    </row>
    <row r="2279" spans="1:3" ht="13">
      <c r="A2279" s="72">
        <v>44501</v>
      </c>
      <c r="B2279" s="71">
        <v>4337.6785496813</v>
      </c>
      <c r="C2279" s="71">
        <v>25023704490.666599</v>
      </c>
    </row>
    <row r="2280" spans="1:3" ht="13">
      <c r="A2280" s="72">
        <v>44502</v>
      </c>
      <c r="B2280" s="71">
        <v>4592.9808140324703</v>
      </c>
      <c r="C2280" s="71">
        <v>25026544957.547001</v>
      </c>
    </row>
    <row r="2281" spans="1:3" ht="13">
      <c r="A2281" s="72">
        <v>44503</v>
      </c>
      <c r="B2281" s="71">
        <v>4605.6244271349597</v>
      </c>
      <c r="C2281" s="71">
        <v>29633102307.5555</v>
      </c>
    </row>
    <row r="2282" spans="1:3" ht="13">
      <c r="A2282" s="72">
        <v>44504</v>
      </c>
      <c r="B2282" s="71">
        <v>4535.3176030437098</v>
      </c>
      <c r="C2282" s="71">
        <v>28082568959.108002</v>
      </c>
    </row>
    <row r="2283" spans="1:3" ht="13">
      <c r="A2283" s="72">
        <v>44505</v>
      </c>
      <c r="B2283" s="71">
        <v>4488.1321804851004</v>
      </c>
      <c r="C2283" s="71">
        <v>24256463402.666599</v>
      </c>
    </row>
    <row r="2284" spans="1:3" ht="13">
      <c r="A2284" s="72">
        <v>44506</v>
      </c>
      <c r="B2284" s="71">
        <v>4515.4128386699704</v>
      </c>
      <c r="C2284" s="71">
        <v>20576344970.666599</v>
      </c>
    </row>
    <row r="2285" spans="1:3" ht="13">
      <c r="A2285" s="72">
        <v>44507</v>
      </c>
      <c r="B2285" s="71">
        <v>4619.1677463757696</v>
      </c>
      <c r="C2285" s="71">
        <v>20506340693.333302</v>
      </c>
    </row>
    <row r="2286" spans="1:3" ht="13">
      <c r="A2286" s="72">
        <v>44508</v>
      </c>
      <c r="B2286" s="71">
        <v>4819.1612937868604</v>
      </c>
      <c r="C2286" s="71">
        <v>24100025956.251701</v>
      </c>
    </row>
    <row r="2287" spans="1:3" ht="13">
      <c r="A2287" s="72">
        <v>44509</v>
      </c>
      <c r="B2287" s="71">
        <v>4736.7254000000003</v>
      </c>
      <c r="C2287" s="71">
        <v>26270877096.5853</v>
      </c>
    </row>
    <row r="2288" spans="1:3" ht="13">
      <c r="A2288" s="72">
        <v>44510</v>
      </c>
      <c r="B2288" s="71">
        <v>4637.6452754270003</v>
      </c>
      <c r="C2288" s="71">
        <v>26262380366.222198</v>
      </c>
    </row>
    <row r="2289" spans="1:3" ht="13">
      <c r="A2289" s="72">
        <v>44511</v>
      </c>
      <c r="B2289" s="71">
        <v>4727.2309180928396</v>
      </c>
      <c r="C2289" s="71">
        <v>35289895544.888802</v>
      </c>
    </row>
    <row r="2290" spans="1:3" ht="13">
      <c r="A2290" s="72">
        <v>44512</v>
      </c>
      <c r="B2290" s="71">
        <v>4677.7053110733896</v>
      </c>
      <c r="C2290" s="71">
        <v>26261109916.444401</v>
      </c>
    </row>
    <row r="2291" spans="1:3" ht="13">
      <c r="A2291" s="72">
        <v>44513</v>
      </c>
      <c r="B2291" s="71">
        <v>4658.1560125167498</v>
      </c>
      <c r="C2291" s="71">
        <v>23889874876.209</v>
      </c>
    </row>
    <row r="2292" spans="1:3" ht="13">
      <c r="A2292" s="72">
        <v>44514</v>
      </c>
      <c r="B2292" s="71">
        <v>4630.7589684351096</v>
      </c>
      <c r="C2292" s="71">
        <v>17833173630.661999</v>
      </c>
    </row>
    <row r="2293" spans="1:3" ht="13">
      <c r="A2293" s="72">
        <v>44515</v>
      </c>
      <c r="B2293" s="71">
        <v>4575.8422527686698</v>
      </c>
      <c r="C2293" s="71">
        <v>22289251496.279701</v>
      </c>
    </row>
    <row r="2294" spans="1:3" ht="13">
      <c r="A2294" s="72">
        <v>44516</v>
      </c>
      <c r="B2294" s="71">
        <v>4230.1812</v>
      </c>
      <c r="C2294" s="71">
        <v>38229605532.444397</v>
      </c>
    </row>
    <row r="2295" spans="1:3" ht="13">
      <c r="A2295" s="72">
        <v>44517</v>
      </c>
      <c r="B2295" s="71">
        <v>4292.0509000000002</v>
      </c>
      <c r="C2295" s="71">
        <v>34832910080</v>
      </c>
    </row>
    <row r="2296" spans="1:3" ht="13">
      <c r="A2296" s="72">
        <v>44518</v>
      </c>
      <c r="B2296" s="71">
        <v>3995.3937999999998</v>
      </c>
      <c r="C2296" s="71">
        <v>28548142542.222198</v>
      </c>
    </row>
    <row r="2297" spans="1:3" ht="13">
      <c r="A2297" s="72">
        <v>44519</v>
      </c>
      <c r="B2297" s="71">
        <v>4294.1527390056899</v>
      </c>
      <c r="C2297" s="71">
        <v>34323611555.5555</v>
      </c>
    </row>
    <row r="2298" spans="1:3" ht="13">
      <c r="A2298" s="72">
        <v>44520</v>
      </c>
      <c r="B2298" s="71">
        <v>4422.1285312867503</v>
      </c>
      <c r="C2298" s="71">
        <v>23245987662.222198</v>
      </c>
    </row>
    <row r="2299" spans="1:3" ht="13">
      <c r="A2299" s="72">
        <v>44521</v>
      </c>
      <c r="B2299" s="71">
        <v>4284.6367699407701</v>
      </c>
      <c r="C2299" s="71">
        <v>20657591516.444401</v>
      </c>
    </row>
    <row r="2300" spans="1:3" ht="13">
      <c r="A2300" s="72">
        <v>44522</v>
      </c>
      <c r="B2300" s="71">
        <v>4105.1046999999999</v>
      </c>
      <c r="C2300" s="71">
        <v>25889685009.9021</v>
      </c>
    </row>
    <row r="2301" spans="1:3" ht="13">
      <c r="A2301" s="72">
        <v>44523</v>
      </c>
      <c r="B2301" s="71">
        <v>4355.1248167602098</v>
      </c>
      <c r="C2301" s="71">
        <v>33298571313.777699</v>
      </c>
    </row>
    <row r="2302" spans="1:3" ht="13">
      <c r="A2302" s="72">
        <v>44524</v>
      </c>
      <c r="B2302" s="71">
        <v>4267.1911</v>
      </c>
      <c r="C2302" s="71">
        <v>32144551872</v>
      </c>
    </row>
    <row r="2303" spans="1:3" ht="13">
      <c r="A2303" s="72">
        <v>44525</v>
      </c>
      <c r="B2303" s="71">
        <v>4525.30741793179</v>
      </c>
      <c r="C2303" s="71">
        <v>35422437674.666603</v>
      </c>
    </row>
    <row r="2304" spans="1:3" ht="13">
      <c r="A2304" s="72">
        <v>44526</v>
      </c>
      <c r="B2304" s="71">
        <v>4048.1318959708001</v>
      </c>
      <c r="C2304" s="71">
        <v>49447816746.666603</v>
      </c>
    </row>
    <row r="2305" spans="1:3" ht="13">
      <c r="A2305" s="72">
        <v>44527</v>
      </c>
      <c r="B2305" s="71">
        <v>4082.3663579928598</v>
      </c>
      <c r="C2305" s="71">
        <v>45184787050.666603</v>
      </c>
    </row>
    <row r="2306" spans="1:3" ht="13">
      <c r="A2306" s="72">
        <v>44528</v>
      </c>
      <c r="B2306" s="71">
        <v>4300.9291875170802</v>
      </c>
      <c r="C2306" s="71">
        <v>35456327388.444397</v>
      </c>
    </row>
    <row r="2307" spans="1:3" ht="13">
      <c r="A2307" s="72">
        <v>44529</v>
      </c>
      <c r="B2307" s="71">
        <v>4452.2641317013604</v>
      </c>
      <c r="C2307" s="71">
        <v>41952501048.888802</v>
      </c>
    </row>
    <row r="2308" spans="1:3" ht="13">
      <c r="A2308" s="72">
        <v>44530</v>
      </c>
      <c r="B2308" s="71">
        <v>4641.6456839208904</v>
      </c>
      <c r="C2308" s="71">
        <v>44349213511.111099</v>
      </c>
    </row>
    <row r="2309" spans="1:3" ht="13">
      <c r="A2309" s="72">
        <v>44531</v>
      </c>
      <c r="B2309" s="71">
        <v>4586.9630999999999</v>
      </c>
      <c r="C2309" s="71">
        <v>53583852202.666603</v>
      </c>
    </row>
    <row r="2310" spans="1:3" ht="13">
      <c r="A2310" s="72">
        <v>44532</v>
      </c>
      <c r="B2310" s="71">
        <v>4520.3255768988101</v>
      </c>
      <c r="C2310" s="71">
        <v>39617597980.444397</v>
      </c>
    </row>
    <row r="2311" spans="1:3" ht="13">
      <c r="A2311" s="72">
        <v>44533</v>
      </c>
      <c r="B2311" s="71">
        <v>4248.6659</v>
      </c>
      <c r="C2311" s="71">
        <v>35657670385.777702</v>
      </c>
    </row>
    <row r="2312" spans="1:3" ht="13">
      <c r="A2312" s="72">
        <v>44534</v>
      </c>
      <c r="B2312" s="71">
        <v>4097.5638250712</v>
      </c>
      <c r="C2312" s="71">
        <v>66819603939.555496</v>
      </c>
    </row>
    <row r="2313" spans="1:3" ht="13">
      <c r="A2313" s="72">
        <v>44535</v>
      </c>
      <c r="B2313" s="71">
        <v>4192.6383999999998</v>
      </c>
      <c r="C2313" s="71">
        <v>45377214535.111099</v>
      </c>
    </row>
    <row r="2314" spans="1:3" ht="13">
      <c r="A2314" s="72">
        <v>44536</v>
      </c>
      <c r="B2314" s="71">
        <v>4348.4848792579296</v>
      </c>
      <c r="C2314" s="71">
        <v>52471101454.222198</v>
      </c>
    </row>
    <row r="2315" spans="1:3" ht="13">
      <c r="A2315" s="72">
        <v>44537</v>
      </c>
      <c r="B2315" s="71">
        <v>4306.1022126186099</v>
      </c>
      <c r="C2315" s="71">
        <v>53119410176</v>
      </c>
    </row>
    <row r="2316" spans="1:3" ht="13">
      <c r="A2316" s="72">
        <v>44538</v>
      </c>
      <c r="B2316" s="71">
        <v>4436.8765791881797</v>
      </c>
      <c r="C2316" s="71">
        <v>43043314076.444397</v>
      </c>
    </row>
    <row r="2317" spans="1:3" ht="13">
      <c r="A2317" s="72">
        <v>44539</v>
      </c>
      <c r="B2317" s="71">
        <v>4153.4642438615301</v>
      </c>
      <c r="C2317" s="71">
        <v>45092418503.111099</v>
      </c>
    </row>
    <row r="2318" spans="1:3" ht="13">
      <c r="A2318" s="72">
        <v>44540</v>
      </c>
      <c r="B2318" s="71">
        <v>3918.3373000000001</v>
      </c>
      <c r="C2318" s="71">
        <v>47781683513.978996</v>
      </c>
    </row>
    <row r="2319" spans="1:3" ht="13">
      <c r="A2319" s="72">
        <v>44541</v>
      </c>
      <c r="B2319" s="71">
        <v>4091.6552880458598</v>
      </c>
      <c r="C2319" s="71">
        <v>47587895793.777702</v>
      </c>
    </row>
    <row r="2320" spans="1:3" ht="13">
      <c r="A2320" s="72">
        <v>44542</v>
      </c>
      <c r="B2320" s="71">
        <v>4140.5662843439404</v>
      </c>
      <c r="C2320" s="71">
        <v>31766340003.5555</v>
      </c>
    </row>
    <row r="2321" spans="1:3" ht="13">
      <c r="A2321" s="72">
        <v>44543</v>
      </c>
      <c r="B2321" s="71">
        <v>3793.5513000000001</v>
      </c>
      <c r="C2321" s="71">
        <v>28397948935.236698</v>
      </c>
    </row>
    <row r="2322" spans="1:3" ht="13">
      <c r="A2322" s="72">
        <v>44544</v>
      </c>
      <c r="B2322" s="71">
        <v>3867.81731016511</v>
      </c>
      <c r="C2322" s="71">
        <v>35363992001.560898</v>
      </c>
    </row>
    <row r="2323" spans="1:3" ht="13">
      <c r="A2323" s="72">
        <v>44545</v>
      </c>
      <c r="B2323" s="71">
        <v>4012.8137000000002</v>
      </c>
      <c r="C2323" s="71">
        <v>30124147328</v>
      </c>
    </row>
    <row r="2324" spans="1:3" ht="13">
      <c r="A2324" s="72">
        <v>44546</v>
      </c>
      <c r="B2324" s="71">
        <v>3973.2350000000001</v>
      </c>
      <c r="C2324" s="71">
        <v>38004166243.555496</v>
      </c>
    </row>
    <row r="2325" spans="1:3" ht="13">
      <c r="A2325" s="72">
        <v>44547</v>
      </c>
      <c r="B2325" s="71">
        <v>3889.8186984670901</v>
      </c>
      <c r="C2325" s="71">
        <v>34426731072</v>
      </c>
    </row>
    <row r="2326" spans="1:3" ht="13">
      <c r="A2326" s="72">
        <v>44548</v>
      </c>
      <c r="B2326" s="71">
        <v>3961.2002509958802</v>
      </c>
      <c r="C2326" s="71">
        <v>38068638994.028099</v>
      </c>
    </row>
    <row r="2327" spans="1:3" ht="13">
      <c r="A2327" s="72">
        <v>44549</v>
      </c>
      <c r="B2327" s="71">
        <v>3924.8674999999998</v>
      </c>
      <c r="C2327" s="71">
        <v>23808039570.797199</v>
      </c>
    </row>
    <row r="2328" spans="1:3" ht="13">
      <c r="A2328" s="72">
        <v>44550</v>
      </c>
      <c r="B2328" s="71">
        <v>3936.1363237676201</v>
      </c>
      <c r="C2328" s="71">
        <v>26250691868.444401</v>
      </c>
    </row>
    <row r="2329" spans="1:3" ht="13">
      <c r="A2329" s="72">
        <v>44551</v>
      </c>
      <c r="B2329" s="71">
        <v>4027.1658000000002</v>
      </c>
      <c r="C2329" s="71">
        <v>28618196096</v>
      </c>
    </row>
    <row r="2330" spans="1:3" ht="13">
      <c r="A2330" s="72">
        <v>44552</v>
      </c>
      <c r="B2330" s="71">
        <v>3988.0639270720199</v>
      </c>
      <c r="C2330" s="71">
        <v>20454123953.777699</v>
      </c>
    </row>
    <row r="2331" spans="1:3" ht="13">
      <c r="A2331" s="72">
        <v>44553</v>
      </c>
      <c r="B2331" s="71">
        <v>4110.14416773017</v>
      </c>
      <c r="C2331" s="71">
        <v>22592386496</v>
      </c>
    </row>
    <row r="2332" spans="1:3" ht="13">
      <c r="A2332" s="72">
        <v>44554</v>
      </c>
      <c r="B2332" s="71">
        <v>4048.6062999999999</v>
      </c>
      <c r="C2332" s="71">
        <v>21211889521.777699</v>
      </c>
    </row>
    <row r="2333" spans="1:3" ht="13">
      <c r="A2333" s="72">
        <v>44555</v>
      </c>
      <c r="B2333" s="71">
        <v>4109.6464714451204</v>
      </c>
      <c r="C2333" s="71">
        <v>15636280544</v>
      </c>
    </row>
    <row r="2334" spans="1:3" ht="13">
      <c r="A2334" s="72">
        <v>44556</v>
      </c>
      <c r="B2334" s="71">
        <v>4076.4114419912398</v>
      </c>
      <c r="C2334" s="71">
        <v>14905552739.5555</v>
      </c>
    </row>
    <row r="2335" spans="1:3" ht="13">
      <c r="A2335" s="72">
        <v>44557</v>
      </c>
      <c r="B2335" s="71">
        <v>4044.8351057404202</v>
      </c>
      <c r="C2335" s="71">
        <v>14068084000</v>
      </c>
    </row>
    <row r="2336" spans="1:3" ht="13">
      <c r="A2336" s="72">
        <v>44558</v>
      </c>
      <c r="B2336" s="71">
        <v>3814.2797</v>
      </c>
      <c r="C2336" s="71">
        <v>19605723971.5555</v>
      </c>
    </row>
    <row r="2337" spans="1:3" ht="13">
      <c r="A2337" s="72">
        <v>44559</v>
      </c>
      <c r="B2337" s="71">
        <v>3639.1018756328999</v>
      </c>
      <c r="C2337" s="71">
        <v>20503962392.888802</v>
      </c>
    </row>
    <row r="2338" spans="1:3" ht="13">
      <c r="A2338" s="72">
        <v>44560</v>
      </c>
      <c r="B2338" s="71">
        <v>3724.1062999999999</v>
      </c>
      <c r="C2338" s="71">
        <v>23603716035.5555</v>
      </c>
    </row>
    <row r="2339" spans="1:3" ht="13">
      <c r="A2339" s="72">
        <v>44561</v>
      </c>
      <c r="B2339" s="71">
        <v>3691.6111563682798</v>
      </c>
      <c r="C2339" s="71">
        <v>16844827160.8888</v>
      </c>
    </row>
    <row r="2340" spans="1:3" ht="13">
      <c r="A2340" s="72">
        <v>44562</v>
      </c>
      <c r="B2340" s="71">
        <v>3773.5834</v>
      </c>
      <c r="C2340" s="71">
        <v>15838957063.111099</v>
      </c>
    </row>
    <row r="2341" spans="1:3" ht="13">
      <c r="A2341" s="72">
        <v>44563</v>
      </c>
      <c r="B2341" s="71">
        <v>3839.8139000000001</v>
      </c>
      <c r="C2341" s="71">
        <v>12081725038.2222</v>
      </c>
    </row>
    <row r="2342" spans="1:3" ht="13">
      <c r="A2342" s="72">
        <v>44564</v>
      </c>
      <c r="B2342" s="71">
        <v>3770.2316999999998</v>
      </c>
      <c r="C2342" s="71">
        <v>16383773891.5555</v>
      </c>
    </row>
    <row r="2343" spans="1:3" ht="13">
      <c r="A2343" s="72">
        <v>44565</v>
      </c>
      <c r="B2343" s="71">
        <v>3797.7553819974</v>
      </c>
      <c r="C2343" s="71">
        <v>21877374442.666599</v>
      </c>
    </row>
    <row r="2344" spans="1:3" ht="13">
      <c r="A2344" s="72">
        <v>44566</v>
      </c>
      <c r="B2344" s="71">
        <v>3563.1909000000001</v>
      </c>
      <c r="C2344" s="71">
        <v>22750588508.444401</v>
      </c>
    </row>
    <row r="2345" spans="1:3" ht="13">
      <c r="A2345" s="72">
        <v>44567</v>
      </c>
      <c r="B2345" s="71">
        <v>3419.9937832935202</v>
      </c>
      <c r="C2345" s="71">
        <v>33165849173.333302</v>
      </c>
    </row>
    <row r="2346" spans="1:3" ht="13">
      <c r="A2346" s="72">
        <v>44568</v>
      </c>
      <c r="B2346" s="71">
        <v>3197.2258999999999</v>
      </c>
      <c r="C2346" s="71">
        <v>31764463352.888802</v>
      </c>
    </row>
    <row r="2347" spans="1:3" ht="13">
      <c r="A2347" s="72">
        <v>44569</v>
      </c>
      <c r="B2347" s="71">
        <v>3099.6255005366002</v>
      </c>
      <c r="C2347" s="71">
        <v>29076178126.222198</v>
      </c>
    </row>
    <row r="2348" spans="1:3" ht="13">
      <c r="A2348" s="72">
        <v>44570</v>
      </c>
      <c r="B2348" s="71">
        <v>3164.4093050684201</v>
      </c>
      <c r="C2348" s="71">
        <v>25730508117.333302</v>
      </c>
    </row>
    <row r="2349" spans="1:3" ht="13">
      <c r="A2349" s="72">
        <v>44571</v>
      </c>
      <c r="B2349" s="71">
        <v>3085.3670999999999</v>
      </c>
      <c r="C2349" s="71">
        <v>23895435747.5555</v>
      </c>
    </row>
    <row r="2350" spans="1:3" ht="13">
      <c r="A2350" s="72">
        <v>44572</v>
      </c>
      <c r="B2350" s="71">
        <v>3238.0088000000001</v>
      </c>
      <c r="C2350" s="71">
        <v>25028994711.6376</v>
      </c>
    </row>
    <row r="2351" spans="1:3" ht="13">
      <c r="A2351" s="72">
        <v>44573</v>
      </c>
      <c r="B2351" s="71">
        <v>3374.3038000000001</v>
      </c>
      <c r="C2351" s="71">
        <v>22110662012.444401</v>
      </c>
    </row>
    <row r="2352" spans="1:3" ht="13">
      <c r="A2352" s="72">
        <v>44574</v>
      </c>
      <c r="B2352" s="71">
        <v>3256.1415000000002</v>
      </c>
      <c r="C2352" s="71">
        <v>22032964476.444401</v>
      </c>
    </row>
    <row r="2353" spans="1:3" ht="13">
      <c r="A2353" s="72">
        <v>44575</v>
      </c>
      <c r="B2353" s="71">
        <v>3314.7141615421101</v>
      </c>
      <c r="C2353" s="71">
        <v>19039040515.5555</v>
      </c>
    </row>
    <row r="2354" spans="1:3" ht="13">
      <c r="A2354" s="72">
        <v>44576</v>
      </c>
      <c r="B2354" s="71">
        <v>3331.8342671135401</v>
      </c>
      <c r="C2354" s="71">
        <v>15214683509.3333</v>
      </c>
    </row>
    <row r="2355" spans="1:3" ht="13">
      <c r="A2355" s="72">
        <v>44577</v>
      </c>
      <c r="B2355" s="71">
        <v>3354.6931147814298</v>
      </c>
      <c r="C2355" s="71">
        <v>12274577792</v>
      </c>
    </row>
    <row r="2356" spans="1:3" ht="13">
      <c r="A2356" s="72">
        <v>44578</v>
      </c>
      <c r="B2356" s="71">
        <v>3214.91037246717</v>
      </c>
      <c r="C2356" s="71">
        <v>14173655228.444401</v>
      </c>
    </row>
    <row r="2357" spans="1:3" ht="13">
      <c r="A2357" s="72">
        <v>44579</v>
      </c>
      <c r="B2357" s="71">
        <v>3168.5187000000001</v>
      </c>
      <c r="C2357" s="71">
        <v>16272064177.7777</v>
      </c>
    </row>
    <row r="2358" spans="1:3" ht="13">
      <c r="A2358" s="72">
        <v>44580</v>
      </c>
      <c r="B2358" s="71">
        <v>3100.9876398297802</v>
      </c>
      <c r="C2358" s="71">
        <v>17881558800.947701</v>
      </c>
    </row>
    <row r="2359" spans="1:3" ht="13">
      <c r="A2359" s="72">
        <v>44581</v>
      </c>
      <c r="B2359" s="71">
        <v>3013.7427683942501</v>
      </c>
      <c r="C2359" s="71">
        <v>16122431587.5555</v>
      </c>
    </row>
    <row r="2360" spans="1:3" ht="13">
      <c r="A2360" s="72">
        <v>44582</v>
      </c>
      <c r="B2360" s="71">
        <v>2552.5915</v>
      </c>
      <c r="C2360" s="71">
        <v>26722596512</v>
      </c>
    </row>
    <row r="2361" spans="1:3" ht="13">
      <c r="A2361" s="72">
        <v>44583</v>
      </c>
      <c r="B2361" s="71">
        <v>2406.1095647716002</v>
      </c>
      <c r="C2361" s="71">
        <v>37481679800.391602</v>
      </c>
    </row>
    <row r="2362" spans="1:3" ht="13">
      <c r="A2362" s="72">
        <v>44584</v>
      </c>
      <c r="B2362" s="71">
        <v>2536.3249000000001</v>
      </c>
      <c r="C2362" s="71">
        <v>27362524849.777699</v>
      </c>
    </row>
    <row r="2363" spans="1:3" ht="13">
      <c r="A2363" s="72">
        <v>44585</v>
      </c>
      <c r="B2363" s="71">
        <v>2448.1379999999999</v>
      </c>
      <c r="C2363" s="71">
        <v>24891950019.5555</v>
      </c>
    </row>
    <row r="2364" spans="1:3" ht="13">
      <c r="A2364" s="72">
        <v>44586</v>
      </c>
      <c r="B2364" s="71">
        <v>2464.1057985482598</v>
      </c>
      <c r="C2364" s="71">
        <v>29708526609.839699</v>
      </c>
    </row>
    <row r="2365" spans="1:3" ht="13">
      <c r="A2365" s="72">
        <v>44587</v>
      </c>
      <c r="B2365" s="71">
        <v>2468.2010219276299</v>
      </c>
      <c r="C2365" s="71">
        <v>21633409863.111099</v>
      </c>
    </row>
    <row r="2366" spans="1:3" ht="13">
      <c r="A2366" s="72">
        <v>44588</v>
      </c>
      <c r="B2366" s="71">
        <v>2428.6600733464502</v>
      </c>
      <c r="C2366" s="71">
        <v>27014150272</v>
      </c>
    </row>
    <row r="2367" spans="1:3" ht="13">
      <c r="A2367" s="72">
        <v>44589</v>
      </c>
      <c r="B2367" s="71">
        <v>2549.8198000000002</v>
      </c>
      <c r="C2367" s="71">
        <v>24445587932.444401</v>
      </c>
    </row>
    <row r="2368" spans="1:3" ht="13">
      <c r="A2368" s="72">
        <v>44590</v>
      </c>
      <c r="B2368" s="71">
        <v>2598.4454000000001</v>
      </c>
      <c r="C2368" s="71">
        <v>25683150954.666599</v>
      </c>
    </row>
    <row r="2369" spans="1:3" ht="13">
      <c r="A2369" s="72">
        <v>44591</v>
      </c>
      <c r="B2369" s="71">
        <v>2608.2808</v>
      </c>
      <c r="C2369" s="71">
        <v>19499216650.666599</v>
      </c>
    </row>
    <row r="2370" spans="1:3" ht="13">
      <c r="A2370" s="72">
        <v>44592</v>
      </c>
      <c r="B2370" s="71">
        <v>2689.5121014060501</v>
      </c>
      <c r="C2370" s="71">
        <v>18380646346.666599</v>
      </c>
    </row>
    <row r="2371" spans="1:3" ht="13">
      <c r="A2371" s="72">
        <v>44593</v>
      </c>
      <c r="B2371" s="71">
        <v>2799.5787</v>
      </c>
      <c r="C2371" s="71">
        <v>19492302478.222198</v>
      </c>
    </row>
    <row r="2372" spans="1:3" ht="13">
      <c r="A2372" s="72">
        <v>44594</v>
      </c>
      <c r="B2372" s="71">
        <v>2678.3973000000001</v>
      </c>
      <c r="C2372" s="71">
        <v>17227720252.444401</v>
      </c>
    </row>
    <row r="2373" spans="1:3" ht="13">
      <c r="A2373" s="72">
        <v>44595</v>
      </c>
      <c r="B2373" s="71">
        <v>2672.9834999999998</v>
      </c>
      <c r="C2373" s="71">
        <v>20149039189.333302</v>
      </c>
    </row>
    <row r="2374" spans="1:3" ht="13">
      <c r="A2374" s="72">
        <v>44596</v>
      </c>
      <c r="B2374" s="71">
        <v>2987.9202559383398</v>
      </c>
      <c r="C2374" s="71">
        <v>21792889333.333302</v>
      </c>
    </row>
    <row r="2375" spans="1:3" ht="13">
      <c r="A2375" s="72">
        <v>44597</v>
      </c>
      <c r="B2375" s="71">
        <v>3018.1714000000002</v>
      </c>
      <c r="C2375" s="71">
        <v>24305494229.333302</v>
      </c>
    </row>
    <row r="2376" spans="1:3" ht="13">
      <c r="A2376" s="72">
        <v>44598</v>
      </c>
      <c r="B2376" s="71">
        <v>3051.9089173541802</v>
      </c>
      <c r="C2376" s="71">
        <v>14038595022.2222</v>
      </c>
    </row>
    <row r="2377" spans="1:3" ht="13">
      <c r="A2377" s="72">
        <v>44599</v>
      </c>
      <c r="B2377" s="71">
        <v>3148.5198301236701</v>
      </c>
      <c r="C2377" s="71">
        <v>17695866744.888802</v>
      </c>
    </row>
    <row r="2378" spans="1:3" ht="13">
      <c r="A2378" s="72">
        <v>44600</v>
      </c>
      <c r="B2378" s="71">
        <v>3122.9978020113099</v>
      </c>
      <c r="C2378" s="71">
        <v>22725888988.444401</v>
      </c>
    </row>
    <row r="2379" spans="1:3" ht="13">
      <c r="A2379" s="72">
        <v>44601</v>
      </c>
      <c r="B2379" s="71">
        <v>3239.4857999999999</v>
      </c>
      <c r="C2379" s="71">
        <v>20890519217.777699</v>
      </c>
    </row>
    <row r="2380" spans="1:3" ht="13">
      <c r="A2380" s="72">
        <v>44602</v>
      </c>
      <c r="B2380" s="71">
        <v>3076.2148341122102</v>
      </c>
      <c r="C2380" s="71">
        <v>20885131431.111099</v>
      </c>
    </row>
    <row r="2381" spans="1:3" ht="13">
      <c r="A2381" s="72">
        <v>44603</v>
      </c>
      <c r="B2381" s="71">
        <v>2933.0463</v>
      </c>
      <c r="C2381" s="71">
        <v>25198476152.888802</v>
      </c>
    </row>
    <row r="2382" spans="1:3" ht="13">
      <c r="A2382" s="72">
        <v>44604</v>
      </c>
      <c r="B2382" s="71">
        <v>2911.9484000000002</v>
      </c>
      <c r="C2382" s="71">
        <v>20355416256</v>
      </c>
    </row>
    <row r="2383" spans="1:3" ht="13">
      <c r="A2383" s="72">
        <v>44605</v>
      </c>
      <c r="B2383" s="71">
        <v>2890.3407999999999</v>
      </c>
      <c r="C2383" s="71">
        <v>15399377852.444401</v>
      </c>
    </row>
    <row r="2384" spans="1:3" ht="13">
      <c r="A2384" s="72">
        <v>44606</v>
      </c>
      <c r="B2384" s="71">
        <v>2935.1786330640098</v>
      </c>
      <c r="C2384" s="71">
        <v>15487090307.143801</v>
      </c>
    </row>
    <row r="2385" spans="1:3" ht="13">
      <c r="A2385" s="72">
        <v>44607</v>
      </c>
      <c r="B2385" s="71">
        <v>3179.9854</v>
      </c>
      <c r="C2385" s="71">
        <v>19834285770.666599</v>
      </c>
    </row>
    <row r="2386" spans="1:3" ht="13">
      <c r="A2386" s="72">
        <v>44608</v>
      </c>
      <c r="B2386" s="71">
        <v>3129.9013</v>
      </c>
      <c r="C2386" s="71">
        <v>18818804646.8013</v>
      </c>
    </row>
    <row r="2387" spans="1:3" ht="13">
      <c r="A2387" s="72">
        <v>44609</v>
      </c>
      <c r="B2387" s="71">
        <v>2884.3609999999999</v>
      </c>
      <c r="C2387" s="71">
        <v>20353951651.5555</v>
      </c>
    </row>
    <row r="2388" spans="1:3" ht="13">
      <c r="A2388" s="72">
        <v>44610</v>
      </c>
      <c r="B2388" s="71">
        <v>2790.5312963278702</v>
      </c>
      <c r="C2388" s="71">
        <v>21438118112.780399</v>
      </c>
    </row>
    <row r="2389" spans="1:3" ht="13">
      <c r="A2389" s="72">
        <v>44611</v>
      </c>
      <c r="B2389" s="71">
        <v>2769.4373570040102</v>
      </c>
      <c r="C2389" s="71">
        <v>18514676433.777699</v>
      </c>
    </row>
    <row r="2390" spans="1:3" ht="13">
      <c r="A2390" s="72">
        <v>44612</v>
      </c>
      <c r="B2390" s="71">
        <v>2637.0550310458402</v>
      </c>
      <c r="C2390" s="71">
        <v>14951276362.666599</v>
      </c>
    </row>
    <row r="2391" spans="1:3" ht="13">
      <c r="A2391" s="72">
        <v>44613</v>
      </c>
      <c r="B2391" s="71">
        <v>2573.7750744871</v>
      </c>
      <c r="C2391" s="71">
        <v>18522682040.888802</v>
      </c>
    </row>
    <row r="2392" spans="1:3" ht="13">
      <c r="A2392" s="72">
        <v>44614</v>
      </c>
      <c r="B2392" s="71">
        <v>2644.6941999999999</v>
      </c>
      <c r="C2392" s="71">
        <v>25153610176</v>
      </c>
    </row>
    <row r="2393" spans="1:3" ht="13">
      <c r="A2393" s="72">
        <v>44615</v>
      </c>
      <c r="B2393" s="71">
        <v>2600.9274870528402</v>
      </c>
      <c r="C2393" s="71">
        <v>20045765536</v>
      </c>
    </row>
    <row r="2394" spans="1:3" ht="13">
      <c r="A2394" s="72">
        <v>44616</v>
      </c>
      <c r="B2394" s="71">
        <v>2598.8933033677899</v>
      </c>
      <c r="C2394" s="71">
        <v>28182890062.222198</v>
      </c>
    </row>
    <row r="2395" spans="1:3" ht="13">
      <c r="A2395" s="72">
        <v>44617</v>
      </c>
      <c r="B2395" s="71">
        <v>2770.49284369222</v>
      </c>
      <c r="C2395" s="71">
        <v>30941965461.333302</v>
      </c>
    </row>
    <row r="2396" spans="1:3" ht="13">
      <c r="A2396" s="72">
        <v>44618</v>
      </c>
      <c r="B2396" s="71">
        <v>2784.8056999999999</v>
      </c>
      <c r="C2396" s="71">
        <v>23993767608.888802</v>
      </c>
    </row>
    <row r="2397" spans="1:3" ht="13">
      <c r="A2397" s="72">
        <v>44619</v>
      </c>
      <c r="B2397" s="71">
        <v>2635.9136728303602</v>
      </c>
      <c r="C2397" s="71">
        <v>18528048650.666599</v>
      </c>
    </row>
    <row r="2398" spans="1:3" ht="13">
      <c r="A2398" s="72">
        <v>44620</v>
      </c>
      <c r="B2398" s="71">
        <v>2938.1165999999998</v>
      </c>
      <c r="C2398" s="71">
        <v>26591377329.777699</v>
      </c>
    </row>
    <row r="2399" spans="1:3" ht="13">
      <c r="A2399" s="72">
        <v>44621</v>
      </c>
      <c r="B2399" s="71">
        <v>2980.1923000000002</v>
      </c>
      <c r="C2399" s="71">
        <v>30933609287.111099</v>
      </c>
    </row>
    <row r="2400" spans="1:3" ht="13">
      <c r="A2400" s="72">
        <v>44622</v>
      </c>
      <c r="B2400" s="71">
        <v>2954.2317826499602</v>
      </c>
      <c r="C2400" s="71">
        <v>28155179555.5555</v>
      </c>
    </row>
    <row r="2401" spans="1:3" ht="13">
      <c r="A2401" s="72">
        <v>44623</v>
      </c>
      <c r="B2401" s="71">
        <v>2853.3233987209001</v>
      </c>
      <c r="C2401" s="71">
        <v>22524687192.306599</v>
      </c>
    </row>
    <row r="2402" spans="1:3" ht="13">
      <c r="A2402" s="72">
        <v>44624</v>
      </c>
      <c r="B2402" s="71">
        <v>2626.6276893621598</v>
      </c>
      <c r="C2402" s="71">
        <v>21749493537.235001</v>
      </c>
    </row>
    <row r="2403" spans="1:3" ht="13">
      <c r="A2403" s="72">
        <v>44625</v>
      </c>
      <c r="B2403" s="71">
        <v>2677.9367682550201</v>
      </c>
      <c r="C2403" s="71">
        <v>18990932485.505299</v>
      </c>
    </row>
    <row r="2404" spans="1:3" ht="13">
      <c r="A2404" s="72">
        <v>44626</v>
      </c>
      <c r="B2404" s="71">
        <v>2565.7078969624899</v>
      </c>
      <c r="C2404" s="71">
        <v>12411206368</v>
      </c>
    </row>
    <row r="2405" spans="1:3" ht="13">
      <c r="A2405" s="72">
        <v>44627</v>
      </c>
      <c r="B2405" s="71">
        <v>2503.1642903063498</v>
      </c>
      <c r="C2405" s="71">
        <v>17797825340.444401</v>
      </c>
    </row>
    <row r="2406" spans="1:3" ht="13">
      <c r="A2406" s="72">
        <v>44628</v>
      </c>
      <c r="B2406" s="71">
        <v>2585.4529028023398</v>
      </c>
      <c r="C2406" s="71">
        <v>23721453504</v>
      </c>
    </row>
    <row r="2407" spans="1:3" ht="13">
      <c r="A2407" s="72">
        <v>44629</v>
      </c>
      <c r="B2407" s="71">
        <v>2737.20849883033</v>
      </c>
      <c r="C2407" s="71">
        <v>24474104832</v>
      </c>
    </row>
    <row r="2408" spans="1:3" ht="13">
      <c r="A2408" s="72">
        <v>44630</v>
      </c>
      <c r="B2408" s="71">
        <v>2612.8125526090798</v>
      </c>
      <c r="C2408" s="71">
        <v>21561721763.5555</v>
      </c>
    </row>
    <row r="2409" spans="1:3" ht="13">
      <c r="A2409" s="72">
        <v>44631</v>
      </c>
      <c r="B2409" s="71">
        <v>2564.6659021802602</v>
      </c>
      <c r="C2409" s="71">
        <v>19237647114.666599</v>
      </c>
    </row>
    <row r="2410" spans="1:3" ht="13">
      <c r="A2410" s="72">
        <v>44632</v>
      </c>
      <c r="B2410" s="71">
        <v>2584.0402542049901</v>
      </c>
      <c r="C2410" s="71">
        <v>15228387212.444401</v>
      </c>
    </row>
    <row r="2411" spans="1:3" ht="13">
      <c r="A2411" s="72">
        <v>44633</v>
      </c>
      <c r="B2411" s="71">
        <v>2521.0874258812701</v>
      </c>
      <c r="C2411" s="71">
        <v>10640645864.8888</v>
      </c>
    </row>
    <row r="2412" spans="1:3" ht="13">
      <c r="A2412" s="72">
        <v>44634</v>
      </c>
      <c r="B2412" s="71">
        <v>2598.4697082999301</v>
      </c>
      <c r="C2412" s="71">
        <v>16265850392.8888</v>
      </c>
    </row>
    <row r="2413" spans="1:3" ht="13">
      <c r="A2413" s="72">
        <v>44635</v>
      </c>
      <c r="B2413" s="71">
        <v>2623.9200122010802</v>
      </c>
      <c r="C2413" s="71">
        <v>17829431089.777699</v>
      </c>
    </row>
    <row r="2414" spans="1:3" ht="13">
      <c r="A2414" s="72">
        <v>44636</v>
      </c>
      <c r="B2414" s="71">
        <v>2779.2660158476901</v>
      </c>
      <c r="C2414" s="71">
        <v>22942450328.888802</v>
      </c>
    </row>
    <row r="2415" spans="1:3" ht="13">
      <c r="A2415" s="72">
        <v>44637</v>
      </c>
      <c r="B2415" s="71">
        <v>2822.0378138158899</v>
      </c>
      <c r="C2415" s="71">
        <v>24026359953.777699</v>
      </c>
    </row>
    <row r="2416" spans="1:3" ht="13">
      <c r="A2416" s="72">
        <v>44638</v>
      </c>
      <c r="B2416" s="71">
        <v>2946.02772989614</v>
      </c>
      <c r="C2416" s="71">
        <v>21138622396.444401</v>
      </c>
    </row>
    <row r="2417" spans="1:3" ht="13">
      <c r="A2417" s="72">
        <v>44639</v>
      </c>
      <c r="B2417" s="71">
        <v>2946.0870996887702</v>
      </c>
      <c r="C2417" s="71">
        <v>22101064704</v>
      </c>
    </row>
    <row r="2418" spans="1:3" ht="13">
      <c r="A2418" s="72">
        <v>44640</v>
      </c>
      <c r="B2418" s="71">
        <v>2867.0284283064002</v>
      </c>
      <c r="C2418" s="71">
        <v>17790052778.666599</v>
      </c>
    </row>
    <row r="2419" spans="1:3" ht="13">
      <c r="A2419" s="72">
        <v>44641</v>
      </c>
      <c r="B2419" s="71">
        <v>2899.6020264536201</v>
      </c>
      <c r="C2419" s="71">
        <v>19877094901.333302</v>
      </c>
    </row>
    <row r="2420" spans="1:3" ht="13">
      <c r="A2420" s="72">
        <v>44642</v>
      </c>
      <c r="B2420" s="71">
        <v>2975.1235601579601</v>
      </c>
      <c r="C2420" s="71">
        <v>26056952661.333302</v>
      </c>
    </row>
    <row r="2421" spans="1:3" ht="13">
      <c r="A2421" s="72">
        <v>44643</v>
      </c>
      <c r="B2421" s="71">
        <v>3032.3746263839598</v>
      </c>
      <c r="C2421" s="71">
        <v>22252975792.613201</v>
      </c>
    </row>
    <row r="2422" spans="1:3" ht="13">
      <c r="A2422" s="72">
        <v>44644</v>
      </c>
      <c r="B2422" s="71">
        <v>3112.8694962456302</v>
      </c>
      <c r="C2422" s="71">
        <v>26185802972.444401</v>
      </c>
    </row>
    <row r="2423" spans="1:3" ht="13">
      <c r="A2423" s="72">
        <v>44645</v>
      </c>
      <c r="B2423" s="71">
        <v>3110.0186202418299</v>
      </c>
      <c r="C2423" s="71">
        <v>27651764586.666599</v>
      </c>
    </row>
    <row r="2424" spans="1:3" ht="13">
      <c r="A2424" s="72">
        <v>44646</v>
      </c>
      <c r="B2424" s="71">
        <v>3148.6205440676299</v>
      </c>
      <c r="C2424" s="71">
        <v>20321615182.222198</v>
      </c>
    </row>
    <row r="2425" spans="1:3" ht="13">
      <c r="A2425" s="72">
        <v>44647</v>
      </c>
      <c r="B2425" s="71">
        <v>3290.47486210941</v>
      </c>
      <c r="C2425" s="71">
        <v>14160547217.7777</v>
      </c>
    </row>
    <row r="2426" spans="1:3" ht="13">
      <c r="A2426" s="72">
        <v>44648</v>
      </c>
      <c r="B2426" s="71">
        <v>3330.9823261030301</v>
      </c>
      <c r="C2426" s="71">
        <v>27477202773.333302</v>
      </c>
    </row>
    <row r="2427" spans="1:3" ht="13">
      <c r="A2427" s="72">
        <v>44649</v>
      </c>
      <c r="B2427" s="71">
        <v>3408.3823777510302</v>
      </c>
      <c r="C2427" s="71">
        <v>30811204579.5555</v>
      </c>
    </row>
    <row r="2428" spans="1:3" ht="13">
      <c r="A2428" s="72">
        <v>44650</v>
      </c>
      <c r="B2428" s="71">
        <v>3389.6566884307699</v>
      </c>
      <c r="C2428" s="71">
        <v>28170767239.111099</v>
      </c>
    </row>
    <row r="2429" spans="1:3" ht="13">
      <c r="A2429" s="72">
        <v>44651</v>
      </c>
      <c r="B2429" s="71">
        <v>3287.1915170538</v>
      </c>
      <c r="C2429" s="71">
        <v>24315855326.1045</v>
      </c>
    </row>
    <row r="2430" spans="1:3" ht="13">
      <c r="A2430" s="72">
        <v>44652</v>
      </c>
      <c r="B2430" s="71">
        <v>3452.5600350424102</v>
      </c>
      <c r="C2430" s="71">
        <v>34345837122.006901</v>
      </c>
    </row>
    <row r="2431" spans="1:3" ht="13">
      <c r="A2431" s="72">
        <v>44653</v>
      </c>
      <c r="B2431" s="71">
        <v>3442.7784397169698</v>
      </c>
      <c r="C2431" s="71">
        <v>37472480597.333298</v>
      </c>
    </row>
    <row r="2432" spans="1:3" ht="13">
      <c r="A2432" s="72">
        <v>44654</v>
      </c>
      <c r="B2432" s="71">
        <v>3520.9241408530202</v>
      </c>
      <c r="C2432" s="71">
        <v>28103429518.222198</v>
      </c>
    </row>
    <row r="2433" spans="1:3" ht="13">
      <c r="A2433" s="72">
        <v>44655</v>
      </c>
      <c r="B2433" s="71">
        <v>3521.9834628711901</v>
      </c>
      <c r="C2433" s="71">
        <v>28208979399.111099</v>
      </c>
    </row>
    <row r="2434" spans="1:3" ht="13">
      <c r="A2434" s="72">
        <v>44656</v>
      </c>
      <c r="B2434" s="71">
        <v>3416.29494919425</v>
      </c>
      <c r="C2434" s="71">
        <v>27999827143.111099</v>
      </c>
    </row>
    <row r="2435" spans="1:3" ht="13">
      <c r="A2435" s="72">
        <v>44657</v>
      </c>
      <c r="B2435" s="71">
        <v>3174.9556282102199</v>
      </c>
      <c r="C2435" s="71">
        <v>37579667120.613197</v>
      </c>
    </row>
    <row r="2436" spans="1:3" ht="13">
      <c r="A2436" s="72">
        <v>44658</v>
      </c>
      <c r="B2436" s="71">
        <v>3238.5894933808099</v>
      </c>
      <c r="C2436" s="71">
        <v>36511988864</v>
      </c>
    </row>
    <row r="2437" spans="1:3" ht="13">
      <c r="A2437" s="72">
        <v>44659</v>
      </c>
      <c r="B2437" s="71">
        <v>3197.0275000000001</v>
      </c>
      <c r="C2437" s="71">
        <v>28615327308.7108</v>
      </c>
    </row>
    <row r="2438" spans="1:3" ht="13">
      <c r="A2438" s="72">
        <v>44660</v>
      </c>
      <c r="B2438" s="71">
        <v>3266.4526793165201</v>
      </c>
      <c r="C2438" s="71">
        <v>25321252828.444401</v>
      </c>
    </row>
    <row r="2439" spans="1:3" ht="13">
      <c r="A2439" s="72">
        <v>44661</v>
      </c>
      <c r="B2439" s="71">
        <v>3268.0509347891798</v>
      </c>
      <c r="C2439" s="71">
        <v>17648769024</v>
      </c>
    </row>
    <row r="2440" spans="1:3" ht="13">
      <c r="A2440" s="72">
        <v>44662</v>
      </c>
      <c r="B2440" s="71">
        <v>2986.5139938665998</v>
      </c>
      <c r="C2440" s="71">
        <v>29636449064.996399</v>
      </c>
    </row>
    <row r="2441" spans="1:3" ht="13">
      <c r="A2441" s="72">
        <v>44663</v>
      </c>
      <c r="B2441" s="71">
        <v>3042.0674119404598</v>
      </c>
      <c r="C2441" s="71">
        <v>37747924257.485199</v>
      </c>
    </row>
    <row r="2442" spans="1:3" ht="13">
      <c r="A2442" s="72">
        <v>44664</v>
      </c>
      <c r="B2442" s="71">
        <v>3124.1736000000001</v>
      </c>
      <c r="C2442" s="71">
        <v>30500782667.188801</v>
      </c>
    </row>
    <row r="2443" spans="1:3" ht="13">
      <c r="A2443" s="72">
        <v>44665</v>
      </c>
      <c r="B2443" s="71">
        <v>3025.7075331290998</v>
      </c>
      <c r="C2443" s="71">
        <v>26582297731.282001</v>
      </c>
    </row>
    <row r="2444" spans="1:3" ht="13">
      <c r="A2444" s="72">
        <v>44666</v>
      </c>
      <c r="B2444" s="71">
        <v>3047.2329</v>
      </c>
      <c r="C2444" s="71">
        <v>23006111150.222198</v>
      </c>
    </row>
    <row r="2445" spans="1:3" ht="13">
      <c r="A2445" s="72">
        <v>44667</v>
      </c>
      <c r="B2445" s="71">
        <v>3064.2316999999998</v>
      </c>
      <c r="C2445" s="71">
        <v>15160119968</v>
      </c>
    </row>
    <row r="2446" spans="1:3" ht="13">
      <c r="A2446" s="72">
        <v>44668</v>
      </c>
      <c r="B2446" s="71">
        <v>2998.1527999999998</v>
      </c>
      <c r="C2446" s="71">
        <v>14763718400</v>
      </c>
    </row>
    <row r="2447" spans="1:3" ht="13">
      <c r="A2447" s="72">
        <v>44669</v>
      </c>
      <c r="B2447" s="71">
        <v>3064.8060999999998</v>
      </c>
      <c r="C2447" s="71">
        <v>25849521738.666599</v>
      </c>
    </row>
    <row r="2448" spans="1:3" ht="13">
      <c r="A2448" s="72">
        <v>44670</v>
      </c>
      <c r="B2448" s="71">
        <v>3111.4076</v>
      </c>
      <c r="C2448" s="71">
        <v>28521931636.850101</v>
      </c>
    </row>
    <row r="2449" spans="1:3" ht="13">
      <c r="A2449" s="72">
        <v>44671</v>
      </c>
      <c r="B2449" s="71">
        <v>3083.5757895439401</v>
      </c>
      <c r="C2449" s="71">
        <v>24373213590.745602</v>
      </c>
    </row>
    <row r="2450" spans="1:3" ht="13">
      <c r="A2450" s="72">
        <v>44672</v>
      </c>
      <c r="B2450" s="71">
        <v>2994.3645000000001</v>
      </c>
      <c r="C2450" s="71">
        <v>28040145400.888802</v>
      </c>
    </row>
    <row r="2451" spans="1:3" ht="13">
      <c r="A2451" s="72">
        <v>44673</v>
      </c>
      <c r="B2451" s="71">
        <v>2972.3624</v>
      </c>
      <c r="C2451" s="71">
        <v>33543664532.587399</v>
      </c>
    </row>
    <row r="2452" spans="1:3" ht="13">
      <c r="A2452" s="72">
        <v>44674</v>
      </c>
      <c r="B2452" s="71">
        <v>2942.9099000000001</v>
      </c>
      <c r="C2452" s="71">
        <v>20367053272.888802</v>
      </c>
    </row>
    <row r="2453" spans="1:3" ht="13">
      <c r="A2453" s="72">
        <v>44675</v>
      </c>
      <c r="B2453" s="71">
        <v>2928.5606074174302</v>
      </c>
      <c r="C2453" s="71">
        <v>12625181187.5555</v>
      </c>
    </row>
    <row r="2454" spans="1:3" ht="13">
      <c r="A2454" s="72">
        <v>44676</v>
      </c>
      <c r="B2454" s="71">
        <v>3012.9401439756698</v>
      </c>
      <c r="C2454" s="71">
        <v>27844104916.292599</v>
      </c>
    </row>
    <row r="2455" spans="1:3" ht="13">
      <c r="A2455" s="72">
        <v>44677</v>
      </c>
      <c r="B2455" s="71">
        <v>2807.1230422220501</v>
      </c>
      <c r="C2455" s="71">
        <v>31751980586.666599</v>
      </c>
    </row>
    <row r="2456" spans="1:3" ht="13">
      <c r="A2456" s="72">
        <v>44678</v>
      </c>
      <c r="B2456" s="71">
        <v>2893.5597313715102</v>
      </c>
      <c r="C2456" s="71">
        <v>33208244913.777699</v>
      </c>
    </row>
    <row r="2457" spans="1:3" ht="13">
      <c r="A2457" s="72">
        <v>44679</v>
      </c>
      <c r="B2457" s="71">
        <v>2938.5450999999998</v>
      </c>
      <c r="C2457" s="71">
        <v>28783281875.244701</v>
      </c>
    </row>
    <row r="2458" spans="1:3" ht="13">
      <c r="A2458" s="72">
        <v>44680</v>
      </c>
      <c r="B2458" s="71">
        <v>2817.7266741826702</v>
      </c>
      <c r="C2458" s="71">
        <v>30590870236.444401</v>
      </c>
    </row>
    <row r="2459" spans="1:3" ht="13">
      <c r="A2459" s="72">
        <v>44681</v>
      </c>
      <c r="B2459" s="71">
        <v>2737.4254862715802</v>
      </c>
      <c r="C2459" s="71">
        <v>24933748195.5555</v>
      </c>
    </row>
    <row r="2460" spans="1:3" ht="13">
      <c r="A2460" s="72">
        <v>44682</v>
      </c>
      <c r="B2460" s="71">
        <v>2831.7863000000002</v>
      </c>
      <c r="C2460" s="71">
        <v>23559751092.7598</v>
      </c>
    </row>
    <row r="2461" spans="1:3" ht="13">
      <c r="A2461" s="72">
        <v>44683</v>
      </c>
      <c r="B2461" s="71">
        <v>2860.2543903629498</v>
      </c>
      <c r="C2461" s="71">
        <v>25575277753.8223</v>
      </c>
    </row>
    <row r="2462" spans="1:3" ht="13">
      <c r="A2462" s="72">
        <v>44684</v>
      </c>
      <c r="B2462" s="71">
        <v>2786.8531357975899</v>
      </c>
      <c r="C2462" s="71">
        <v>24878253084.444401</v>
      </c>
    </row>
    <row r="2463" spans="1:3" ht="13">
      <c r="A2463" s="72">
        <v>44685</v>
      </c>
      <c r="B2463" s="71">
        <v>2944.0970213911</v>
      </c>
      <c r="C2463" s="71">
        <v>22697061057.828499</v>
      </c>
    </row>
    <row r="2464" spans="1:3" ht="13">
      <c r="A2464" s="72">
        <v>44686</v>
      </c>
      <c r="B2464" s="71">
        <v>2752.9803999999999</v>
      </c>
      <c r="C2464" s="71">
        <v>28859075223.6376</v>
      </c>
    </row>
    <row r="2465" spans="1:3" ht="13">
      <c r="A2465" s="72">
        <v>44687</v>
      </c>
      <c r="B2465" s="71">
        <v>2699.8252000000002</v>
      </c>
      <c r="C2465" s="71">
        <v>35827804572.444397</v>
      </c>
    </row>
    <row r="2466" spans="1:3" ht="13">
      <c r="A2466" s="72">
        <v>44688</v>
      </c>
      <c r="B2466" s="71">
        <v>2644.9258</v>
      </c>
      <c r="C2466" s="71">
        <v>23775022823.111099</v>
      </c>
    </row>
    <row r="2467" spans="1:3" ht="13">
      <c r="A2467" s="72">
        <v>44689</v>
      </c>
      <c r="B2467" s="71">
        <v>2513.9083464488099</v>
      </c>
      <c r="C2467" s="71">
        <v>27735353642.666599</v>
      </c>
    </row>
    <row r="2468" spans="1:3" ht="13">
      <c r="A2468" s="72">
        <v>44690</v>
      </c>
      <c r="B2468" s="71">
        <v>2258.0034668690701</v>
      </c>
      <c r="C2468" s="71">
        <v>38118695661.971802</v>
      </c>
    </row>
    <row r="2469" spans="1:3" ht="13">
      <c r="A2469" s="72">
        <v>44691</v>
      </c>
      <c r="B2469" s="71">
        <v>2345.8123000000001</v>
      </c>
      <c r="C2469" s="71">
        <v>66000267207.111099</v>
      </c>
    </row>
    <row r="2470" spans="1:3" ht="13">
      <c r="A2470" s="72">
        <v>44692</v>
      </c>
      <c r="B2470" s="71">
        <v>2077.2963</v>
      </c>
      <c r="C2470" s="71">
        <v>58673029305.533096</v>
      </c>
    </row>
    <row r="2471" spans="1:3" ht="13">
      <c r="A2471" s="72">
        <v>44693</v>
      </c>
      <c r="B2471" s="71">
        <v>1967.9552000000001</v>
      </c>
      <c r="C2471" s="71">
        <v>76188638848</v>
      </c>
    </row>
    <row r="2472" spans="1:3" ht="13">
      <c r="A2472" s="72">
        <v>44694</v>
      </c>
      <c r="B2472" s="71">
        <v>2009.0527999999999</v>
      </c>
      <c r="C2472" s="71">
        <v>51155420174.222198</v>
      </c>
    </row>
    <row r="2473" spans="1:3" ht="13">
      <c r="A2473" s="72">
        <v>44695</v>
      </c>
      <c r="B2473" s="71">
        <v>2062.2008000000001</v>
      </c>
      <c r="C2473" s="71">
        <v>27245265528.888802</v>
      </c>
    </row>
    <row r="2474" spans="1:3" ht="13">
      <c r="A2474" s="72">
        <v>44696</v>
      </c>
      <c r="B2474" s="71">
        <v>2152.19645818868</v>
      </c>
      <c r="C2474" s="71">
        <v>18953485528.888802</v>
      </c>
    </row>
    <row r="2475" spans="1:3" ht="13">
      <c r="A2475" s="72">
        <v>44697</v>
      </c>
      <c r="B2475" s="71">
        <v>2032.4793079440501</v>
      </c>
      <c r="C2475" s="71">
        <v>24109528206.222198</v>
      </c>
    </row>
    <row r="2476" spans="1:3" ht="13">
      <c r="A2476" s="72">
        <v>44698</v>
      </c>
      <c r="B2476" s="71">
        <v>2107.52159290176</v>
      </c>
      <c r="C2476" s="71">
        <v>25815361144.888802</v>
      </c>
    </row>
    <row r="2477" spans="1:3" ht="13">
      <c r="A2477" s="72">
        <v>44699</v>
      </c>
      <c r="B2477" s="71">
        <v>1932.2717</v>
      </c>
      <c r="C2477" s="71">
        <v>27132605629.101002</v>
      </c>
    </row>
    <row r="2478" spans="1:3" ht="13">
      <c r="A2478" s="72">
        <v>44700</v>
      </c>
      <c r="B2478" s="71">
        <v>2041.1424026294301</v>
      </c>
      <c r="C2478" s="71">
        <v>32641303838.433498</v>
      </c>
    </row>
    <row r="2479" spans="1:3" ht="13">
      <c r="A2479" s="72">
        <v>44701</v>
      </c>
      <c r="B2479" s="71">
        <v>1985.7439117205899</v>
      </c>
      <c r="C2479" s="71">
        <v>30493566165.333302</v>
      </c>
    </row>
    <row r="2480" spans="1:3" ht="13">
      <c r="A2480" s="72">
        <v>44702</v>
      </c>
      <c r="B2480" s="71">
        <v>2000.33152184393</v>
      </c>
      <c r="C2480" s="71">
        <v>22812438293.333302</v>
      </c>
    </row>
    <row r="2481" spans="1:3" ht="13">
      <c r="A2481" s="72">
        <v>44703</v>
      </c>
      <c r="B2481" s="71">
        <v>2065.5447729237399</v>
      </c>
      <c r="C2481" s="71">
        <v>15038124330.666599</v>
      </c>
    </row>
    <row r="2482" spans="1:3" ht="13">
      <c r="A2482" s="72">
        <v>44704</v>
      </c>
      <c r="B2482" s="71">
        <v>1992.8111330214799</v>
      </c>
      <c r="C2482" s="71">
        <v>22851228878.940701</v>
      </c>
    </row>
    <row r="2483" spans="1:3" ht="13">
      <c r="A2483" s="72">
        <v>44705</v>
      </c>
      <c r="B2483" s="71">
        <v>1988.8964000000001</v>
      </c>
      <c r="C2483" s="71">
        <v>26343086855.111099</v>
      </c>
    </row>
    <row r="2484" spans="1:3" ht="13">
      <c r="A2484" s="72">
        <v>44706</v>
      </c>
      <c r="B2484" s="71">
        <v>1958.1347212455</v>
      </c>
      <c r="C2484" s="71">
        <v>24420884913.777699</v>
      </c>
    </row>
    <row r="2485" spans="1:3" ht="13">
      <c r="A2485" s="72">
        <v>44707</v>
      </c>
      <c r="B2485" s="71">
        <v>1820.73396553066</v>
      </c>
      <c r="C2485" s="71">
        <v>31938422684.444401</v>
      </c>
    </row>
    <row r="2486" spans="1:3" ht="13">
      <c r="A2486" s="72">
        <v>44708</v>
      </c>
      <c r="B2486" s="71">
        <v>1733.78260735908</v>
      </c>
      <c r="C2486" s="71">
        <v>46593465770.666603</v>
      </c>
    </row>
    <row r="2487" spans="1:3" ht="13">
      <c r="A2487" s="72">
        <v>44709</v>
      </c>
      <c r="B2487" s="71">
        <v>1818.07789155163</v>
      </c>
      <c r="C2487" s="71">
        <v>32093727921.777699</v>
      </c>
    </row>
    <row r="2488" spans="1:3" ht="13">
      <c r="A2488" s="72">
        <v>44710</v>
      </c>
      <c r="B2488" s="71">
        <v>1827.2121999999999</v>
      </c>
      <c r="C2488" s="71">
        <v>18532626119.111099</v>
      </c>
    </row>
    <row r="2489" spans="1:3" ht="13">
      <c r="A2489" s="72">
        <v>44711</v>
      </c>
      <c r="B2489" s="71">
        <v>2011.8933999999999</v>
      </c>
      <c r="C2489" s="71">
        <v>26197168607.776199</v>
      </c>
    </row>
    <row r="2490" spans="1:3" ht="13">
      <c r="A2490" s="72">
        <v>44712</v>
      </c>
      <c r="B2490" s="71">
        <v>1964.27738856013</v>
      </c>
      <c r="C2490" s="71">
        <v>34403463729.777702</v>
      </c>
    </row>
    <row r="2491" spans="1:3" ht="13">
      <c r="A2491" s="72">
        <v>44713</v>
      </c>
      <c r="B2491" s="71">
        <v>1837.2244810249699</v>
      </c>
      <c r="C2491" s="71">
        <v>32242294151.634998</v>
      </c>
    </row>
    <row r="2492" spans="1:3" ht="13">
      <c r="A2492" s="72">
        <v>44714</v>
      </c>
      <c r="B2492" s="71">
        <v>1850.3163760314301</v>
      </c>
      <c r="C2492" s="71">
        <v>37556545564.444397</v>
      </c>
    </row>
    <row r="2493" spans="1:3" ht="13">
      <c r="A2493" s="72">
        <v>44715</v>
      </c>
      <c r="B2493" s="71">
        <v>1788.8870812856201</v>
      </c>
      <c r="C2493" s="71">
        <v>28622626581.333302</v>
      </c>
    </row>
    <row r="2494" spans="1:3" ht="13">
      <c r="A2494" s="72">
        <v>44716</v>
      </c>
      <c r="B2494" s="71">
        <v>1822.50991143942</v>
      </c>
      <c r="C2494" s="71">
        <v>21736441543.111099</v>
      </c>
    </row>
    <row r="2495" spans="1:3" ht="13">
      <c r="A2495" s="72">
        <v>44717</v>
      </c>
      <c r="B2495" s="71">
        <v>1815.3933550802899</v>
      </c>
      <c r="C2495" s="71">
        <v>15356599601.7777</v>
      </c>
    </row>
    <row r="2496" spans="1:3" ht="13">
      <c r="A2496" s="72">
        <v>44718</v>
      </c>
      <c r="B2496" s="71">
        <v>1871.3757013147101</v>
      </c>
      <c r="C2496" s="71">
        <v>26476270936.888802</v>
      </c>
    </row>
    <row r="2497" spans="1:3" ht="13">
      <c r="A2497" s="72">
        <v>44719</v>
      </c>
      <c r="B2497" s="71">
        <v>1829.2034000000001</v>
      </c>
      <c r="C2497" s="71">
        <v>38037738339.555496</v>
      </c>
    </row>
    <row r="2498" spans="1:3" ht="13">
      <c r="A2498" s="72">
        <v>44720</v>
      </c>
      <c r="B2498" s="71">
        <v>1803.5530381752901</v>
      </c>
      <c r="C2498" s="71">
        <v>39977175184.225304</v>
      </c>
    </row>
    <row r="2499" spans="1:3" ht="13">
      <c r="A2499" s="72">
        <v>44721</v>
      </c>
      <c r="B2499" s="71">
        <v>1800.6847843349001</v>
      </c>
      <c r="C2499" s="71">
        <v>25759760118.119202</v>
      </c>
    </row>
    <row r="2500" spans="1:3" ht="13">
      <c r="A2500" s="72">
        <v>44722</v>
      </c>
      <c r="B2500" s="71">
        <v>1676.3168306008299</v>
      </c>
      <c r="C2500" s="71">
        <v>27751559708.444401</v>
      </c>
    </row>
    <row r="2501" spans="1:3" ht="13">
      <c r="A2501" s="72">
        <v>44723</v>
      </c>
      <c r="B2501" s="71">
        <v>1539.5002999999999</v>
      </c>
      <c r="C2501" s="71">
        <v>37880931086.222198</v>
      </c>
    </row>
    <row r="2502" spans="1:3" ht="13">
      <c r="A2502" s="72">
        <v>44724</v>
      </c>
      <c r="B2502" s="71">
        <v>1453.1791503552099</v>
      </c>
      <c r="C2502" s="71">
        <v>46614410993.777702</v>
      </c>
    </row>
    <row r="2503" spans="1:3" ht="13">
      <c r="A2503" s="72">
        <v>44725</v>
      </c>
      <c r="B2503" s="71">
        <v>1211.1207999999999</v>
      </c>
      <c r="C2503" s="71">
        <v>72609564686.321594</v>
      </c>
    </row>
    <row r="2504" spans="1:3" ht="13">
      <c r="A2504" s="72">
        <v>44726</v>
      </c>
      <c r="B2504" s="71">
        <v>1219.0641000000001</v>
      </c>
      <c r="C2504" s="71">
        <v>79186706417.628006</v>
      </c>
    </row>
    <row r="2505" spans="1:3" ht="13">
      <c r="A2505" s="72">
        <v>44727</v>
      </c>
      <c r="B2505" s="71">
        <v>1236.42719204939</v>
      </c>
      <c r="C2505" s="71">
        <v>58263423445.333298</v>
      </c>
    </row>
    <row r="2506" spans="1:3" ht="13">
      <c r="A2506" s="72">
        <v>44728</v>
      </c>
      <c r="B2506" s="71">
        <v>1071.8412000000001</v>
      </c>
      <c r="C2506" s="71">
        <v>58699222597.574898</v>
      </c>
    </row>
    <row r="2507" spans="1:3" ht="13">
      <c r="A2507" s="72">
        <v>44729</v>
      </c>
      <c r="B2507" s="71">
        <v>1091.9019000000001</v>
      </c>
      <c r="C2507" s="71">
        <v>35704587128.888802</v>
      </c>
    </row>
    <row r="2508" spans="1:3" ht="13">
      <c r="A2508" s="72">
        <v>44730</v>
      </c>
      <c r="B2508" s="71">
        <v>999.8306</v>
      </c>
      <c r="C2508" s="71">
        <v>30554862520.888802</v>
      </c>
    </row>
    <row r="2509" spans="1:3" ht="13">
      <c r="A2509" s="72">
        <v>44731</v>
      </c>
      <c r="B2509" s="71">
        <v>1131.4833000000001</v>
      </c>
      <c r="C2509" s="71">
        <v>48424583310.222198</v>
      </c>
    </row>
    <row r="2510" spans="1:3" ht="13">
      <c r="A2510" s="72">
        <v>44732</v>
      </c>
      <c r="B2510" s="71">
        <v>1141.6753000000001</v>
      </c>
      <c r="C2510" s="71">
        <v>43042361969.777702</v>
      </c>
    </row>
    <row r="2511" spans="1:3" ht="13">
      <c r="A2511" s="72">
        <v>44733</v>
      </c>
      <c r="B2511" s="71">
        <v>1130.71330044867</v>
      </c>
      <c r="C2511" s="71">
        <v>35559221620.363602</v>
      </c>
    </row>
    <row r="2512" spans="1:3" ht="13">
      <c r="A2512" s="72">
        <v>44734</v>
      </c>
      <c r="B2512" s="71">
        <v>1055.5023298685301</v>
      </c>
      <c r="C2512" s="71">
        <v>29379230300.444401</v>
      </c>
    </row>
    <row r="2513" spans="1:3" ht="13">
      <c r="A2513" s="72">
        <v>44735</v>
      </c>
      <c r="B2513" s="71">
        <v>1149.4404999999999</v>
      </c>
      <c r="C2513" s="71">
        <v>29923908337.777699</v>
      </c>
    </row>
    <row r="2514" spans="1:3" ht="13">
      <c r="A2514" s="72">
        <v>44736</v>
      </c>
      <c r="B2514" s="71">
        <v>1241.88162616408</v>
      </c>
      <c r="C2514" s="71">
        <v>31774249685.333302</v>
      </c>
    </row>
    <row r="2515" spans="1:3" ht="13">
      <c r="A2515" s="72">
        <v>44737</v>
      </c>
      <c r="B2515" s="71">
        <v>1252.32927323687</v>
      </c>
      <c r="C2515" s="71">
        <v>29037533184</v>
      </c>
    </row>
    <row r="2516" spans="1:3" ht="13">
      <c r="A2516" s="72">
        <v>44738</v>
      </c>
      <c r="B2516" s="71">
        <v>1204.4469999999999</v>
      </c>
      <c r="C2516" s="71">
        <v>23158357536</v>
      </c>
    </row>
    <row r="2517" spans="1:3" ht="13">
      <c r="A2517" s="72">
        <v>44739</v>
      </c>
      <c r="B2517" s="71">
        <v>1202.7</v>
      </c>
      <c r="C2517" s="71">
        <v>24295839580.444401</v>
      </c>
    </row>
    <row r="2518" spans="1:3" ht="13">
      <c r="A2518" s="72">
        <v>44740</v>
      </c>
      <c r="B2518" s="71">
        <v>1147.729</v>
      </c>
      <c r="C2518" s="71">
        <v>25052082638.222198</v>
      </c>
    </row>
    <row r="2519" spans="1:3" ht="13">
      <c r="A2519" s="72">
        <v>44741</v>
      </c>
      <c r="B2519" s="71">
        <v>1101.1178</v>
      </c>
      <c r="C2519" s="71">
        <v>27135989253.351898</v>
      </c>
    </row>
    <row r="2520" spans="1:3" ht="13">
      <c r="A2520" s="72">
        <v>44742</v>
      </c>
      <c r="B2520" s="71">
        <v>1071.8162928168899</v>
      </c>
      <c r="C2520" s="71">
        <v>29618717489.777699</v>
      </c>
    </row>
    <row r="2521" spans="1:3" ht="13">
      <c r="A2521" s="72">
        <v>44743</v>
      </c>
      <c r="B2521" s="71">
        <v>1071.6436437815701</v>
      </c>
      <c r="C2521" s="71">
        <v>35559509660.444397</v>
      </c>
    </row>
    <row r="2522" spans="1:3" ht="13">
      <c r="A2522" s="72">
        <v>44744</v>
      </c>
      <c r="B2522" s="71">
        <v>1072.7705351227601</v>
      </c>
      <c r="C2522" s="71">
        <v>22044447196.444401</v>
      </c>
    </row>
    <row r="2523" spans="1:3" ht="13">
      <c r="A2523" s="72">
        <v>44745</v>
      </c>
      <c r="B2523" s="71">
        <v>1083.1197</v>
      </c>
      <c r="C2523" s="71">
        <v>15787262478.2222</v>
      </c>
    </row>
    <row r="2524" spans="1:3" ht="13">
      <c r="A2524" s="72">
        <v>44746</v>
      </c>
      <c r="B2524" s="71">
        <v>1158.1628000000001</v>
      </c>
      <c r="C2524" s="71">
        <v>19456842912</v>
      </c>
    </row>
    <row r="2525" spans="1:3" ht="13">
      <c r="A2525" s="72">
        <v>44747</v>
      </c>
      <c r="B2525" s="71">
        <v>1139.15591486057</v>
      </c>
      <c r="C2525" s="71">
        <v>29154314261.482498</v>
      </c>
    </row>
    <row r="2526" spans="1:3" ht="13">
      <c r="A2526" s="72">
        <v>44748</v>
      </c>
      <c r="B2526" s="71">
        <v>1196.15320596165</v>
      </c>
      <c r="C2526" s="71">
        <v>30791107583.090099</v>
      </c>
    </row>
    <row r="2527" spans="1:3" ht="13">
      <c r="A2527" s="72">
        <v>44749</v>
      </c>
      <c r="B2527" s="71">
        <v>1245.3451088794</v>
      </c>
      <c r="C2527" s="71">
        <v>27355582592</v>
      </c>
    </row>
    <row r="2528" spans="1:3" ht="13">
      <c r="A2528" s="72">
        <v>44750</v>
      </c>
      <c r="B2528" s="71">
        <v>1239.22764169992</v>
      </c>
      <c r="C2528" s="71">
        <v>31799601437.435501</v>
      </c>
    </row>
    <row r="2529" spans="1:3" ht="13">
      <c r="A2529" s="72">
        <v>44751</v>
      </c>
      <c r="B2529" s="71">
        <v>1235.52515046231</v>
      </c>
      <c r="C2529" s="71">
        <v>23189467064.888802</v>
      </c>
    </row>
    <row r="2530" spans="1:3" ht="13">
      <c r="A2530" s="72">
        <v>44752</v>
      </c>
      <c r="B2530" s="71">
        <v>1177.64950289332</v>
      </c>
      <c r="C2530" s="71">
        <v>16618974752</v>
      </c>
    </row>
    <row r="2531" spans="1:3" ht="13">
      <c r="A2531" s="72">
        <v>44753</v>
      </c>
      <c r="B2531" s="71">
        <v>1102.0936951312799</v>
      </c>
      <c r="C2531" s="71">
        <v>20335328192</v>
      </c>
    </row>
    <row r="2532" spans="1:3" ht="13">
      <c r="A2532" s="72">
        <v>44754</v>
      </c>
      <c r="B2532" s="71">
        <v>1041.3910204067199</v>
      </c>
      <c r="C2532" s="71">
        <v>22624625941.333302</v>
      </c>
    </row>
    <row r="2533" spans="1:3" ht="13">
      <c r="A2533" s="72">
        <v>44755</v>
      </c>
      <c r="B2533" s="71">
        <v>1122.3607</v>
      </c>
      <c r="C2533" s="71">
        <v>27991844408.888802</v>
      </c>
    </row>
    <row r="2534" spans="1:3" ht="13">
      <c r="A2534" s="72">
        <v>44756</v>
      </c>
      <c r="B2534" s="71">
        <v>1200.3983000000001</v>
      </c>
      <c r="C2534" s="71">
        <v>33212883811.5555</v>
      </c>
    </row>
    <row r="2535" spans="1:3" ht="13">
      <c r="A2535" s="72">
        <v>44757</v>
      </c>
      <c r="B2535" s="71">
        <v>1242.93663270864</v>
      </c>
      <c r="C2535" s="71">
        <v>36489480042.146301</v>
      </c>
    </row>
    <row r="2536" spans="1:3" ht="13">
      <c r="A2536" s="72">
        <v>44758</v>
      </c>
      <c r="B2536" s="71">
        <v>1363.77547541336</v>
      </c>
      <c r="C2536" s="71">
        <v>34886580302.222198</v>
      </c>
    </row>
    <row r="2537" spans="1:3" ht="13">
      <c r="A2537" s="72">
        <v>44759</v>
      </c>
      <c r="B2537" s="71">
        <v>1349.2181987126701</v>
      </c>
      <c r="C2537" s="71">
        <v>40294502407.111099</v>
      </c>
    </row>
    <row r="2538" spans="1:3" ht="13">
      <c r="A2538" s="72">
        <v>44760</v>
      </c>
      <c r="B2538" s="71">
        <v>1580.4684481684101</v>
      </c>
      <c r="C2538" s="71">
        <v>45472385489.777702</v>
      </c>
    </row>
    <row r="2539" spans="1:3" ht="13">
      <c r="A2539" s="72">
        <v>44761</v>
      </c>
      <c r="B2539" s="71">
        <v>1556.6581000000001</v>
      </c>
      <c r="C2539" s="71">
        <v>60577417358.222198</v>
      </c>
    </row>
    <row r="2540" spans="1:3" ht="13">
      <c r="A2540" s="72">
        <v>44762</v>
      </c>
      <c r="B2540" s="71">
        <v>1530.9961000000001</v>
      </c>
      <c r="C2540" s="71">
        <v>48044646014.662003</v>
      </c>
    </row>
    <row r="2541" spans="1:3" ht="13">
      <c r="A2541" s="72">
        <v>44763</v>
      </c>
      <c r="B2541" s="71">
        <v>1588.9632999999999</v>
      </c>
      <c r="C2541" s="71">
        <v>44777262279.111099</v>
      </c>
    </row>
    <row r="2542" spans="1:3" ht="13">
      <c r="A2542" s="72">
        <v>44764</v>
      </c>
      <c r="B2542" s="71">
        <v>1550.0487000000001</v>
      </c>
      <c r="C2542" s="71">
        <v>39748902783.554001</v>
      </c>
    </row>
    <row r="2543" spans="1:3" ht="13">
      <c r="A2543" s="72">
        <v>44765</v>
      </c>
      <c r="B2543" s="71">
        <v>1562.74398605444</v>
      </c>
      <c r="C2543" s="71">
        <v>33412789469.986</v>
      </c>
    </row>
    <row r="2544" spans="1:3" ht="13">
      <c r="A2544" s="72">
        <v>44766</v>
      </c>
      <c r="B2544" s="71">
        <v>1610.5631646500899</v>
      </c>
      <c r="C2544" s="71">
        <v>31552703891.1777</v>
      </c>
    </row>
    <row r="2545" spans="1:3" ht="13">
      <c r="A2545" s="72">
        <v>44767</v>
      </c>
      <c r="B2545" s="71">
        <v>1460.9212</v>
      </c>
      <c r="C2545" s="71">
        <v>38214308430.222198</v>
      </c>
    </row>
    <row r="2546" spans="1:3" ht="13">
      <c r="A2546" s="72">
        <v>44768</v>
      </c>
      <c r="B2546" s="71">
        <v>1451.6643495365599</v>
      </c>
      <c r="C2546" s="71">
        <v>38720087186.285698</v>
      </c>
    </row>
    <row r="2547" spans="1:3" ht="13">
      <c r="A2547" s="72">
        <v>44769</v>
      </c>
      <c r="B2547" s="71">
        <v>1651.4757841488099</v>
      </c>
      <c r="C2547" s="71">
        <v>38162597909.4076</v>
      </c>
    </row>
    <row r="2548" spans="1:3" ht="13">
      <c r="A2548" s="72">
        <v>44770</v>
      </c>
      <c r="B2548" s="71">
        <v>1736.8710291756099</v>
      </c>
      <c r="C2548" s="71">
        <v>54525808867.555496</v>
      </c>
    </row>
    <row r="2549" spans="1:3" ht="13">
      <c r="A2549" s="72">
        <v>44771</v>
      </c>
      <c r="B2549" s="71">
        <v>1741.7085</v>
      </c>
      <c r="C2549" s="71">
        <v>50718220608</v>
      </c>
    </row>
    <row r="2550" spans="1:3" ht="13">
      <c r="A2550" s="72">
        <v>44772</v>
      </c>
      <c r="B2550" s="71">
        <v>1709.1169836270401</v>
      </c>
      <c r="C2550" s="71">
        <v>38780805376</v>
      </c>
    </row>
    <row r="2551" spans="1:3" ht="13">
      <c r="A2551" s="72">
        <v>44773</v>
      </c>
      <c r="B2551" s="71">
        <v>1691.1315999999999</v>
      </c>
      <c r="C2551" s="71">
        <v>26165296341.333302</v>
      </c>
    </row>
    <row r="2552" spans="1:3" ht="13">
      <c r="A2552" s="72">
        <v>44774</v>
      </c>
      <c r="B2552" s="71">
        <v>1642.1101065313901</v>
      </c>
      <c r="C2552" s="71">
        <v>29122110556.444401</v>
      </c>
    </row>
    <row r="2553" spans="1:3" ht="13">
      <c r="A2553" s="72">
        <v>44775</v>
      </c>
      <c r="B2553" s="71">
        <v>1642.8113341539199</v>
      </c>
      <c r="C2553" s="71">
        <v>36179693226.666603</v>
      </c>
    </row>
    <row r="2554" spans="1:3" ht="13">
      <c r="A2554" s="72">
        <v>44776</v>
      </c>
      <c r="B2554" s="71">
        <v>1625.3490999999999</v>
      </c>
      <c r="C2554" s="71">
        <v>36776126456.864098</v>
      </c>
    </row>
    <row r="2555" spans="1:3" ht="13">
      <c r="A2555" s="72">
        <v>44777</v>
      </c>
      <c r="B2555" s="71">
        <v>1618.8227724501401</v>
      </c>
      <c r="C2555" s="71">
        <v>30469246030.222198</v>
      </c>
    </row>
    <row r="2556" spans="1:3" ht="13">
      <c r="A2556" s="72">
        <v>44778</v>
      </c>
      <c r="B2556" s="71">
        <v>1730.8868765460199</v>
      </c>
      <c r="C2556" s="71">
        <v>34332756216.888802</v>
      </c>
    </row>
    <row r="2557" spans="1:3" ht="13">
      <c r="A2557" s="72">
        <v>44779</v>
      </c>
      <c r="B2557" s="71">
        <v>1697.5081</v>
      </c>
      <c r="C2557" s="71">
        <v>31936933674.666599</v>
      </c>
    </row>
    <row r="2558" spans="1:3" ht="13">
      <c r="A2558" s="72">
        <v>44780</v>
      </c>
      <c r="B2558" s="71">
        <v>1706.1710361805301</v>
      </c>
      <c r="C2558" s="71">
        <v>20121560003.5555</v>
      </c>
    </row>
    <row r="2559" spans="1:3" ht="13">
      <c r="A2559" s="72">
        <v>44781</v>
      </c>
      <c r="B2559" s="71">
        <v>1786.5640000000001</v>
      </c>
      <c r="C2559" s="71">
        <v>26660251576.888802</v>
      </c>
    </row>
    <row r="2560" spans="1:3" ht="13">
      <c r="A2560" s="72">
        <v>44782</v>
      </c>
      <c r="B2560" s="71">
        <v>1716.05537926134</v>
      </c>
      <c r="C2560" s="71">
        <v>32706398968.888802</v>
      </c>
    </row>
    <row r="2561" spans="1:3" ht="13">
      <c r="A2561" s="72">
        <v>44783</v>
      </c>
      <c r="B2561" s="71">
        <v>1865.85609705103</v>
      </c>
      <c r="C2561" s="71">
        <v>34392203512.888802</v>
      </c>
    </row>
    <row r="2562" spans="1:3" ht="13">
      <c r="A2562" s="72">
        <v>44784</v>
      </c>
      <c r="B2562" s="71">
        <v>1897.9421</v>
      </c>
      <c r="C2562" s="71">
        <v>35785405902.222198</v>
      </c>
    </row>
    <row r="2563" spans="1:3" ht="13">
      <c r="A2563" s="72">
        <v>44785</v>
      </c>
      <c r="B2563" s="71">
        <v>1973.6108999999999</v>
      </c>
      <c r="C2563" s="71">
        <v>25462167594.666599</v>
      </c>
    </row>
    <row r="2564" spans="1:3" ht="13">
      <c r="A2564" s="72">
        <v>44786</v>
      </c>
      <c r="B2564" s="71">
        <v>1997.2170005725</v>
      </c>
      <c r="C2564" s="71">
        <v>25526361080.888802</v>
      </c>
    </row>
    <row r="2565" spans="1:3" ht="13">
      <c r="A2565" s="72">
        <v>44787</v>
      </c>
      <c r="B2565" s="71">
        <v>1952.20133976072</v>
      </c>
      <c r="C2565" s="71">
        <v>19248559004.444401</v>
      </c>
    </row>
    <row r="2566" spans="1:3" ht="13">
      <c r="A2566" s="72">
        <v>44788</v>
      </c>
      <c r="B2566" s="71">
        <v>1921.2660000000001</v>
      </c>
      <c r="C2566" s="71">
        <v>26022651548.444401</v>
      </c>
    </row>
    <row r="2567" spans="1:3" ht="13">
      <c r="A2567" s="72">
        <v>44789</v>
      </c>
      <c r="B2567" s="71">
        <v>1894.52070185969</v>
      </c>
      <c r="C2567" s="71">
        <v>24174489756.444401</v>
      </c>
    </row>
    <row r="2568" spans="1:3" ht="13">
      <c r="A2568" s="72">
        <v>44790</v>
      </c>
      <c r="B2568" s="71">
        <v>1844.6625215312199</v>
      </c>
      <c r="C2568" s="71">
        <v>23311337543.358799</v>
      </c>
    </row>
    <row r="2569" spans="1:3" ht="13">
      <c r="A2569" s="72">
        <v>44791</v>
      </c>
      <c r="B2569" s="71">
        <v>1848.1316999999999</v>
      </c>
      <c r="C2569" s="71">
        <v>22129731861.333302</v>
      </c>
    </row>
    <row r="2570" spans="1:3" ht="13">
      <c r="A2570" s="72">
        <v>44792</v>
      </c>
      <c r="B2570" s="71">
        <v>1617.2905569711199</v>
      </c>
      <c r="C2570" s="71">
        <v>26545661425.777699</v>
      </c>
    </row>
    <row r="2571" spans="1:3" ht="13">
      <c r="A2571" s="72">
        <v>44793</v>
      </c>
      <c r="B2571" s="71">
        <v>1584.1249891055299</v>
      </c>
      <c r="C2571" s="71">
        <v>27657180399.0522</v>
      </c>
    </row>
    <row r="2572" spans="1:3" ht="13">
      <c r="A2572" s="72">
        <v>44794</v>
      </c>
      <c r="B2572" s="71">
        <v>1623.63815643974</v>
      </c>
      <c r="C2572" s="71">
        <v>22272454165.333302</v>
      </c>
    </row>
    <row r="2573" spans="1:3" ht="13">
      <c r="A2573" s="72">
        <v>44795</v>
      </c>
      <c r="B2573" s="71">
        <v>1629.18</v>
      </c>
      <c r="C2573" s="71">
        <v>22886773482.666599</v>
      </c>
    </row>
    <row r="2574" spans="1:3" ht="13">
      <c r="A2574" s="72">
        <v>44796</v>
      </c>
      <c r="B2574" s="71">
        <v>1667.7250656137201</v>
      </c>
      <c r="C2574" s="71">
        <v>24779859818.666599</v>
      </c>
    </row>
    <row r="2575" spans="1:3" ht="13">
      <c r="A2575" s="72">
        <v>44797</v>
      </c>
      <c r="B2575" s="71">
        <v>1662.14994989967</v>
      </c>
      <c r="C2575" s="71">
        <v>23570177322.666599</v>
      </c>
    </row>
    <row r="2576" spans="1:3" ht="13">
      <c r="A2576" s="72">
        <v>44798</v>
      </c>
      <c r="B2576" s="71">
        <v>1704.7171947874599</v>
      </c>
      <c r="C2576" s="71">
        <v>20562254912</v>
      </c>
    </row>
    <row r="2577" spans="1:3" ht="13">
      <c r="A2577" s="72">
        <v>44799</v>
      </c>
      <c r="B2577" s="71">
        <v>1529.2362588109399</v>
      </c>
      <c r="C2577" s="71">
        <v>32809402659.5555</v>
      </c>
    </row>
    <row r="2578" spans="1:3" ht="13">
      <c r="A2578" s="72">
        <v>44800</v>
      </c>
      <c r="B2578" s="71">
        <v>1512.3606</v>
      </c>
      <c r="C2578" s="71">
        <v>41625245056</v>
      </c>
    </row>
    <row r="2579" spans="1:3" ht="13">
      <c r="A2579" s="72">
        <v>44801</v>
      </c>
      <c r="B2579" s="71">
        <v>1446.8779</v>
      </c>
      <c r="C2579" s="71">
        <v>20927463367.111099</v>
      </c>
    </row>
    <row r="2580" spans="1:3" ht="13">
      <c r="A2580" s="72">
        <v>44802</v>
      </c>
      <c r="B2580" s="71">
        <v>1567.6056729759</v>
      </c>
      <c r="C2580" s="71">
        <v>23467333610.5923</v>
      </c>
    </row>
    <row r="2581" spans="1:3" ht="13">
      <c r="A2581" s="72">
        <v>44803</v>
      </c>
      <c r="B2581" s="71">
        <v>1540.15</v>
      </c>
      <c r="C2581" s="71">
        <v>29678474200.752602</v>
      </c>
    </row>
    <row r="2582" spans="1:3" ht="13">
      <c r="A2582" s="72">
        <v>44804</v>
      </c>
      <c r="B2582" s="71">
        <v>1571.7813000000001</v>
      </c>
      <c r="C2582" s="71">
        <v>37207694378.666603</v>
      </c>
    </row>
    <row r="2583" spans="1:3" ht="13">
      <c r="A2583" s="72">
        <v>44805</v>
      </c>
      <c r="B2583" s="71">
        <v>1605.5273</v>
      </c>
      <c r="C2583" s="71">
        <v>29391723640.888802</v>
      </c>
    </row>
    <row r="2584" spans="1:3" ht="13">
      <c r="A2584" s="72">
        <v>44806</v>
      </c>
      <c r="B2584" s="71">
        <v>1590.9704999999999</v>
      </c>
      <c r="C2584" s="71">
        <v>27606009256.5853</v>
      </c>
    </row>
    <row r="2585" spans="1:3" ht="13">
      <c r="A2585" s="72">
        <v>44807</v>
      </c>
      <c r="B2585" s="71">
        <v>1571.8126856116701</v>
      </c>
      <c r="C2585" s="71">
        <v>23579696206.222198</v>
      </c>
    </row>
    <row r="2586" spans="1:3" ht="13">
      <c r="A2586" s="72">
        <v>44808</v>
      </c>
      <c r="B2586" s="71">
        <v>1593.1269572608701</v>
      </c>
      <c r="C2586" s="71">
        <v>13330018407.111099</v>
      </c>
    </row>
    <row r="2587" spans="1:3" ht="13">
      <c r="A2587" s="72">
        <v>44809</v>
      </c>
      <c r="B2587" s="71">
        <v>1637.3097599760199</v>
      </c>
      <c r="C2587" s="71">
        <v>17248149888</v>
      </c>
    </row>
    <row r="2588" spans="1:3" ht="13">
      <c r="A2588" s="72">
        <v>44810</v>
      </c>
      <c r="B2588" s="71">
        <v>1578.96044243438</v>
      </c>
      <c r="C2588" s="71">
        <v>29849326535.111099</v>
      </c>
    </row>
    <row r="2589" spans="1:3" ht="13">
      <c r="A2589" s="72">
        <v>44811</v>
      </c>
      <c r="B2589" s="71">
        <v>1647.84519048012</v>
      </c>
      <c r="C2589" s="71">
        <v>32475255751.111099</v>
      </c>
    </row>
    <row r="2590" spans="1:3" ht="13">
      <c r="A2590" s="72">
        <v>44812</v>
      </c>
      <c r="B2590" s="71">
        <v>1654.3175000000001</v>
      </c>
      <c r="C2590" s="71">
        <v>32526352896</v>
      </c>
    </row>
    <row r="2591" spans="1:3" ht="13">
      <c r="A2591" s="72">
        <v>44813</v>
      </c>
      <c r="B2591" s="71">
        <v>1737.93384697998</v>
      </c>
      <c r="C2591" s="71">
        <v>34189717809.777699</v>
      </c>
    </row>
    <row r="2592" spans="1:3" ht="13">
      <c r="A2592" s="72">
        <v>44814</v>
      </c>
      <c r="B2592" s="71">
        <v>1798.3565000000001</v>
      </c>
      <c r="C2592" s="71">
        <v>27675742101.333302</v>
      </c>
    </row>
    <row r="2593" spans="1:3" ht="13">
      <c r="A2593" s="72">
        <v>44815</v>
      </c>
      <c r="B2593" s="71">
        <v>1784.5980121027401</v>
      </c>
      <c r="C2593" s="71">
        <v>21132237468.444401</v>
      </c>
    </row>
    <row r="2594" spans="1:3" ht="13">
      <c r="A2594" s="72">
        <v>44816</v>
      </c>
      <c r="B2594" s="71">
        <v>1739.2838426579401</v>
      </c>
      <c r="C2594" s="71">
        <v>27271086478.222198</v>
      </c>
    </row>
    <row r="2595" spans="1:3" ht="13">
      <c r="A2595" s="72">
        <v>44817</v>
      </c>
      <c r="B2595" s="71">
        <v>1592.51758950405</v>
      </c>
      <c r="C2595" s="71">
        <v>40959885930.666603</v>
      </c>
    </row>
    <row r="2596" spans="1:3" ht="13">
      <c r="A2596" s="72">
        <v>44818</v>
      </c>
      <c r="B2596" s="71">
        <v>1655.1844225715099</v>
      </c>
      <c r="C2596" s="71">
        <v>50737202453.333298</v>
      </c>
    </row>
    <row r="2597" spans="1:3" ht="13">
      <c r="A2597" s="72">
        <v>44819</v>
      </c>
      <c r="B2597" s="71">
        <v>1492.0814</v>
      </c>
      <c r="C2597" s="71">
        <v>55534580096</v>
      </c>
    </row>
    <row r="2598" spans="1:3" ht="13">
      <c r="A2598" s="72">
        <v>44820</v>
      </c>
      <c r="B2598" s="71">
        <v>1446.7472627040099</v>
      </c>
      <c r="C2598" s="71">
        <v>47680938268.444397</v>
      </c>
    </row>
    <row r="2599" spans="1:3" ht="13">
      <c r="A2599" s="72">
        <v>44821</v>
      </c>
      <c r="B2599" s="71">
        <v>1494.3329669001901</v>
      </c>
      <c r="C2599" s="71">
        <v>32598806840.888802</v>
      </c>
    </row>
    <row r="2600" spans="1:3" ht="13">
      <c r="A2600" s="72">
        <v>44822</v>
      </c>
      <c r="B2600" s="71">
        <v>1353.9930383972901</v>
      </c>
      <c r="C2600" s="71">
        <v>26680713735.111099</v>
      </c>
    </row>
    <row r="2601" spans="1:3" ht="13">
      <c r="A2601" s="72">
        <v>44823</v>
      </c>
      <c r="B2601" s="71">
        <v>1397.4837537854801</v>
      </c>
      <c r="C2601" s="71">
        <v>49261621276.444397</v>
      </c>
    </row>
    <row r="2602" spans="1:3" ht="13">
      <c r="A2602" s="72">
        <v>44824</v>
      </c>
      <c r="B2602" s="71">
        <v>1337.6201000000001</v>
      </c>
      <c r="C2602" s="71">
        <v>39725791745.783897</v>
      </c>
    </row>
    <row r="2603" spans="1:3" ht="13">
      <c r="A2603" s="72">
        <v>44825</v>
      </c>
      <c r="B2603" s="71">
        <v>1260.6804588321099</v>
      </c>
      <c r="C2603" s="71">
        <v>36383806264.888802</v>
      </c>
    </row>
    <row r="2604" spans="1:3" ht="13">
      <c r="A2604" s="72">
        <v>44826</v>
      </c>
      <c r="B2604" s="71">
        <v>1347.1129503784</v>
      </c>
      <c r="C2604" s="71">
        <v>52572820565.333298</v>
      </c>
    </row>
    <row r="2605" spans="1:3" ht="13">
      <c r="A2605" s="72">
        <v>44827</v>
      </c>
      <c r="B2605" s="71">
        <v>1339.3711763602</v>
      </c>
      <c r="C2605" s="71">
        <v>48127721116.444397</v>
      </c>
    </row>
    <row r="2606" spans="1:3" ht="13">
      <c r="A2606" s="72">
        <v>44828</v>
      </c>
      <c r="B2606" s="71">
        <v>1342.38692865403</v>
      </c>
      <c r="C2606" s="71">
        <v>44019129144.888802</v>
      </c>
    </row>
    <row r="2607" spans="1:3" ht="13">
      <c r="A2607" s="72">
        <v>44829</v>
      </c>
      <c r="B2607" s="71">
        <v>1318.269</v>
      </c>
      <c r="C2607" s="71">
        <v>30597888704</v>
      </c>
    </row>
    <row r="2608" spans="1:3" ht="13">
      <c r="A2608" s="72">
        <v>44830</v>
      </c>
      <c r="B2608" s="71">
        <v>1347.6918000000001</v>
      </c>
      <c r="C2608" s="71">
        <v>34668929580.599297</v>
      </c>
    </row>
    <row r="2609" spans="1:3" ht="13">
      <c r="A2609" s="72">
        <v>44831</v>
      </c>
      <c r="B2609" s="71">
        <v>1342.71996281107</v>
      </c>
      <c r="C2609" s="71">
        <v>37167693013.333298</v>
      </c>
    </row>
    <row r="2610" spans="1:3" ht="13">
      <c r="A2610" s="72">
        <v>44832</v>
      </c>
      <c r="B2610" s="71">
        <v>1345.56531526617</v>
      </c>
      <c r="C2610" s="71">
        <v>44449547024.947701</v>
      </c>
    </row>
    <row r="2611" spans="1:3" ht="13">
      <c r="A2611" s="72">
        <v>44833</v>
      </c>
      <c r="B2611" s="71">
        <v>1345.66860170937</v>
      </c>
      <c r="C2611" s="71">
        <v>36476411783.111099</v>
      </c>
    </row>
    <row r="2612" spans="1:3" ht="13">
      <c r="A2612" s="72">
        <v>44834</v>
      </c>
      <c r="B2612" s="71">
        <v>1337.1692727099301</v>
      </c>
      <c r="C2612" s="71">
        <v>35095161372.444397</v>
      </c>
    </row>
    <row r="2613" spans="1:3" ht="13">
      <c r="A2613" s="72">
        <v>44835</v>
      </c>
      <c r="B2613" s="71">
        <v>1319.5128999999999</v>
      </c>
      <c r="C2613" s="71">
        <v>24279837106.750801</v>
      </c>
    </row>
    <row r="2614" spans="1:3" ht="13">
      <c r="A2614" s="72">
        <v>44836</v>
      </c>
      <c r="B2614" s="71">
        <v>1283.6007693273</v>
      </c>
      <c r="C2614" s="71">
        <v>14872393304.8888</v>
      </c>
    </row>
    <row r="2615" spans="1:3" ht="13">
      <c r="A2615" s="72">
        <v>44837</v>
      </c>
      <c r="B2615" s="71">
        <v>1329.9390000000001</v>
      </c>
      <c r="C2615" s="71">
        <v>22608955374.222198</v>
      </c>
    </row>
    <row r="2616" spans="1:3" ht="13">
      <c r="A2616" s="72">
        <v>44838</v>
      </c>
      <c r="B2616" s="71">
        <v>1370.5743</v>
      </c>
      <c r="C2616" s="71">
        <v>24317840533.333302</v>
      </c>
    </row>
    <row r="2617" spans="1:3" ht="13">
      <c r="A2617" s="72">
        <v>44839</v>
      </c>
      <c r="B2617" s="71">
        <v>1359.8448000000001</v>
      </c>
      <c r="C2617" s="71">
        <v>22811595143.111099</v>
      </c>
    </row>
    <row r="2618" spans="1:3" ht="13">
      <c r="A2618" s="72">
        <v>44840</v>
      </c>
      <c r="B2618" s="71">
        <v>1357.7041591928</v>
      </c>
      <c r="C2618" s="71">
        <v>28837461120</v>
      </c>
    </row>
    <row r="2619" spans="1:3" ht="13">
      <c r="A2619" s="72">
        <v>44841</v>
      </c>
      <c r="B2619" s="71">
        <v>1332.01563133169</v>
      </c>
      <c r="C2619" s="71">
        <v>23498465404.877998</v>
      </c>
    </row>
    <row r="2620" spans="1:3" ht="13">
      <c r="A2620" s="72">
        <v>44842</v>
      </c>
      <c r="B2620" s="71">
        <v>1315.1223</v>
      </c>
      <c r="C2620" s="71">
        <v>15751715599.1637</v>
      </c>
    </row>
    <row r="2621" spans="1:3" ht="13">
      <c r="A2621" s="72">
        <v>44843</v>
      </c>
      <c r="B2621" s="71">
        <v>1322.2074</v>
      </c>
      <c r="C2621" s="71">
        <v>11099968504.8888</v>
      </c>
    </row>
    <row r="2622" spans="1:3" ht="13">
      <c r="A2622" s="72">
        <v>44844</v>
      </c>
      <c r="B2622" s="71">
        <v>1291.03947530448</v>
      </c>
      <c r="C2622" s="71">
        <v>14298382616.083599</v>
      </c>
    </row>
    <row r="2623" spans="1:3" ht="13">
      <c r="A2623" s="72">
        <v>44845</v>
      </c>
      <c r="B2623" s="71">
        <v>1279.4075</v>
      </c>
      <c r="C2623" s="71">
        <v>19233795040</v>
      </c>
    </row>
    <row r="2624" spans="1:3" ht="13">
      <c r="A2624" s="72">
        <v>44846</v>
      </c>
      <c r="B2624" s="71">
        <v>1294.89477670053</v>
      </c>
      <c r="C2624" s="71">
        <v>17098290482.843201</v>
      </c>
    </row>
    <row r="2625" spans="1:3" ht="13">
      <c r="A2625" s="72">
        <v>44847</v>
      </c>
      <c r="B2625" s="71">
        <v>1288.08294622531</v>
      </c>
      <c r="C2625" s="71">
        <v>23846336358.5783</v>
      </c>
    </row>
    <row r="2626" spans="1:3" ht="13">
      <c r="A2626" s="72">
        <v>44848</v>
      </c>
      <c r="B2626" s="71">
        <v>1297.5523000000001</v>
      </c>
      <c r="C2626" s="71">
        <v>33458848042.666599</v>
      </c>
    </row>
    <row r="2627" spans="1:3" ht="13">
      <c r="A2627" s="72">
        <v>44849</v>
      </c>
      <c r="B2627" s="71">
        <v>1273.866</v>
      </c>
      <c r="C2627" s="71">
        <v>18202968803.5555</v>
      </c>
    </row>
    <row r="2628" spans="1:3" ht="13">
      <c r="A2628" s="72">
        <v>44850</v>
      </c>
      <c r="B2628" s="71">
        <v>1305.7403487076899</v>
      </c>
      <c r="C2628" s="71">
        <v>12447929377.895399</v>
      </c>
    </row>
    <row r="2629" spans="1:3" ht="13">
      <c r="A2629" s="72">
        <v>44851</v>
      </c>
      <c r="B2629" s="71">
        <v>1332.4058</v>
      </c>
      <c r="C2629" s="71">
        <v>17823938080</v>
      </c>
    </row>
    <row r="2630" spans="1:3" ht="13">
      <c r="A2630" s="72">
        <v>44852</v>
      </c>
      <c r="B2630" s="71">
        <v>1311.9314999999999</v>
      </c>
      <c r="C2630" s="71">
        <v>20472464604.444401</v>
      </c>
    </row>
    <row r="2631" spans="1:3" ht="13">
      <c r="A2631" s="72">
        <v>44853</v>
      </c>
      <c r="B2631" s="71">
        <v>1284.617</v>
      </c>
      <c r="C2631" s="71">
        <v>19727401237.333302</v>
      </c>
    </row>
    <row r="2632" spans="1:3" ht="13">
      <c r="A2632" s="72">
        <v>44854</v>
      </c>
      <c r="B2632" s="71">
        <v>1282.6884</v>
      </c>
      <c r="C2632" s="71">
        <v>17498682293.333302</v>
      </c>
    </row>
    <row r="2633" spans="1:3" ht="13">
      <c r="A2633" s="72">
        <v>44855</v>
      </c>
      <c r="B2633" s="71">
        <v>1299.5291999999999</v>
      </c>
      <c r="C2633" s="71">
        <v>18643007608.888802</v>
      </c>
    </row>
    <row r="2634" spans="1:3" ht="13">
      <c r="A2634" s="72">
        <v>44856</v>
      </c>
      <c r="B2634" s="71">
        <v>1313.01818131562</v>
      </c>
      <c r="C2634" s="71">
        <v>15305410849.7777</v>
      </c>
    </row>
    <row r="2635" spans="1:3" ht="13">
      <c r="A2635" s="72">
        <v>44857</v>
      </c>
      <c r="B2635" s="71">
        <v>1361.7918</v>
      </c>
      <c r="C2635" s="71">
        <v>11098584932.794399</v>
      </c>
    </row>
    <row r="2636" spans="1:3" ht="13">
      <c r="A2636" s="72">
        <v>44858</v>
      </c>
      <c r="B2636" s="71">
        <v>1343.6972000000001</v>
      </c>
      <c r="C2636" s="71">
        <v>21173323406.222198</v>
      </c>
    </row>
    <row r="2637" spans="1:3" ht="13">
      <c r="A2637" s="72">
        <v>44859</v>
      </c>
      <c r="B2637" s="71">
        <v>1463.4204659126899</v>
      </c>
      <c r="C2637" s="71">
        <v>26123834773.333302</v>
      </c>
    </row>
    <row r="2638" spans="1:3" ht="13">
      <c r="A2638" s="72">
        <v>44860</v>
      </c>
      <c r="B2638" s="71">
        <v>1565.4946440450301</v>
      </c>
      <c r="C2638" s="71">
        <v>53863084039.111099</v>
      </c>
    </row>
    <row r="2639" spans="1:3" ht="13">
      <c r="A2639" s="72">
        <v>44861</v>
      </c>
      <c r="B2639" s="71">
        <v>1514.69028499255</v>
      </c>
      <c r="C2639" s="71">
        <v>41457106432</v>
      </c>
    </row>
    <row r="2640" spans="1:3" ht="13">
      <c r="A2640" s="72">
        <v>44862</v>
      </c>
      <c r="B2640" s="71">
        <v>1556.203</v>
      </c>
      <c r="C2640" s="71">
        <v>36109050375.111099</v>
      </c>
    </row>
    <row r="2641" spans="1:3" ht="13">
      <c r="A2641" s="72">
        <v>44863</v>
      </c>
      <c r="B2641" s="71">
        <v>1620.51190391419</v>
      </c>
      <c r="C2641" s="71">
        <v>33548971555.5555</v>
      </c>
    </row>
    <row r="2642" spans="1:3" ht="13">
      <c r="A2642" s="72">
        <v>44864</v>
      </c>
      <c r="B2642" s="71">
        <v>1589.3013000000001</v>
      </c>
      <c r="C2642" s="71">
        <v>26897969930.666599</v>
      </c>
    </row>
    <row r="2643" spans="1:3" ht="13">
      <c r="A2643" s="72">
        <v>44865</v>
      </c>
      <c r="B2643" s="71">
        <v>1573.6281543766499</v>
      </c>
      <c r="C2643" s="71">
        <v>25615568440.888802</v>
      </c>
    </row>
    <row r="2644" spans="1:3" ht="13">
      <c r="A2644" s="72">
        <v>44866</v>
      </c>
      <c r="B2644" s="71">
        <v>1578.9899</v>
      </c>
      <c r="C2644" s="71">
        <v>27764591989.333302</v>
      </c>
    </row>
    <row r="2645" spans="1:3" ht="13">
      <c r="A2645" s="72">
        <v>44867</v>
      </c>
      <c r="B2645" s="71">
        <v>1519.44346291741</v>
      </c>
      <c r="C2645" s="71">
        <v>24669581521.777699</v>
      </c>
    </row>
    <row r="2646" spans="1:3" ht="13">
      <c r="A2646" s="72">
        <v>44868</v>
      </c>
      <c r="B2646" s="71">
        <v>1530.66817007072</v>
      </c>
      <c r="C2646" s="71">
        <v>34568313144.888802</v>
      </c>
    </row>
    <row r="2647" spans="1:3" ht="13">
      <c r="A2647" s="72">
        <v>44869</v>
      </c>
      <c r="B2647" s="71">
        <v>1644.6297999999999</v>
      </c>
      <c r="C2647" s="71">
        <v>26853065112.888802</v>
      </c>
    </row>
    <row r="2648" spans="1:3" ht="13">
      <c r="A2648" s="72">
        <v>44870</v>
      </c>
      <c r="B2648" s="71">
        <v>1626.1542999999999</v>
      </c>
      <c r="C2648" s="71">
        <v>28373682417.777699</v>
      </c>
    </row>
    <row r="2649" spans="1:3" ht="13">
      <c r="A2649" s="72">
        <v>44871</v>
      </c>
      <c r="B2649" s="71">
        <v>1573.7605000000001</v>
      </c>
      <c r="C2649" s="71">
        <v>14569443079.111099</v>
      </c>
    </row>
    <row r="2650" spans="1:3" ht="13">
      <c r="A2650" s="72">
        <v>44872</v>
      </c>
      <c r="B2650" s="71">
        <v>1568.2193</v>
      </c>
      <c r="C2650" s="71">
        <v>23137771772.444401</v>
      </c>
    </row>
    <row r="2651" spans="1:3" ht="13">
      <c r="A2651" s="72">
        <v>44873</v>
      </c>
      <c r="B2651" s="71">
        <v>1332.76611617972</v>
      </c>
      <c r="C2651" s="71">
        <v>41875192234.666603</v>
      </c>
    </row>
    <row r="2652" spans="1:3" ht="13">
      <c r="A2652" s="72">
        <v>44874</v>
      </c>
      <c r="B2652" s="71">
        <v>1095.3682473373201</v>
      </c>
      <c r="C2652" s="71">
        <v>70554382947.555496</v>
      </c>
    </row>
    <row r="2653" spans="1:3" ht="13">
      <c r="A2653" s="72">
        <v>44875</v>
      </c>
      <c r="B2653" s="71">
        <v>1300.6546991554801</v>
      </c>
      <c r="C2653" s="71">
        <v>64840283747.555496</v>
      </c>
    </row>
    <row r="2654" spans="1:3" ht="13">
      <c r="A2654" s="72">
        <v>44876</v>
      </c>
      <c r="B2654" s="71">
        <v>1294.1023</v>
      </c>
      <c r="C2654" s="71">
        <v>42946262840.888802</v>
      </c>
    </row>
    <row r="2655" spans="1:3" ht="13">
      <c r="A2655" s="72">
        <v>44877</v>
      </c>
      <c r="B2655" s="71">
        <v>1257.9701</v>
      </c>
      <c r="C2655" s="71">
        <v>28423737013.333302</v>
      </c>
    </row>
    <row r="2656" spans="1:3" ht="13">
      <c r="A2656" s="72">
        <v>44878</v>
      </c>
      <c r="B2656" s="71">
        <v>1223.7969775772899</v>
      </c>
      <c r="C2656" s="71">
        <v>15444773212.444401</v>
      </c>
    </row>
    <row r="2657" spans="1:3" ht="13">
      <c r="A2657" s="72">
        <v>44879</v>
      </c>
      <c r="B2657" s="71">
        <v>1242.59269343445</v>
      </c>
      <c r="C2657" s="71">
        <v>24089592682.666599</v>
      </c>
    </row>
    <row r="2658" spans="1:3" ht="13">
      <c r="A2658" s="72">
        <v>44880</v>
      </c>
      <c r="B2658" s="71">
        <v>1252.7961</v>
      </c>
      <c r="C2658" s="71">
        <v>23680562851.5555</v>
      </c>
    </row>
    <row r="2659" spans="1:3" ht="13">
      <c r="A2659" s="72">
        <v>44881</v>
      </c>
      <c r="B2659" s="71">
        <v>1217.30689243709</v>
      </c>
      <c r="C2659" s="71">
        <v>20331229994.666599</v>
      </c>
    </row>
    <row r="2660" spans="1:3" ht="13">
      <c r="A2660" s="72">
        <v>44882</v>
      </c>
      <c r="B2660" s="71">
        <v>1200.1639545769201</v>
      </c>
      <c r="C2660" s="71">
        <v>19152988718.222198</v>
      </c>
    </row>
    <row r="2661" spans="1:3" ht="13">
      <c r="A2661" s="72">
        <v>44883</v>
      </c>
      <c r="B2661" s="71">
        <v>1213.30930507268</v>
      </c>
      <c r="C2661" s="71">
        <v>15701073145.756001</v>
      </c>
    </row>
    <row r="2662" spans="1:3" ht="13">
      <c r="A2662" s="72">
        <v>44884</v>
      </c>
      <c r="B2662" s="71">
        <v>1218.902299478</v>
      </c>
      <c r="C2662" s="71">
        <v>9537879634.0627098</v>
      </c>
    </row>
    <row r="2663" spans="1:3" ht="13">
      <c r="A2663" s="72">
        <v>44885</v>
      </c>
      <c r="B2663" s="71">
        <v>1144.0425</v>
      </c>
      <c r="C2663" s="71">
        <v>11230235875.5555</v>
      </c>
    </row>
    <row r="2664" spans="1:3" ht="13">
      <c r="A2664" s="72">
        <v>44886</v>
      </c>
      <c r="B2664" s="71">
        <v>1108.39066962076</v>
      </c>
      <c r="C2664" s="71">
        <v>21338577077.333302</v>
      </c>
    </row>
    <row r="2665" spans="1:3" ht="13">
      <c r="A2665" s="72">
        <v>44887</v>
      </c>
      <c r="B2665" s="71">
        <v>1135.1120000000001</v>
      </c>
      <c r="C2665" s="71">
        <v>24361076316.444401</v>
      </c>
    </row>
    <row r="2666" spans="1:3" ht="13">
      <c r="A2666" s="72">
        <v>44888</v>
      </c>
      <c r="B2666" s="71">
        <v>1185.1994999999999</v>
      </c>
      <c r="C2666" s="71">
        <v>22390376359.111099</v>
      </c>
    </row>
    <row r="2667" spans="1:3" ht="13">
      <c r="A2667" s="72">
        <v>44889</v>
      </c>
      <c r="B2667" s="71">
        <v>1204.057</v>
      </c>
      <c r="C2667" s="71">
        <v>20792419555.5555</v>
      </c>
    </row>
    <row r="2668" spans="1:3" ht="13">
      <c r="A2668" s="72">
        <v>44890</v>
      </c>
      <c r="B2668" s="71">
        <v>1199.16844718927</v>
      </c>
      <c r="C2668" s="71">
        <v>15465895210.666599</v>
      </c>
    </row>
    <row r="2669" spans="1:3" ht="13">
      <c r="A2669" s="72">
        <v>44891</v>
      </c>
      <c r="B2669" s="71">
        <v>1206.7825404534001</v>
      </c>
      <c r="C2669" s="71">
        <v>14760104952.8888</v>
      </c>
    </row>
    <row r="2670" spans="1:3" ht="13">
      <c r="A2670" s="72">
        <v>44892</v>
      </c>
      <c r="B2670" s="71">
        <v>1193.8482144530201</v>
      </c>
      <c r="C2670" s="71">
        <v>11739046767.498199</v>
      </c>
    </row>
    <row r="2671" spans="1:3" ht="13">
      <c r="A2671" s="72">
        <v>44893</v>
      </c>
      <c r="B2671" s="71">
        <v>1169.4843010654899</v>
      </c>
      <c r="C2671" s="71">
        <v>15553576785.7777</v>
      </c>
    </row>
    <row r="2672" spans="1:3" ht="13">
      <c r="A2672" s="72">
        <v>44894</v>
      </c>
      <c r="B2672" s="71">
        <v>1217.2066</v>
      </c>
      <c r="C2672" s="71">
        <v>18646231342.222198</v>
      </c>
    </row>
    <row r="2673" spans="1:3" ht="13">
      <c r="A2673" s="72">
        <v>44895</v>
      </c>
      <c r="B2673" s="71">
        <v>1296.2664135826301</v>
      </c>
      <c r="C2673" s="71">
        <v>21260847079.111099</v>
      </c>
    </row>
    <row r="2674" spans="1:3" ht="13">
      <c r="A2674" s="72">
        <v>44896</v>
      </c>
      <c r="B2674" s="71">
        <v>1274.9055000000001</v>
      </c>
      <c r="C2674" s="71">
        <v>19783274478.222198</v>
      </c>
    </row>
    <row r="2675" spans="1:3" ht="13">
      <c r="A2675" s="72">
        <v>44897</v>
      </c>
      <c r="B2675" s="71">
        <v>1293.7235000000001</v>
      </c>
      <c r="C2675" s="71">
        <v>15344008959.108</v>
      </c>
    </row>
    <row r="2676" spans="1:3" ht="13">
      <c r="A2676" s="72">
        <v>44898</v>
      </c>
      <c r="B2676" s="71">
        <v>1242.37800539155</v>
      </c>
      <c r="C2676" s="71">
        <v>14198367549.547001</v>
      </c>
    </row>
    <row r="2677" spans="1:3" ht="13">
      <c r="A2677" s="72">
        <v>44899</v>
      </c>
      <c r="B2677" s="71">
        <v>1280.9774714341199</v>
      </c>
      <c r="C2677" s="71">
        <v>13263055079.111099</v>
      </c>
    </row>
    <row r="2678" spans="1:3" ht="13">
      <c r="A2678" s="72">
        <v>44900</v>
      </c>
      <c r="B2678" s="71">
        <v>1259.1325819886199</v>
      </c>
      <c r="C2678" s="71">
        <v>15193700887.111099</v>
      </c>
    </row>
    <row r="2679" spans="1:3" ht="13">
      <c r="A2679" s="72">
        <v>44901</v>
      </c>
      <c r="B2679" s="71">
        <v>1272.7851526502</v>
      </c>
      <c r="C2679" s="71">
        <v>14341437856</v>
      </c>
    </row>
    <row r="2680" spans="1:3" ht="13">
      <c r="A2680" s="72">
        <v>44902</v>
      </c>
      <c r="B2680" s="71">
        <v>1233.0481897121499</v>
      </c>
      <c r="C2680" s="71">
        <v>15388381831.111099</v>
      </c>
    </row>
    <row r="2681" spans="1:3" ht="13">
      <c r="A2681" s="72">
        <v>44903</v>
      </c>
      <c r="B2681" s="71">
        <v>1281.74966621982</v>
      </c>
      <c r="C2681" s="71">
        <v>14235489060.5714</v>
      </c>
    </row>
    <row r="2682" spans="1:3" ht="13">
      <c r="A2682" s="72">
        <v>44904</v>
      </c>
      <c r="B2682" s="71">
        <v>1262.20153829889</v>
      </c>
      <c r="C2682" s="71">
        <v>15888496176</v>
      </c>
    </row>
    <row r="2683" spans="1:3" ht="13">
      <c r="A2683" s="72">
        <v>44905</v>
      </c>
      <c r="B2683" s="71">
        <v>1265.1098328143701</v>
      </c>
      <c r="C2683" s="71">
        <v>10217945848.8888</v>
      </c>
    </row>
    <row r="2684" spans="1:3" ht="13">
      <c r="A2684" s="72">
        <v>44906</v>
      </c>
      <c r="B2684" s="71">
        <v>1263.7760281199201</v>
      </c>
      <c r="C2684" s="71">
        <v>7445708549.3333302</v>
      </c>
    </row>
    <row r="2685" spans="1:3" ht="13">
      <c r="A2685" s="72">
        <v>44907</v>
      </c>
      <c r="B2685" s="71">
        <v>1274.63501832785</v>
      </c>
      <c r="C2685" s="71">
        <v>11962940656</v>
      </c>
    </row>
    <row r="2686" spans="1:3" ht="13">
      <c r="A2686" s="72">
        <v>44908</v>
      </c>
      <c r="B2686" s="71">
        <v>1321.5886668585599</v>
      </c>
      <c r="C2686" s="71">
        <v>18729368056.888802</v>
      </c>
    </row>
    <row r="2687" spans="1:3" ht="13">
      <c r="A2687" s="72">
        <v>44909</v>
      </c>
      <c r="B2687" s="71">
        <v>1310.3290995703601</v>
      </c>
      <c r="C2687" s="71">
        <v>21131939253.333302</v>
      </c>
    </row>
    <row r="2688" spans="1:3" ht="13">
      <c r="A2688" s="72">
        <v>44910</v>
      </c>
      <c r="B2688" s="71">
        <v>1266.9106743906</v>
      </c>
      <c r="C2688" s="71">
        <v>20454735331.5555</v>
      </c>
    </row>
    <row r="2689" spans="1:3" ht="13">
      <c r="A2689" s="72">
        <v>44911</v>
      </c>
      <c r="B2689" s="71">
        <v>1166.2982999999999</v>
      </c>
      <c r="C2689" s="71">
        <v>17306134037.333302</v>
      </c>
    </row>
    <row r="2690" spans="1:3" ht="13">
      <c r="A2690" s="72">
        <v>44912</v>
      </c>
      <c r="B2690" s="71">
        <v>1189.7394299720099</v>
      </c>
      <c r="C2690" s="71">
        <v>20335989585.777699</v>
      </c>
    </row>
    <row r="2691" spans="1:3" ht="13">
      <c r="A2691" s="72">
        <v>44913</v>
      </c>
      <c r="B2691" s="71">
        <v>1188.2759539976</v>
      </c>
      <c r="C2691" s="71">
        <v>9518597777.7777691</v>
      </c>
    </row>
    <row r="2692" spans="1:3" ht="13">
      <c r="A2692" s="72">
        <v>44914</v>
      </c>
      <c r="B2692" s="71">
        <v>1169.0580231546101</v>
      </c>
      <c r="C2692" s="71">
        <v>10509185873.7777</v>
      </c>
    </row>
    <row r="2693" spans="1:3" ht="13">
      <c r="A2693" s="72">
        <v>44915</v>
      </c>
      <c r="B2693" s="71">
        <v>1218.6876603830301</v>
      </c>
      <c r="C2693" s="71">
        <v>17283320952.888802</v>
      </c>
    </row>
    <row r="2694" spans="1:3" ht="13">
      <c r="A2694" s="72">
        <v>44916</v>
      </c>
      <c r="B2694" s="71">
        <v>1213.2070244699501</v>
      </c>
      <c r="C2694" s="71">
        <v>12978582071.111099</v>
      </c>
    </row>
    <row r="2695" spans="1:3" ht="13">
      <c r="A2695" s="72">
        <v>44917</v>
      </c>
      <c r="B2695" s="71">
        <v>1218.5027159992101</v>
      </c>
      <c r="C2695" s="71">
        <v>10386942257.7777</v>
      </c>
    </row>
    <row r="2696" spans="1:3" ht="13">
      <c r="A2696" s="72">
        <v>44918</v>
      </c>
      <c r="B2696" s="71">
        <v>1220.0796155854</v>
      </c>
      <c r="C2696" s="71">
        <v>13899782833.7777</v>
      </c>
    </row>
    <row r="2697" spans="1:3" ht="13">
      <c r="A2697" s="72">
        <v>44919</v>
      </c>
      <c r="B2697" s="71">
        <v>1221.8758</v>
      </c>
      <c r="C2697" s="71">
        <v>8221414096.8888798</v>
      </c>
    </row>
    <row r="2698" spans="1:3" ht="13">
      <c r="A2698" s="72">
        <v>44920</v>
      </c>
      <c r="B2698" s="71">
        <v>1219.4884705177201</v>
      </c>
      <c r="C2698" s="71">
        <v>6776633709.7142801</v>
      </c>
    </row>
    <row r="2699" spans="1:3" ht="13">
      <c r="A2699" s="72">
        <v>44921</v>
      </c>
      <c r="B2699" s="71">
        <v>1227.65604582729</v>
      </c>
      <c r="C2699" s="71">
        <v>9316884416</v>
      </c>
    </row>
    <row r="2700" spans="1:3" ht="13">
      <c r="A2700" s="72">
        <v>44922</v>
      </c>
      <c r="B2700" s="71">
        <v>1212.8757058659801</v>
      </c>
      <c r="C2700" s="71">
        <v>9369368394.6666603</v>
      </c>
    </row>
    <row r="2701" spans="1:3" ht="13">
      <c r="A2701" s="72">
        <v>44923</v>
      </c>
      <c r="B2701" s="71">
        <v>1190.8111424850099</v>
      </c>
      <c r="C2701" s="71">
        <v>11934880928</v>
      </c>
    </row>
    <row r="2702" spans="1:3" ht="13">
      <c r="A2702" s="72">
        <v>44924</v>
      </c>
      <c r="B2702" s="71">
        <v>1202.1429559078599</v>
      </c>
      <c r="C2702" s="71">
        <v>11982238856.8888</v>
      </c>
    </row>
    <row r="2703" spans="1:3" ht="13">
      <c r="A2703" s="72">
        <v>44925</v>
      </c>
      <c r="B2703" s="71">
        <v>1199.6719972992601</v>
      </c>
      <c r="C2703" s="71">
        <v>10072654832</v>
      </c>
    </row>
    <row r="2704" spans="1:3" ht="13">
      <c r="A2704" s="72">
        <v>44926</v>
      </c>
      <c r="B2704" s="71">
        <v>1197.4878000000001</v>
      </c>
      <c r="C2704" s="71">
        <v>7761569877.6306601</v>
      </c>
    </row>
    <row r="2705" spans="1:3" ht="13">
      <c r="A2705" s="72">
        <v>44927</v>
      </c>
      <c r="B2705" s="71">
        <v>1201.5622971158</v>
      </c>
      <c r="C2705" s="71">
        <v>6431231801.77777</v>
      </c>
    </row>
    <row r="2706" spans="1:3" ht="13">
      <c r="A2706" s="72">
        <v>44928</v>
      </c>
      <c r="B2706" s="71">
        <v>1214.52580340587</v>
      </c>
      <c r="C2706" s="71">
        <v>7972081998.2222204</v>
      </c>
    </row>
    <row r="2707" spans="1:3" ht="13">
      <c r="A2707" s="72">
        <v>44929</v>
      </c>
      <c r="B2707" s="71">
        <v>1214.98659341589</v>
      </c>
      <c r="C2707" s="71">
        <v>8335574752</v>
      </c>
    </row>
    <row r="2708" spans="1:3" ht="13">
      <c r="A2708" s="72">
        <v>44930</v>
      </c>
      <c r="B2708" s="71">
        <v>1257.0484273356401</v>
      </c>
      <c r="C2708" s="71">
        <v>13085537285.3333</v>
      </c>
    </row>
    <row r="2709" spans="1:3" ht="13">
      <c r="A2709" s="72">
        <v>44931</v>
      </c>
      <c r="B2709" s="71">
        <v>1250.5990999999999</v>
      </c>
      <c r="C2709" s="71">
        <v>12116147982.2222</v>
      </c>
    </row>
    <row r="2710" spans="1:3" ht="13">
      <c r="A2710" s="72">
        <v>44932</v>
      </c>
      <c r="B2710" s="71">
        <v>1269.9739559980501</v>
      </c>
      <c r="C2710" s="71">
        <v>10604729132.444401</v>
      </c>
    </row>
    <row r="2711" spans="1:3" ht="13">
      <c r="A2711" s="72">
        <v>44933</v>
      </c>
      <c r="B2711" s="71">
        <v>1263.6902</v>
      </c>
      <c r="C2711" s="71">
        <v>10093205690.666599</v>
      </c>
    </row>
    <row r="2712" spans="1:3" ht="13">
      <c r="A2712" s="72">
        <v>44934</v>
      </c>
      <c r="B2712" s="71">
        <v>1285.68345724133</v>
      </c>
      <c r="C2712" s="71">
        <v>6439228099.5555496</v>
      </c>
    </row>
    <row r="2713" spans="1:3" ht="13">
      <c r="A2713" s="72">
        <v>44935</v>
      </c>
      <c r="B2713" s="71">
        <v>1322.5694583527199</v>
      </c>
      <c r="C2713" s="71">
        <v>15692350625.7777</v>
      </c>
    </row>
    <row r="2714" spans="1:3" ht="13">
      <c r="A2714" s="72">
        <v>44936</v>
      </c>
      <c r="B2714" s="71">
        <v>1336.37357785003</v>
      </c>
      <c r="C2714" s="71">
        <v>15791881173.3333</v>
      </c>
    </row>
    <row r="2715" spans="1:3" ht="13">
      <c r="A2715" s="72">
        <v>44937</v>
      </c>
      <c r="B2715" s="71">
        <v>1387.87708850733</v>
      </c>
      <c r="C2715" s="71">
        <v>12947376391.111099</v>
      </c>
    </row>
    <row r="2716" spans="1:3" ht="13">
      <c r="A2716" s="72">
        <v>44938</v>
      </c>
      <c r="B2716" s="71">
        <v>1417.9421</v>
      </c>
      <c r="C2716" s="71">
        <v>22942560789.333302</v>
      </c>
    </row>
    <row r="2717" spans="1:3" ht="13">
      <c r="A2717" s="72">
        <v>44939</v>
      </c>
      <c r="B2717" s="71">
        <v>1453.47695024576</v>
      </c>
      <c r="C2717" s="71">
        <v>21868064426.666599</v>
      </c>
    </row>
    <row r="2718" spans="1:3" ht="13">
      <c r="A2718" s="72">
        <v>44940</v>
      </c>
      <c r="B2718" s="71">
        <v>1554.18</v>
      </c>
      <c r="C2718" s="71">
        <v>33245275907.5555</v>
      </c>
    </row>
    <row r="2719" spans="1:3" ht="13">
      <c r="A2719" s="72">
        <v>44941</v>
      </c>
      <c r="B2719" s="71">
        <v>1552.39605062692</v>
      </c>
      <c r="C2719" s="71">
        <v>19293094368</v>
      </c>
    </row>
    <row r="2720" spans="1:3" ht="13">
      <c r="A2720" s="72">
        <v>44942</v>
      </c>
      <c r="B2720" s="71">
        <v>1577.9221251903</v>
      </c>
      <c r="C2720" s="71">
        <v>19714203192.888802</v>
      </c>
    </row>
    <row r="2721" spans="1:3" ht="13">
      <c r="A2721" s="72">
        <v>44943</v>
      </c>
      <c r="B2721" s="71">
        <v>1568.52072302957</v>
      </c>
      <c r="C2721" s="71">
        <v>20024305404.444401</v>
      </c>
    </row>
    <row r="2722" spans="1:3" ht="13">
      <c r="A2722" s="72">
        <v>44944</v>
      </c>
      <c r="B2722" s="71">
        <v>1518.2812385427901</v>
      </c>
      <c r="C2722" s="71">
        <v>20434701468.444401</v>
      </c>
    </row>
    <row r="2723" spans="1:3" ht="13">
      <c r="A2723" s="72">
        <v>44945</v>
      </c>
      <c r="B2723" s="71">
        <v>1552.56299752168</v>
      </c>
      <c r="C2723" s="71">
        <v>22981805365.333302</v>
      </c>
    </row>
    <row r="2724" spans="1:3" ht="13">
      <c r="A2724" s="72">
        <v>44946</v>
      </c>
      <c r="B2724" s="71">
        <v>1663.5808999999999</v>
      </c>
      <c r="C2724" s="71">
        <v>15697074524.444401</v>
      </c>
    </row>
    <row r="2725" spans="1:3" ht="13">
      <c r="A2725" s="72">
        <v>44947</v>
      </c>
      <c r="B2725" s="71">
        <v>1629.442</v>
      </c>
      <c r="C2725" s="71">
        <v>24645126574.222198</v>
      </c>
    </row>
    <row r="2726" spans="1:3" ht="13">
      <c r="A2726" s="72">
        <v>44948</v>
      </c>
      <c r="B2726" s="71">
        <v>1632.6315999999999</v>
      </c>
      <c r="C2726" s="71">
        <v>18501790670.222198</v>
      </c>
    </row>
    <row r="2727" spans="1:3" ht="13">
      <c r="A2727" s="72">
        <v>44949</v>
      </c>
      <c r="B2727" s="71">
        <v>1632.0742</v>
      </c>
      <c r="C2727" s="71">
        <v>17575558314.666599</v>
      </c>
    </row>
    <row r="2728" spans="1:3" ht="13">
      <c r="A2728" s="72">
        <v>44950</v>
      </c>
      <c r="B2728" s="71">
        <v>1564.86861105312</v>
      </c>
      <c r="C2728" s="71">
        <v>19096453902.222198</v>
      </c>
    </row>
    <row r="2729" spans="1:3" ht="13">
      <c r="A2729" s="72">
        <v>44951</v>
      </c>
      <c r="B2729" s="71">
        <v>1625.2328</v>
      </c>
      <c r="C2729" s="71">
        <v>27738276956.444401</v>
      </c>
    </row>
    <row r="2730" spans="1:3" ht="13">
      <c r="A2730" s="72">
        <v>44952</v>
      </c>
      <c r="B2730" s="71">
        <v>1611.3829000000001</v>
      </c>
      <c r="C2730" s="71">
        <v>30637000014.222198</v>
      </c>
    </row>
    <row r="2731" spans="1:3" ht="13">
      <c r="A2731" s="72">
        <v>44953</v>
      </c>
      <c r="B2731" s="71">
        <v>1607.9381000000001</v>
      </c>
      <c r="C2731" s="71">
        <v>23498060344.888802</v>
      </c>
    </row>
    <row r="2732" spans="1:3" ht="13">
      <c r="A2732" s="72">
        <v>44954</v>
      </c>
      <c r="B2732" s="71">
        <v>1579.8036999999999</v>
      </c>
      <c r="C2732" s="71">
        <v>19489013681.777699</v>
      </c>
    </row>
    <row r="2733" spans="1:3" ht="13">
      <c r="A2733" s="72">
        <v>44955</v>
      </c>
      <c r="B2733" s="71">
        <v>1661.5962</v>
      </c>
      <c r="C2733" s="71">
        <v>20949587925.333302</v>
      </c>
    </row>
    <row r="2734" spans="1:3" ht="13">
      <c r="A2734" s="72">
        <v>44956</v>
      </c>
      <c r="B2734" s="71">
        <v>1578.0184999999999</v>
      </c>
      <c r="C2734" s="71">
        <v>26127431872</v>
      </c>
    </row>
    <row r="2735" spans="1:3" ht="13">
      <c r="A2735" s="72">
        <v>44957</v>
      </c>
      <c r="B2735" s="71">
        <v>1594.5995</v>
      </c>
      <c r="C2735" s="71">
        <v>23157389148.444401</v>
      </c>
    </row>
    <row r="2736" spans="1:3" ht="13">
      <c r="A2736" s="72">
        <v>44958</v>
      </c>
      <c r="B2736" s="71">
        <v>1655.6429000000001</v>
      </c>
      <c r="C2736" s="71">
        <v>19218017436.444401</v>
      </c>
    </row>
    <row r="2737" spans="1:3" ht="13">
      <c r="A2737" s="72">
        <v>44959</v>
      </c>
      <c r="B2737" s="71">
        <v>1655.1528000000001</v>
      </c>
      <c r="C2737" s="71">
        <v>32690205191.111099</v>
      </c>
    </row>
    <row r="2738" spans="1:3" ht="13">
      <c r="A2738" s="72">
        <v>44960</v>
      </c>
      <c r="B2738" s="71">
        <v>1674.3733999999999</v>
      </c>
      <c r="C2738" s="71">
        <v>29163596551.111099</v>
      </c>
    </row>
    <row r="2739" spans="1:3" ht="13">
      <c r="A2739" s="72">
        <v>44961</v>
      </c>
      <c r="B2739" s="71">
        <v>1673.6919</v>
      </c>
      <c r="C2739" s="71">
        <v>21454622140.444401</v>
      </c>
    </row>
    <row r="2740" spans="1:3" ht="13">
      <c r="A2740" s="72">
        <v>44962</v>
      </c>
      <c r="B2740" s="71">
        <v>1639.7916999695101</v>
      </c>
      <c r="C2740" s="71">
        <v>18577795182.222198</v>
      </c>
    </row>
    <row r="2741" spans="1:3" ht="13">
      <c r="A2741" s="72">
        <v>44963</v>
      </c>
      <c r="B2741" s="71">
        <v>1622.4906000000001</v>
      </c>
      <c r="C2741" s="71">
        <v>21231248355.5555</v>
      </c>
    </row>
    <row r="2742" spans="1:3" ht="13">
      <c r="A2742" s="72">
        <v>44964</v>
      </c>
      <c r="B2742" s="71">
        <v>1680.0255</v>
      </c>
      <c r="C2742" s="71">
        <v>22210010001.777699</v>
      </c>
    </row>
    <row r="2743" spans="1:3" ht="13">
      <c r="A2743" s="72">
        <v>44965</v>
      </c>
      <c r="B2743" s="71">
        <v>1658.7476999999999</v>
      </c>
      <c r="C2743" s="71">
        <v>26568707776</v>
      </c>
    </row>
    <row r="2744" spans="1:3" ht="13">
      <c r="A2744" s="72">
        <v>44966</v>
      </c>
      <c r="B2744" s="71">
        <v>1552.64702425676</v>
      </c>
      <c r="C2744" s="71">
        <v>25824156625.777699</v>
      </c>
    </row>
    <row r="2745" spans="1:3" ht="13">
      <c r="A2745" s="72">
        <v>44967</v>
      </c>
      <c r="B2745" s="71">
        <v>1521.2239</v>
      </c>
      <c r="C2745" s="71">
        <v>30660089137.777699</v>
      </c>
    </row>
    <row r="2746" spans="1:3" ht="13">
      <c r="A2746" s="72">
        <v>44968</v>
      </c>
      <c r="B2746" s="71">
        <v>1545.6496999999999</v>
      </c>
      <c r="C2746" s="71">
        <v>19992811100.444401</v>
      </c>
    </row>
    <row r="2747" spans="1:3" ht="13">
      <c r="A2747" s="72">
        <v>44969</v>
      </c>
      <c r="B2747" s="71">
        <v>1520.53830295633</v>
      </c>
      <c r="C2747" s="71">
        <v>12486514787.5555</v>
      </c>
    </row>
    <row r="2748" spans="1:3" ht="13">
      <c r="A2748" s="72">
        <v>44970</v>
      </c>
      <c r="B2748" s="71">
        <v>1514.60542996806</v>
      </c>
      <c r="C2748" s="71">
        <v>21549832529.777699</v>
      </c>
    </row>
    <row r="2749" spans="1:3" ht="13">
      <c r="A2749" s="72">
        <v>44971</v>
      </c>
      <c r="B2749" s="71">
        <v>1557.6276</v>
      </c>
      <c r="C2749" s="71">
        <v>27273681290.666599</v>
      </c>
    </row>
    <row r="2750" spans="1:3" ht="13">
      <c r="A2750" s="72">
        <v>44972</v>
      </c>
      <c r="B2750" s="71">
        <v>1670.55970068697</v>
      </c>
      <c r="C2750" s="71">
        <v>27985340692.539001</v>
      </c>
    </row>
    <row r="2751" spans="1:3" ht="13">
      <c r="A2751" s="72">
        <v>44973</v>
      </c>
      <c r="B2751" s="71">
        <v>1634.2073</v>
      </c>
      <c r="C2751" s="71">
        <v>36600400540.444397</v>
      </c>
    </row>
    <row r="2752" spans="1:3" ht="13">
      <c r="A2752" s="72">
        <v>44974</v>
      </c>
      <c r="B2752" s="71">
        <v>1689.3299</v>
      </c>
      <c r="C2752" s="71">
        <v>34996085155.555496</v>
      </c>
    </row>
    <row r="2753" spans="1:3" ht="13">
      <c r="A2753" s="72">
        <v>44975</v>
      </c>
      <c r="B2753" s="71">
        <v>1691.9155000000001</v>
      </c>
      <c r="C2753" s="71">
        <v>24332599086.222198</v>
      </c>
    </row>
    <row r="2754" spans="1:3" ht="13">
      <c r="A2754" s="72">
        <v>44976</v>
      </c>
      <c r="B2754" s="71">
        <v>1681.2561000000001</v>
      </c>
      <c r="C2754" s="71">
        <v>15061352088.8888</v>
      </c>
    </row>
    <row r="2755" spans="1:3" ht="13">
      <c r="A2755" s="72">
        <v>44977</v>
      </c>
      <c r="B2755" s="71">
        <v>1701.8493000000001</v>
      </c>
      <c r="C2755" s="71">
        <v>23425424398.222198</v>
      </c>
    </row>
    <row r="2756" spans="1:3" ht="13">
      <c r="A2756" s="72">
        <v>44978</v>
      </c>
      <c r="B2756" s="71">
        <v>1657.2336</v>
      </c>
      <c r="C2756" s="71">
        <v>22902066616.888802</v>
      </c>
    </row>
    <row r="2757" spans="1:3" ht="13">
      <c r="A2757" s="72">
        <v>44979</v>
      </c>
      <c r="B2757" s="71">
        <v>1643.0491</v>
      </c>
      <c r="C2757" s="71">
        <v>28918657998.222198</v>
      </c>
    </row>
    <row r="2758" spans="1:3" ht="13">
      <c r="A2758" s="72">
        <v>44980</v>
      </c>
      <c r="B2758" s="71">
        <v>1651.6473000000001</v>
      </c>
      <c r="C2758" s="71">
        <v>27325169571.5555</v>
      </c>
    </row>
    <row r="2759" spans="1:3" ht="13">
      <c r="A2759" s="72">
        <v>44981</v>
      </c>
      <c r="B2759" s="71">
        <v>1608.6857</v>
      </c>
      <c r="C2759" s="71">
        <v>23322670858.666599</v>
      </c>
    </row>
    <row r="2760" spans="1:3" ht="13">
      <c r="A2760" s="72">
        <v>44982</v>
      </c>
      <c r="B2760" s="71">
        <v>1595.6310000000001</v>
      </c>
      <c r="C2760" s="71">
        <v>19937191318.745602</v>
      </c>
    </row>
    <row r="2761" spans="1:3" ht="13">
      <c r="A2761" s="72">
        <v>44983</v>
      </c>
      <c r="B2761" s="71">
        <v>1639.222</v>
      </c>
      <c r="C2761" s="71">
        <v>14025320977.7777</v>
      </c>
    </row>
    <row r="2762" spans="1:3" ht="13">
      <c r="A2762" s="72">
        <v>44984</v>
      </c>
      <c r="B2762" s="71">
        <v>1633.5255911573099</v>
      </c>
      <c r="C2762" s="71">
        <v>18252529955.5555</v>
      </c>
    </row>
    <row r="2763" spans="1:3" ht="13">
      <c r="A2763" s="72">
        <v>44985</v>
      </c>
      <c r="B2763" s="71">
        <v>1604.5378558667201</v>
      </c>
      <c r="C2763" s="71">
        <v>18975334115.5555</v>
      </c>
    </row>
    <row r="2764" spans="1:3" ht="13">
      <c r="A2764" s="72">
        <v>44986</v>
      </c>
      <c r="B2764" s="71">
        <v>1665.0062</v>
      </c>
      <c r="C2764" s="71">
        <v>22425958464</v>
      </c>
    </row>
    <row r="2765" spans="1:3" ht="13">
      <c r="A2765" s="72">
        <v>44987</v>
      </c>
      <c r="B2765" s="71">
        <v>1647.3442</v>
      </c>
      <c r="C2765" s="71">
        <v>20639774336</v>
      </c>
    </row>
    <row r="2766" spans="1:3" ht="13">
      <c r="A2766" s="72">
        <v>44988</v>
      </c>
      <c r="B2766" s="71">
        <v>1568.7959785979499</v>
      </c>
      <c r="C2766" s="71">
        <v>25721920824.888802</v>
      </c>
    </row>
    <row r="2767" spans="1:3" ht="13">
      <c r="A2767" s="72">
        <v>44989</v>
      </c>
      <c r="B2767" s="71">
        <v>1567.0151215129799</v>
      </c>
      <c r="C2767" s="71">
        <v>14786396836.125401</v>
      </c>
    </row>
    <row r="2768" spans="1:3" ht="13">
      <c r="A2768" s="72">
        <v>44990</v>
      </c>
      <c r="B2768" s="71">
        <v>1564.165</v>
      </c>
      <c r="C2768" s="71">
        <v>65573449326.222198</v>
      </c>
    </row>
    <row r="2769" spans="1:3" ht="13">
      <c r="A2769" s="72">
        <v>44991</v>
      </c>
      <c r="B2769" s="71">
        <v>1566.4468999999999</v>
      </c>
      <c r="C2769" s="71">
        <v>18168226218.666599</v>
      </c>
    </row>
    <row r="2770" spans="1:3" ht="13">
      <c r="A2770" s="72">
        <v>44992</v>
      </c>
      <c r="B2770" s="71">
        <v>1561.3806999999999</v>
      </c>
      <c r="C2770" s="71">
        <v>16138259175.111099</v>
      </c>
    </row>
    <row r="2771" spans="1:3" ht="13">
      <c r="A2771" s="72">
        <v>44993</v>
      </c>
      <c r="B2771" s="71">
        <v>1533.59195510059</v>
      </c>
      <c r="C2771" s="71">
        <v>23554274271.663101</v>
      </c>
    </row>
    <row r="2772" spans="1:3" ht="13">
      <c r="A2772" s="72">
        <v>44994</v>
      </c>
      <c r="B2772" s="71">
        <v>1439.4372000000001</v>
      </c>
      <c r="C2772" s="71">
        <v>20897293711.609699</v>
      </c>
    </row>
    <row r="2773" spans="1:3" ht="13">
      <c r="A2773" s="72">
        <v>44995</v>
      </c>
      <c r="B2773" s="71">
        <v>1428.20935638629</v>
      </c>
      <c r="C2773" s="71">
        <v>38990359120.278702</v>
      </c>
    </row>
    <row r="2774" spans="1:3" ht="13">
      <c r="A2774" s="72">
        <v>44996</v>
      </c>
      <c r="B2774" s="71">
        <v>1482.021</v>
      </c>
      <c r="C2774" s="71">
        <v>41292044593.777702</v>
      </c>
    </row>
    <row r="2775" spans="1:3" ht="13">
      <c r="A2775" s="72">
        <v>44997</v>
      </c>
      <c r="B2775" s="71">
        <v>1585.9484902900299</v>
      </c>
      <c r="C2775" s="71">
        <v>27341461002.666599</v>
      </c>
    </row>
    <row r="2776" spans="1:3" ht="13">
      <c r="A2776" s="72">
        <v>44998</v>
      </c>
      <c r="B2776" s="71">
        <v>1678.10101774443</v>
      </c>
      <c r="C2776" s="71">
        <v>87597218230.343796</v>
      </c>
    </row>
    <row r="2777" spans="1:3" ht="13">
      <c r="A2777" s="72">
        <v>44999</v>
      </c>
      <c r="B2777" s="71">
        <v>1704.8027</v>
      </c>
      <c r="C2777" s="71">
        <v>47470558633.464699</v>
      </c>
    </row>
    <row r="2778" spans="1:3" ht="13">
      <c r="A2778" s="72">
        <v>45000</v>
      </c>
      <c r="B2778" s="71">
        <v>1653.3463955091099</v>
      </c>
      <c r="C2778" s="71">
        <v>45430333916.444397</v>
      </c>
    </row>
    <row r="2779" spans="1:3" ht="13">
      <c r="A2779" s="72">
        <v>45001</v>
      </c>
      <c r="B2779" s="71">
        <v>1677.3203000000001</v>
      </c>
      <c r="C2779" s="71">
        <v>50719128600.975601</v>
      </c>
    </row>
    <row r="2780" spans="1:3" ht="13">
      <c r="A2780" s="72">
        <v>45002</v>
      </c>
      <c r="B2780" s="71">
        <v>1787.4889000000001</v>
      </c>
      <c r="C2780" s="71">
        <v>35618887025.777702</v>
      </c>
    </row>
    <row r="2781" spans="1:3" ht="13">
      <c r="A2781" s="72">
        <v>45003</v>
      </c>
      <c r="B2781" s="71">
        <v>1759.4123792653099</v>
      </c>
      <c r="C2781" s="71">
        <v>42136638734.222198</v>
      </c>
    </row>
    <row r="2782" spans="1:3" ht="13">
      <c r="A2782" s="72">
        <v>45004</v>
      </c>
      <c r="B2782" s="71">
        <v>1785.3429000000001</v>
      </c>
      <c r="C2782" s="71">
        <v>30159188202.666599</v>
      </c>
    </row>
    <row r="2783" spans="1:3" ht="13">
      <c r="A2783" s="72">
        <v>45005</v>
      </c>
      <c r="B2783" s="71">
        <v>1732.5942</v>
      </c>
      <c r="C2783" s="71">
        <v>32501741824</v>
      </c>
    </row>
    <row r="2784" spans="1:3" ht="13">
      <c r="A2784" s="72">
        <v>45006</v>
      </c>
      <c r="B2784" s="71">
        <v>1807.3277162792101</v>
      </c>
      <c r="C2784" s="71">
        <v>37378907420.444397</v>
      </c>
    </row>
    <row r="2785" spans="1:3" ht="13">
      <c r="A2785" s="72">
        <v>45007</v>
      </c>
      <c r="B2785" s="71">
        <v>1737.7501</v>
      </c>
      <c r="C2785" s="71">
        <v>29954344547.5555</v>
      </c>
    </row>
    <row r="2786" spans="1:3" ht="13">
      <c r="A2786" s="72">
        <v>45008</v>
      </c>
      <c r="B2786" s="71">
        <v>1818.9182000000001</v>
      </c>
      <c r="C2786" s="71">
        <v>102154218289.77699</v>
      </c>
    </row>
    <row r="2787" spans="1:3" ht="13">
      <c r="A2787" s="72">
        <v>45009</v>
      </c>
      <c r="B2787" s="71">
        <v>1750.1741361644999</v>
      </c>
      <c r="C2787" s="71">
        <v>119490386325.33299</v>
      </c>
    </row>
    <row r="2788" spans="1:3" ht="13">
      <c r="A2788" s="72">
        <v>45010</v>
      </c>
      <c r="B2788" s="71">
        <v>1741.59</v>
      </c>
      <c r="C2788" s="71">
        <v>45396596174.222198</v>
      </c>
    </row>
    <row r="2789" spans="1:3" ht="13">
      <c r="A2789" s="72">
        <v>45011</v>
      </c>
      <c r="B2789" s="71">
        <v>1771.96766594732</v>
      </c>
      <c r="C2789" s="71">
        <v>19257869513.724998</v>
      </c>
    </row>
    <row r="2790" spans="1:3" ht="13">
      <c r="A2790" s="72">
        <v>45012</v>
      </c>
      <c r="B2790" s="71">
        <v>1715.3728000000001</v>
      </c>
      <c r="C2790" s="71">
        <v>41027501475.555496</v>
      </c>
    </row>
    <row r="2791" spans="1:3" ht="13">
      <c r="A2791" s="72">
        <v>45013</v>
      </c>
      <c r="B2791" s="71">
        <v>1771.7057</v>
      </c>
      <c r="C2791" s="71">
        <v>26535403512.888802</v>
      </c>
    </row>
    <row r="2792" spans="1:3" ht="13">
      <c r="A2792" s="72">
        <v>45014</v>
      </c>
      <c r="B2792" s="71">
        <v>1793.9114999999999</v>
      </c>
      <c r="C2792" s="71">
        <v>104545114211.55499</v>
      </c>
    </row>
    <row r="2793" spans="1:3" ht="13">
      <c r="A2793" s="72">
        <v>45015</v>
      </c>
      <c r="B2793" s="71">
        <v>1790.1364964884699</v>
      </c>
      <c r="C2793" s="71">
        <v>34969845319.111099</v>
      </c>
    </row>
    <row r="2794" spans="1:3" ht="13">
      <c r="A2794" s="72">
        <v>45016</v>
      </c>
      <c r="B2794" s="71">
        <v>1819.03256113979</v>
      </c>
      <c r="C2794" s="71">
        <v>24946911171.5555</v>
      </c>
    </row>
    <row r="2795" spans="1:3" ht="13">
      <c r="A2795" s="72">
        <v>45017</v>
      </c>
      <c r="B2795" s="71">
        <v>1817.9883314154999</v>
      </c>
      <c r="C2795" s="71">
        <v>25649666289.777699</v>
      </c>
    </row>
    <row r="2796" spans="1:3" ht="13">
      <c r="A2796" s="72">
        <v>45018</v>
      </c>
      <c r="B2796" s="71">
        <v>1794.5454</v>
      </c>
      <c r="C2796" s="71">
        <v>46738756046.222198</v>
      </c>
    </row>
    <row r="2797" spans="1:3" ht="13">
      <c r="A2797" s="72">
        <v>45019</v>
      </c>
      <c r="B2797" s="71">
        <v>1807.9629215330201</v>
      </c>
      <c r="C2797" s="71">
        <v>21586855471.542801</v>
      </c>
    </row>
    <row r="2798" spans="1:3" ht="13">
      <c r="A2798" s="72">
        <v>45020</v>
      </c>
      <c r="B2798" s="71">
        <v>1868.0889</v>
      </c>
      <c r="C2798" s="71">
        <v>46808127160.888802</v>
      </c>
    </row>
    <row r="2799" spans="1:3" ht="13">
      <c r="A2799" s="72">
        <v>45021</v>
      </c>
      <c r="B2799" s="71">
        <v>1905.9109000000001</v>
      </c>
      <c r="C2799" s="71">
        <v>29853376000</v>
      </c>
    </row>
    <row r="2800" spans="1:3" ht="13">
      <c r="A2800" s="72">
        <v>45022</v>
      </c>
      <c r="B2800" s="71">
        <v>1867.5314000000001</v>
      </c>
      <c r="C2800" s="71">
        <v>23633196149.333302</v>
      </c>
    </row>
    <row r="2801" spans="1:3" ht="13">
      <c r="A2801" s="72">
        <v>45023</v>
      </c>
      <c r="B2801" s="71">
        <v>1861.1817000000001</v>
      </c>
      <c r="C2801" s="71">
        <v>18892456010.666599</v>
      </c>
    </row>
    <row r="2802" spans="1:3" ht="13">
      <c r="A2802" s="72">
        <v>45024</v>
      </c>
      <c r="B2802" s="71">
        <v>1845.6269</v>
      </c>
      <c r="C2802" s="71">
        <v>14407386400</v>
      </c>
    </row>
    <row r="2803" spans="1:3" ht="13">
      <c r="A2803" s="72">
        <v>45025</v>
      </c>
      <c r="B2803" s="71">
        <v>1855.6284000000001</v>
      </c>
      <c r="C2803" s="71">
        <v>14151837007.3867</v>
      </c>
    </row>
    <row r="2804" spans="1:3" ht="13">
      <c r="A2804" s="72">
        <v>45026</v>
      </c>
      <c r="B2804" s="71">
        <v>1908.1853000000001</v>
      </c>
      <c r="C2804" s="71">
        <v>17546344355.5555</v>
      </c>
    </row>
    <row r="2805" spans="1:3" ht="13">
      <c r="A2805" s="72">
        <v>45027</v>
      </c>
      <c r="B2805" s="71">
        <v>1893.4948999999999</v>
      </c>
      <c r="C2805" s="71">
        <v>23809182798.222198</v>
      </c>
    </row>
    <row r="2806" spans="1:3" ht="13">
      <c r="A2806" s="72">
        <v>45028</v>
      </c>
      <c r="B2806" s="71">
        <v>1918.3148648937899</v>
      </c>
      <c r="C2806" s="71">
        <v>24803108632.888802</v>
      </c>
    </row>
    <row r="2807" spans="1:3" ht="13">
      <c r="A2807" s="72">
        <v>45029</v>
      </c>
      <c r="B2807" s="71">
        <v>2010.9752000000001</v>
      </c>
      <c r="C2807" s="71">
        <v>35585572188.444397</v>
      </c>
    </row>
    <row r="2808" spans="1:3" ht="13">
      <c r="A2808" s="72">
        <v>45030</v>
      </c>
      <c r="B2808" s="71">
        <v>2102.6356999999998</v>
      </c>
      <c r="C2808" s="71">
        <v>43347512402.062698</v>
      </c>
    </row>
    <row r="2809" spans="1:3" ht="13">
      <c r="A2809" s="72">
        <v>45031</v>
      </c>
      <c r="B2809" s="71">
        <v>2091.9270434192899</v>
      </c>
      <c r="C2809" s="71">
        <v>28358682936.4608</v>
      </c>
    </row>
    <row r="2810" spans="1:3" ht="13">
      <c r="A2810" s="72">
        <v>45032</v>
      </c>
      <c r="B2810" s="71">
        <v>2119.5543191830998</v>
      </c>
      <c r="C2810" s="71">
        <v>18013389390.377899</v>
      </c>
    </row>
    <row r="2811" spans="1:3" ht="13">
      <c r="A2811" s="72">
        <v>45033</v>
      </c>
      <c r="B2811" s="71">
        <v>2076.047</v>
      </c>
      <c r="C2811" s="71">
        <v>25656125066.609901</v>
      </c>
    </row>
    <row r="2812" spans="1:3" ht="13">
      <c r="A2812" s="72">
        <v>45034</v>
      </c>
      <c r="B2812" s="71">
        <v>2104.076</v>
      </c>
      <c r="C2812" s="71">
        <v>23204573515.350601</v>
      </c>
    </row>
    <row r="2813" spans="1:3" ht="13">
      <c r="A2813" s="72">
        <v>45035</v>
      </c>
      <c r="B2813" s="71">
        <v>1936.7858000000001</v>
      </c>
      <c r="C2813" s="71">
        <v>29106930684.9548</v>
      </c>
    </row>
    <row r="2814" spans="1:3" ht="13">
      <c r="A2814" s="72">
        <v>45036</v>
      </c>
      <c r="B2814" s="71">
        <v>1944.3094000000001</v>
      </c>
      <c r="C2814" s="71">
        <v>32518018652.545101</v>
      </c>
    </row>
    <row r="2815" spans="1:3" ht="13">
      <c r="A2815" s="72">
        <v>45037</v>
      </c>
      <c r="B2815" s="71">
        <v>1850.9202</v>
      </c>
      <c r="C2815" s="71">
        <v>27948817643.847198</v>
      </c>
    </row>
    <row r="2816" spans="1:3" ht="13">
      <c r="A2816" s="72">
        <v>45038</v>
      </c>
      <c r="B2816" s="71">
        <v>1872.9095</v>
      </c>
      <c r="C2816" s="71">
        <v>20694521963.996498</v>
      </c>
    </row>
    <row r="2817" spans="1:3" ht="13">
      <c r="A2817" s="72">
        <v>45039</v>
      </c>
      <c r="B2817" s="71">
        <v>1860.0987</v>
      </c>
      <c r="C2817" s="71">
        <v>14340361195.8055</v>
      </c>
    </row>
    <row r="2818" spans="1:3" ht="13">
      <c r="A2818" s="72">
        <v>45040</v>
      </c>
      <c r="B2818" s="71">
        <v>1842.1324999999999</v>
      </c>
      <c r="C2818" s="71">
        <v>17861746313.197899</v>
      </c>
    </row>
    <row r="2819" spans="1:3" ht="13">
      <c r="A2819" s="72">
        <v>45041</v>
      </c>
      <c r="B2819" s="71">
        <v>1867.9794999999999</v>
      </c>
      <c r="C2819" s="71">
        <v>21611026968.2812</v>
      </c>
    </row>
    <row r="2820" spans="1:3" ht="13">
      <c r="A2820" s="72">
        <v>45042</v>
      </c>
      <c r="B2820" s="71">
        <v>1866.7750000000001</v>
      </c>
      <c r="C2820" s="71">
        <v>30467669501.5625</v>
      </c>
    </row>
    <row r="2821" spans="1:3" ht="13">
      <c r="A2821" s="72">
        <v>45043</v>
      </c>
      <c r="B2821" s="71">
        <v>1908.1342</v>
      </c>
      <c r="C2821" s="71">
        <v>44573514958.4216</v>
      </c>
    </row>
    <row r="2822" spans="1:3" ht="13">
      <c r="A2822" s="72">
        <v>45044</v>
      </c>
      <c r="B2822" s="71">
        <v>1891.0432000000001</v>
      </c>
      <c r="C2822" s="71">
        <v>27404828463.607601</v>
      </c>
    </row>
    <row r="2823" spans="1:3" ht="13">
      <c r="A2823" s="72">
        <v>45045</v>
      </c>
      <c r="B2823" s="71">
        <v>1902.3181999999999</v>
      </c>
      <c r="C2823" s="71">
        <v>15660308470.8993</v>
      </c>
    </row>
    <row r="2824" spans="1:3" ht="13">
      <c r="A2824" s="72">
        <v>45046</v>
      </c>
      <c r="B2824" s="71">
        <v>1880.1052</v>
      </c>
      <c r="C2824" s="71">
        <v>13767625030.447901</v>
      </c>
    </row>
    <row r="2825" spans="1:3" ht="13">
      <c r="A2825" s="72">
        <v>45047</v>
      </c>
      <c r="B2825" s="71">
        <v>1831.3968</v>
      </c>
      <c r="C2825" s="71">
        <v>22879199164.090199</v>
      </c>
    </row>
    <row r="2826" spans="1:3" ht="13">
      <c r="A2826" s="72">
        <v>45048</v>
      </c>
      <c r="B2826" s="71">
        <v>1868.4103</v>
      </c>
      <c r="C2826" s="71">
        <v>19793139001.506901</v>
      </c>
    </row>
    <row r="2827" spans="1:3" ht="13">
      <c r="A2827" s="72">
        <v>45049</v>
      </c>
      <c r="B2827" s="71">
        <v>1901.5677000000001</v>
      </c>
      <c r="C2827" s="71">
        <v>19448091569.255501</v>
      </c>
    </row>
    <row r="2828" spans="1:3" ht="13">
      <c r="A2828" s="72">
        <v>45050</v>
      </c>
      <c r="B2828" s="71">
        <v>1875.9327000000001</v>
      </c>
      <c r="C2828" s="71">
        <v>23195024058.0798</v>
      </c>
    </row>
    <row r="2829" spans="1:3" ht="13">
      <c r="A2829" s="72">
        <v>45051</v>
      </c>
      <c r="B2829" s="71">
        <v>1994.8819000000001</v>
      </c>
      <c r="C2829" s="71">
        <v>22407001110.253399</v>
      </c>
    </row>
    <row r="2830" spans="1:3" ht="13">
      <c r="A2830" s="72">
        <v>45052</v>
      </c>
      <c r="B2830" s="71">
        <v>1905.6587999999999</v>
      </c>
      <c r="C2830" s="71">
        <v>29751135638.159698</v>
      </c>
    </row>
    <row r="2831" spans="1:3" ht="13">
      <c r="A2831" s="72">
        <v>45053</v>
      </c>
      <c r="B2831" s="71">
        <v>1893.5175999999999</v>
      </c>
      <c r="C2831" s="71">
        <v>21502849486.045101</v>
      </c>
    </row>
    <row r="2832" spans="1:3" ht="13">
      <c r="A2832" s="72">
        <v>45054</v>
      </c>
      <c r="B2832" s="71">
        <v>1860.8413</v>
      </c>
      <c r="C2832" s="71">
        <v>25083229301.215199</v>
      </c>
    </row>
    <row r="2833" spans="1:3" ht="13">
      <c r="A2833" s="72">
        <v>45055</v>
      </c>
      <c r="B2833" s="71">
        <v>1853.4364</v>
      </c>
      <c r="C2833" s="71">
        <v>20935005142.8885</v>
      </c>
    </row>
    <row r="2834" spans="1:3" ht="13">
      <c r="A2834" s="72">
        <v>45056</v>
      </c>
      <c r="B2834" s="71">
        <v>1845.6332</v>
      </c>
      <c r="C2834" s="71">
        <v>19023208471.243</v>
      </c>
    </row>
    <row r="2835" spans="1:3" ht="13">
      <c r="A2835" s="72">
        <v>45057</v>
      </c>
      <c r="B2835" s="71">
        <v>1798.2789</v>
      </c>
      <c r="C2835" s="71">
        <v>27108575754.791599</v>
      </c>
    </row>
    <row r="2836" spans="1:3" ht="13">
      <c r="A2836" s="72">
        <v>45058</v>
      </c>
      <c r="B2836" s="71">
        <v>1806.1747</v>
      </c>
      <c r="C2836" s="71">
        <v>24914283791.263802</v>
      </c>
    </row>
    <row r="2837" spans="1:3" ht="13">
      <c r="A2837" s="72">
        <v>45059</v>
      </c>
      <c r="B2837" s="71">
        <v>1798.2224000000001</v>
      </c>
      <c r="C2837" s="71">
        <v>19138197854.058998</v>
      </c>
    </row>
    <row r="2838" spans="1:3" ht="13">
      <c r="A2838" s="72">
        <v>45060</v>
      </c>
      <c r="B2838" s="71">
        <v>1801.5155</v>
      </c>
      <c r="C2838" s="71">
        <v>13209935570.993</v>
      </c>
    </row>
    <row r="2839" spans="1:3" ht="13">
      <c r="A2839" s="72">
        <v>45061</v>
      </c>
      <c r="B2839" s="71">
        <v>1819.9594</v>
      </c>
      <c r="C2839" s="71">
        <v>17764826445.789398</v>
      </c>
    </row>
    <row r="2840" spans="1:3" ht="13">
      <c r="A2840" s="72">
        <v>45062</v>
      </c>
      <c r="B2840" s="71">
        <v>1823.8860999999999</v>
      </c>
      <c r="C2840" s="71">
        <v>17294937124.243</v>
      </c>
    </row>
    <row r="2841" spans="1:3" ht="13">
      <c r="A2841" s="72">
        <v>45063</v>
      </c>
      <c r="B2841" s="71">
        <v>1822.9746</v>
      </c>
      <c r="C2841" s="71">
        <v>16235046619.1423</v>
      </c>
    </row>
    <row r="2842" spans="1:3" ht="13">
      <c r="A2842" s="72">
        <v>45064</v>
      </c>
      <c r="B2842" s="71">
        <v>1805.5409</v>
      </c>
      <c r="C2842" s="71">
        <v>16875434659.8645</v>
      </c>
    </row>
    <row r="2843" spans="1:3" ht="13">
      <c r="A2843" s="72">
        <v>45065</v>
      </c>
      <c r="B2843" s="71">
        <v>1815.5453</v>
      </c>
      <c r="C2843" s="71">
        <v>16397987581.809</v>
      </c>
    </row>
    <row r="2844" spans="1:3" ht="13">
      <c r="A2844" s="72">
        <v>45066</v>
      </c>
      <c r="B2844" s="71">
        <v>1823.8942999999999</v>
      </c>
      <c r="C2844" s="71">
        <v>11041870374.1145</v>
      </c>
    </row>
    <row r="2845" spans="1:3" ht="13">
      <c r="A2845" s="72">
        <v>45067</v>
      </c>
      <c r="B2845" s="71">
        <v>1810.5652</v>
      </c>
      <c r="C2845" s="71">
        <v>9672675919.6145802</v>
      </c>
    </row>
    <row r="2846" spans="1:3" ht="13">
      <c r="A2846" s="72">
        <v>45068</v>
      </c>
      <c r="B2846" s="71">
        <v>1821.8077000000001</v>
      </c>
      <c r="C2846" s="71">
        <v>12869346616.5</v>
      </c>
    </row>
    <row r="2847" spans="1:3" ht="13">
      <c r="A2847" s="72">
        <v>45069</v>
      </c>
      <c r="B2847" s="71">
        <v>1852.9045000000001</v>
      </c>
      <c r="C2847" s="71">
        <v>18185438373.520802</v>
      </c>
    </row>
    <row r="2848" spans="1:3" ht="13">
      <c r="A2848" s="72">
        <v>45070</v>
      </c>
      <c r="B2848" s="71">
        <v>1802.9274</v>
      </c>
      <c r="C2848" s="71">
        <v>18093820631.1875</v>
      </c>
    </row>
    <row r="2849" spans="1:3" ht="13">
      <c r="A2849" s="72">
        <v>45071</v>
      </c>
      <c r="B2849" s="71">
        <v>1807.0399</v>
      </c>
      <c r="C2849" s="71">
        <v>19250106653.2631</v>
      </c>
    </row>
    <row r="2850" spans="1:3" ht="13">
      <c r="A2850" s="72">
        <v>45072</v>
      </c>
      <c r="B2850" s="71">
        <v>1829.2950000000001</v>
      </c>
      <c r="C2850" s="71">
        <v>15591778893.643299</v>
      </c>
    </row>
    <row r="2851" spans="1:3" ht="13">
      <c r="A2851" s="72">
        <v>45073</v>
      </c>
      <c r="B2851" s="71">
        <v>1831.6632</v>
      </c>
      <c r="C2851" s="71">
        <v>12405459425.822901</v>
      </c>
    </row>
    <row r="2852" spans="1:3" ht="13">
      <c r="A2852" s="72">
        <v>45074</v>
      </c>
      <c r="B2852" s="71">
        <v>1909.2233000000001</v>
      </c>
      <c r="C2852" s="71">
        <v>12874447796.3923</v>
      </c>
    </row>
    <row r="2853" spans="1:3" ht="13">
      <c r="A2853" s="72">
        <v>45075</v>
      </c>
      <c r="B2853" s="71">
        <v>1889.8008</v>
      </c>
      <c r="C2853" s="71">
        <v>19239612324.3414</v>
      </c>
    </row>
    <row r="2854" spans="1:3" ht="13">
      <c r="A2854" s="72">
        <v>45076</v>
      </c>
      <c r="B2854" s="71">
        <v>1897.8105</v>
      </c>
      <c r="C2854" s="71">
        <v>19622746691.731701</v>
      </c>
    </row>
    <row r="2855" spans="1:3" ht="13">
      <c r="A2855" s="72">
        <v>45077</v>
      </c>
      <c r="B2855" s="71">
        <v>1871.1984</v>
      </c>
      <c r="C2855" s="71">
        <v>24498815803.567902</v>
      </c>
    </row>
    <row r="2856" spans="1:3" ht="13">
      <c r="A2856" s="72">
        <v>45078</v>
      </c>
      <c r="B2856" s="71">
        <v>1863.2061000000001</v>
      </c>
      <c r="C2856" s="71">
        <v>16812500885.114901</v>
      </c>
    </row>
    <row r="2857" spans="1:3" ht="13">
      <c r="A2857" s="72">
        <v>45079</v>
      </c>
      <c r="B2857" s="71">
        <v>1907.0061000000001</v>
      </c>
      <c r="C2857" s="71">
        <v>16237447225.505199</v>
      </c>
    </row>
    <row r="2858" spans="1:3" ht="13">
      <c r="A2858" s="72">
        <v>45080</v>
      </c>
      <c r="B2858" s="71">
        <v>1892.3045999999999</v>
      </c>
      <c r="C2858" s="71">
        <v>11822161981.428499</v>
      </c>
    </row>
    <row r="2859" spans="1:3" ht="13">
      <c r="A2859" s="72">
        <v>45081</v>
      </c>
      <c r="B2859" s="71">
        <v>1891.7936999999999</v>
      </c>
      <c r="C2859" s="71">
        <v>9265767674.8954697</v>
      </c>
    </row>
    <row r="2860" spans="1:3" ht="13">
      <c r="A2860" s="72">
        <v>45082</v>
      </c>
      <c r="B2860" s="71">
        <v>1812.3643999999999</v>
      </c>
      <c r="C2860" s="71">
        <v>17058941307.5818</v>
      </c>
    </row>
    <row r="2861" spans="1:3" ht="13">
      <c r="A2861" s="72">
        <v>45083</v>
      </c>
      <c r="B2861" s="71">
        <v>1888.1422</v>
      </c>
      <c r="C2861" s="71">
        <v>23474839365.654999</v>
      </c>
    </row>
    <row r="2862" spans="1:3" ht="13">
      <c r="A2862" s="72">
        <v>45084</v>
      </c>
      <c r="B2862" s="71">
        <v>1836.289</v>
      </c>
      <c r="C2862" s="71">
        <v>24321583788.5574</v>
      </c>
    </row>
    <row r="2863" spans="1:3" ht="13">
      <c r="A2863" s="72">
        <v>45085</v>
      </c>
      <c r="B2863" s="71">
        <v>1847.1956</v>
      </c>
      <c r="C2863" s="71">
        <v>16291394237.909401</v>
      </c>
    </row>
    <row r="2864" spans="1:3" ht="13">
      <c r="A2864" s="72">
        <v>45086</v>
      </c>
      <c r="B2864" s="71">
        <v>1842.2012</v>
      </c>
      <c r="C2864" s="71">
        <v>12126450799.940701</v>
      </c>
    </row>
    <row r="2865" spans="1:3" ht="13">
      <c r="A2865" s="72">
        <v>45087</v>
      </c>
      <c r="B2865" s="71">
        <v>1753.1468</v>
      </c>
      <c r="C2865" s="71">
        <v>21799310066.587399</v>
      </c>
    </row>
    <row r="2866" spans="1:3" ht="13">
      <c r="A2866" s="72">
        <v>45088</v>
      </c>
      <c r="B2866" s="71">
        <v>1753.9843000000001</v>
      </c>
      <c r="C2866" s="71">
        <v>17354161489.411098</v>
      </c>
    </row>
    <row r="2867" spans="1:3" ht="13">
      <c r="A2867" s="72">
        <v>45089</v>
      </c>
      <c r="B2867" s="71">
        <v>1742.4688000000001</v>
      </c>
      <c r="C2867" s="71">
        <v>14997404575.4599</v>
      </c>
    </row>
    <row r="2868" spans="1:3" ht="13">
      <c r="A2868" s="72">
        <v>45090</v>
      </c>
      <c r="B2868" s="71">
        <v>1739.4480000000001</v>
      </c>
      <c r="C2868" s="71">
        <v>15910002493.9512</v>
      </c>
    </row>
    <row r="2869" spans="1:3" ht="13">
      <c r="A2869" s="72">
        <v>45091</v>
      </c>
      <c r="B2869" s="71">
        <v>1663.3923</v>
      </c>
      <c r="C2869" s="71">
        <v>15250490495.0452</v>
      </c>
    </row>
    <row r="2870" spans="1:3" ht="13">
      <c r="A2870" s="72">
        <v>45092</v>
      </c>
      <c r="B2870" s="71">
        <v>1670.133</v>
      </c>
      <c r="C2870" s="71">
        <v>23599904004.4669</v>
      </c>
    </row>
    <row r="2871" spans="1:3" ht="13">
      <c r="A2871" s="72">
        <v>45093</v>
      </c>
      <c r="B2871" s="71">
        <v>1716.7308</v>
      </c>
      <c r="C2871" s="71">
        <v>16512003828.327499</v>
      </c>
    </row>
    <row r="2872" spans="1:3" ht="13">
      <c r="A2872" s="72">
        <v>45094</v>
      </c>
      <c r="B2872" s="71">
        <v>1725.8308999999999</v>
      </c>
      <c r="C2872" s="71">
        <v>17334536485.219501</v>
      </c>
    </row>
    <row r="2873" spans="1:3" ht="13">
      <c r="A2873" s="72">
        <v>45095</v>
      </c>
      <c r="B2873" s="71">
        <v>1720.0915</v>
      </c>
      <c r="C2873" s="71">
        <v>11334020788.9198</v>
      </c>
    </row>
    <row r="2874" spans="1:3" ht="13">
      <c r="A2874" s="72">
        <v>45096</v>
      </c>
      <c r="B2874" s="71">
        <v>1732.1349</v>
      </c>
      <c r="C2874" s="71">
        <v>12263776158.0592</v>
      </c>
    </row>
    <row r="2875" spans="1:3" ht="13">
      <c r="A2875" s="72">
        <v>45097</v>
      </c>
      <c r="B2875" s="71">
        <v>1783.3703</v>
      </c>
      <c r="C2875" s="71">
        <v>16508611565.5818</v>
      </c>
    </row>
    <row r="2876" spans="1:3" ht="13">
      <c r="A2876" s="72">
        <v>45098</v>
      </c>
      <c r="B2876" s="71">
        <v>1877.4023</v>
      </c>
      <c r="C2876" s="71">
        <v>25904926019.2229</v>
      </c>
    </row>
    <row r="2877" spans="1:3" ht="13">
      <c r="A2877" s="72">
        <v>45099</v>
      </c>
      <c r="B2877" s="71">
        <v>1866.7353000000001</v>
      </c>
      <c r="C2877" s="71">
        <v>26620230163.1045</v>
      </c>
    </row>
    <row r="2878" spans="1:3" ht="13">
      <c r="A2878" s="72">
        <v>45100</v>
      </c>
      <c r="B2878" s="71">
        <v>1886.3524</v>
      </c>
      <c r="C2878" s="71">
        <v>19004258890.0905</v>
      </c>
    </row>
    <row r="2879" spans="1:3" ht="13">
      <c r="A2879" s="72">
        <v>45101</v>
      </c>
      <c r="B2879" s="71">
        <v>1868.0849000000001</v>
      </c>
      <c r="C2879" s="71">
        <v>19410421940.9128</v>
      </c>
    </row>
    <row r="2880" spans="1:3" ht="13">
      <c r="A2880" s="72">
        <v>45102</v>
      </c>
      <c r="B2880" s="71">
        <v>1895.6631</v>
      </c>
      <c r="C2880" s="71">
        <v>29178701072.554001</v>
      </c>
    </row>
    <row r="2881" spans="1:3" ht="13">
      <c r="A2881" s="72">
        <v>45103</v>
      </c>
      <c r="B2881" s="71">
        <v>1858.0333000000001</v>
      </c>
      <c r="C2881" s="71">
        <v>19358306090.554001</v>
      </c>
    </row>
    <row r="2882" spans="1:3" ht="13">
      <c r="A2882" s="72">
        <v>45104</v>
      </c>
      <c r="B2882" s="71">
        <v>1890.1221</v>
      </c>
      <c r="C2882" s="71">
        <v>20839066833.891899</v>
      </c>
    </row>
    <row r="2883" spans="1:3" ht="13">
      <c r="A2883" s="72">
        <v>45105</v>
      </c>
      <c r="B2883" s="71">
        <v>1831.5655999999999</v>
      </c>
      <c r="C2883" s="71">
        <v>19866587128.310101</v>
      </c>
    </row>
    <row r="2884" spans="1:3" ht="13">
      <c r="A2884" s="72">
        <v>45106</v>
      </c>
      <c r="B2884" s="71">
        <v>1854.3027999999999</v>
      </c>
      <c r="C2884" s="71">
        <v>17294655612.609699</v>
      </c>
    </row>
    <row r="2885" spans="1:3" ht="13">
      <c r="A2885" s="72">
        <v>45107</v>
      </c>
      <c r="B2885" s="71">
        <v>1932.6858</v>
      </c>
      <c r="C2885" s="71">
        <v>24228006815.6446</v>
      </c>
    </row>
    <row r="2886" spans="1:3" ht="13">
      <c r="A2886" s="72">
        <v>45108</v>
      </c>
      <c r="B2886" s="71">
        <v>1918.7197000000001</v>
      </c>
      <c r="C2886" s="71">
        <v>26224343479.700298</v>
      </c>
    </row>
    <row r="2887" spans="1:3" ht="13">
      <c r="A2887" s="72">
        <v>45109</v>
      </c>
      <c r="B2887" s="71">
        <v>1932.2372</v>
      </c>
      <c r="C2887" s="71">
        <v>13303218846.264799</v>
      </c>
    </row>
    <row r="2888" spans="1:3" ht="13">
      <c r="A2888" s="72">
        <v>45110</v>
      </c>
      <c r="B2888" s="71">
        <v>1955.5277000000001</v>
      </c>
      <c r="C2888" s="71">
        <v>20338733826.7491</v>
      </c>
    </row>
    <row r="2889" spans="1:3" ht="13">
      <c r="A2889" s="72">
        <v>45111</v>
      </c>
      <c r="B2889" s="71">
        <v>1937.5827999999999</v>
      </c>
      <c r="C2889" s="71">
        <v>16079180284.620199</v>
      </c>
    </row>
    <row r="2890" spans="1:3" ht="13">
      <c r="A2890" s="72">
        <v>45112</v>
      </c>
      <c r="B2890" s="71">
        <v>1914.2629999999999</v>
      </c>
      <c r="C2890" s="71">
        <v>15102479339.491199</v>
      </c>
    </row>
    <row r="2891" spans="1:3" ht="13">
      <c r="A2891" s="72">
        <v>45113</v>
      </c>
      <c r="B2891" s="71">
        <v>1856.2570000000001</v>
      </c>
      <c r="C2891" s="71">
        <v>20115131236.254299</v>
      </c>
    </row>
    <row r="2892" spans="1:3" ht="13">
      <c r="A2892" s="72">
        <v>45114</v>
      </c>
      <c r="B2892" s="71">
        <v>1872.3788999999999</v>
      </c>
      <c r="C2892" s="71">
        <v>22130729035.825699</v>
      </c>
    </row>
    <row r="2893" spans="1:3" ht="13">
      <c r="A2893" s="72">
        <v>45115</v>
      </c>
      <c r="B2893" s="71">
        <v>1866.279</v>
      </c>
      <c r="C2893" s="71">
        <v>13075295857.4529</v>
      </c>
    </row>
    <row r="2894" spans="1:3" ht="13">
      <c r="A2894" s="72">
        <v>45116</v>
      </c>
      <c r="B2894" s="71">
        <v>1862.3287</v>
      </c>
      <c r="C2894" s="71">
        <v>12128118833.254299</v>
      </c>
    </row>
    <row r="2895" spans="1:3" ht="13">
      <c r="A2895" s="72">
        <v>45117</v>
      </c>
      <c r="B2895" s="71">
        <v>1878.2888</v>
      </c>
      <c r="C2895" s="71">
        <v>14129095822.5609</v>
      </c>
    </row>
    <row r="2896" spans="1:3" ht="13">
      <c r="A2896" s="72">
        <v>45118</v>
      </c>
      <c r="B2896" s="71">
        <v>1876.6422</v>
      </c>
      <c r="C2896" s="71">
        <v>16958672879.323999</v>
      </c>
    </row>
    <row r="2897" spans="1:3" ht="13">
      <c r="A2897" s="72">
        <v>45119</v>
      </c>
      <c r="B2897" s="71">
        <v>1872.1338000000001</v>
      </c>
      <c r="C2897" s="71">
        <v>15202255392.0278</v>
      </c>
    </row>
    <row r="2898" spans="1:3" ht="13">
      <c r="A2898" s="72">
        <v>45120</v>
      </c>
      <c r="B2898" s="71">
        <v>1997.0645999999999</v>
      </c>
      <c r="C2898" s="71">
        <v>18727972577.745602</v>
      </c>
    </row>
    <row r="2899" spans="1:3" ht="13">
      <c r="A2899" s="72">
        <v>45121</v>
      </c>
      <c r="B2899" s="71">
        <v>1935.2559000000001</v>
      </c>
      <c r="C2899" s="71">
        <v>29887586480.787399</v>
      </c>
    </row>
    <row r="2900" spans="1:3" ht="13">
      <c r="A2900" s="72">
        <v>45122</v>
      </c>
      <c r="B2900" s="71">
        <v>1924.9052999999999</v>
      </c>
      <c r="C2900" s="71">
        <v>20327600471.174198</v>
      </c>
    </row>
    <row r="2901" spans="1:3" ht="13">
      <c r="A2901" s="72">
        <v>45123</v>
      </c>
      <c r="B2901" s="71">
        <v>1918.0465999999999</v>
      </c>
      <c r="C2901" s="71">
        <v>11592209303.1777</v>
      </c>
    </row>
    <row r="2902" spans="1:3" ht="13">
      <c r="A2902" s="72">
        <v>45124</v>
      </c>
      <c r="B2902" s="71">
        <v>1910.0268000000001</v>
      </c>
      <c r="C2902" s="71">
        <v>14210100965.5749</v>
      </c>
    </row>
    <row r="2903" spans="1:3" ht="13">
      <c r="A2903" s="72">
        <v>45125</v>
      </c>
      <c r="B2903" s="71">
        <v>1894.7235000000001</v>
      </c>
      <c r="C2903" s="71">
        <v>17159175192.2125</v>
      </c>
    </row>
    <row r="2904" spans="1:3" ht="13">
      <c r="A2904" s="72">
        <v>45126</v>
      </c>
      <c r="B2904" s="71">
        <v>1889.1523</v>
      </c>
      <c r="C2904" s="71">
        <v>15004151446.247299</v>
      </c>
    </row>
    <row r="2905" spans="1:3" ht="13">
      <c r="A2905" s="72">
        <v>45127</v>
      </c>
      <c r="B2905" s="71">
        <v>1888.7180000000001</v>
      </c>
      <c r="C2905" s="71">
        <v>17049418626.202</v>
      </c>
    </row>
    <row r="2906" spans="1:3" ht="13">
      <c r="A2906" s="72">
        <v>45128</v>
      </c>
      <c r="B2906" s="71">
        <v>1886.5281</v>
      </c>
      <c r="C2906" s="71">
        <v>15581945834.550501</v>
      </c>
    </row>
    <row r="2907" spans="1:3" ht="13">
      <c r="A2907" s="72">
        <v>45129</v>
      </c>
      <c r="B2907" s="71">
        <v>1860.5078000000001</v>
      </c>
      <c r="C2907" s="71">
        <v>10864531218.665501</v>
      </c>
    </row>
    <row r="2908" spans="1:3" ht="13">
      <c r="A2908" s="72">
        <v>45130</v>
      </c>
      <c r="B2908" s="71">
        <v>1886.2263</v>
      </c>
      <c r="C2908" s="71">
        <v>12093656529.2682</v>
      </c>
    </row>
    <row r="2909" spans="1:3" ht="13">
      <c r="A2909" s="72">
        <v>45131</v>
      </c>
      <c r="B2909" s="71">
        <v>1850.7302999999999</v>
      </c>
      <c r="C2909" s="71">
        <v>15083548024.358801</v>
      </c>
    </row>
    <row r="2910" spans="1:3" ht="13">
      <c r="A2910" s="72">
        <v>45132</v>
      </c>
      <c r="B2910" s="71">
        <v>1863.3786</v>
      </c>
      <c r="C2910" s="71">
        <v>13285052488.306601</v>
      </c>
    </row>
    <row r="2911" spans="1:3" ht="13">
      <c r="A2911" s="72">
        <v>45133</v>
      </c>
      <c r="B2911" s="71">
        <v>1873.3117</v>
      </c>
      <c r="C2911" s="71">
        <v>11486058141.665501</v>
      </c>
    </row>
    <row r="2912" spans="1:3" ht="13">
      <c r="A2912" s="72">
        <v>45134</v>
      </c>
      <c r="B2912" s="71">
        <v>1861.3317999999999</v>
      </c>
      <c r="C2912" s="71">
        <v>14045077233.494699</v>
      </c>
    </row>
    <row r="2913" spans="1:3" ht="13">
      <c r="A2913" s="72">
        <v>45135</v>
      </c>
      <c r="B2913" s="71">
        <v>1876.0130999999999</v>
      </c>
      <c r="C2913" s="71">
        <v>11611143503.132401</v>
      </c>
    </row>
    <row r="2914" spans="1:3" ht="13">
      <c r="A2914" s="72">
        <v>45136</v>
      </c>
      <c r="B2914" s="71">
        <v>1886.0775000000001</v>
      </c>
      <c r="C2914" s="71">
        <v>9370400498.8710804</v>
      </c>
    </row>
    <row r="2915" spans="1:3" ht="13">
      <c r="A2915" s="72">
        <v>45137</v>
      </c>
      <c r="B2915" s="71">
        <v>1863.038</v>
      </c>
      <c r="C2915" s="71">
        <v>8449001109.3379698</v>
      </c>
    </row>
    <row r="2916" spans="1:3" ht="13">
      <c r="A2916" s="72">
        <v>45138</v>
      </c>
      <c r="B2916" s="71">
        <v>1859.2883999999999</v>
      </c>
      <c r="C2916" s="71">
        <v>11444017827.517599</v>
      </c>
    </row>
    <row r="2917" spans="1:3" ht="13">
      <c r="A2917" s="72">
        <v>45139</v>
      </c>
      <c r="B2917" s="71">
        <v>1869.4222</v>
      </c>
      <c r="C2917" s="71">
        <v>11967740934.505199</v>
      </c>
    </row>
    <row r="2918" spans="1:3" ht="13">
      <c r="A2918" s="72">
        <v>45140</v>
      </c>
      <c r="B2918" s="71">
        <v>1836.7221</v>
      </c>
      <c r="C2918" s="71">
        <v>15230588274.306601</v>
      </c>
    </row>
    <row r="2919" spans="1:3" ht="13">
      <c r="A2919" s="72">
        <v>45141</v>
      </c>
      <c r="B2919" s="71">
        <v>1835.6062999999999</v>
      </c>
      <c r="C2919" s="71">
        <v>13647143332.132401</v>
      </c>
    </row>
    <row r="2920" spans="1:3" ht="13">
      <c r="A2920" s="72">
        <v>45142</v>
      </c>
      <c r="B2920" s="71">
        <v>1831.8454999999999</v>
      </c>
      <c r="C2920" s="71">
        <v>12294279402.839701</v>
      </c>
    </row>
    <row r="2921" spans="1:3" ht="13">
      <c r="A2921" s="72">
        <v>45143</v>
      </c>
      <c r="B2921" s="71">
        <v>1866.4349</v>
      </c>
      <c r="C2921" s="71">
        <v>11507058325.0734</v>
      </c>
    </row>
    <row r="2922" spans="1:3" ht="13">
      <c r="A2922" s="72">
        <v>45144</v>
      </c>
      <c r="B2922" s="71">
        <v>1859.4031</v>
      </c>
      <c r="C2922" s="71">
        <v>14472790131.4111</v>
      </c>
    </row>
    <row r="2923" spans="1:3" ht="13">
      <c r="A2923" s="72">
        <v>45145</v>
      </c>
      <c r="B2923" s="71">
        <v>1828.9846</v>
      </c>
      <c r="C2923" s="71">
        <v>11333445601.8466</v>
      </c>
    </row>
    <row r="2924" spans="1:3" ht="13">
      <c r="A2924" s="72">
        <v>45146</v>
      </c>
      <c r="B2924" s="71">
        <v>1856.6174000000001</v>
      </c>
      <c r="C2924" s="71">
        <v>11950412281.424999</v>
      </c>
    </row>
    <row r="2925" spans="1:3" ht="13">
      <c r="A2925" s="72">
        <v>45147</v>
      </c>
      <c r="B2925" s="71">
        <v>1856.8785</v>
      </c>
      <c r="C2925" s="71">
        <v>10420653685.5783</v>
      </c>
    </row>
    <row r="2926" spans="1:3" ht="13">
      <c r="A2926" s="72">
        <v>45148</v>
      </c>
      <c r="B2926" s="71">
        <v>1852.8019999999999</v>
      </c>
      <c r="C2926" s="71">
        <v>7896782993.6933699</v>
      </c>
    </row>
    <row r="2927" spans="1:3" ht="13">
      <c r="A2927" s="72">
        <v>45149</v>
      </c>
      <c r="B2927" s="71">
        <v>1849.3762999999999</v>
      </c>
      <c r="C2927" s="71">
        <v>6862255260.2926798</v>
      </c>
    </row>
    <row r="2928" spans="1:3" ht="13">
      <c r="A2928" s="72">
        <v>45150</v>
      </c>
      <c r="B2928" s="71">
        <v>1847.3811000000001</v>
      </c>
      <c r="C2928" s="71">
        <v>5990734189.0174198</v>
      </c>
    </row>
    <row r="2929" spans="1:3" ht="13">
      <c r="A2929" s="72">
        <v>45151</v>
      </c>
      <c r="B2929" s="71">
        <v>1840.1947</v>
      </c>
      <c r="C2929" s="71">
        <v>5626790326.2996502</v>
      </c>
    </row>
    <row r="2930" spans="1:3" ht="13">
      <c r="A2930" s="72">
        <v>45152</v>
      </c>
      <c r="B2930" s="71">
        <v>1843.4167</v>
      </c>
      <c r="C2930" s="71">
        <v>8759038264.5853596</v>
      </c>
    </row>
    <row r="2931" spans="1:3" ht="13">
      <c r="A2931" s="72">
        <v>45153</v>
      </c>
      <c r="B2931" s="71">
        <v>1829.7257</v>
      </c>
      <c r="C2931" s="71">
        <v>8258663992.3344898</v>
      </c>
    </row>
    <row r="2932" spans="1:3" ht="13">
      <c r="A2932" s="72">
        <v>45154</v>
      </c>
      <c r="B2932" s="71">
        <v>1810.2430999999999</v>
      </c>
      <c r="C2932" s="71">
        <v>8655020387.9128895</v>
      </c>
    </row>
    <row r="2933" spans="1:3" ht="13">
      <c r="A2933" s="72">
        <v>45155</v>
      </c>
      <c r="B2933" s="71">
        <v>1690.8844999999999</v>
      </c>
      <c r="C2933" s="71">
        <v>12045617568.0383</v>
      </c>
    </row>
    <row r="2934" spans="1:3" ht="13">
      <c r="A2934" s="72">
        <v>45156</v>
      </c>
      <c r="B2934" s="71">
        <v>1672.9856</v>
      </c>
      <c r="C2934" s="71">
        <v>23951480894.818802</v>
      </c>
    </row>
    <row r="2935" spans="1:3" ht="13">
      <c r="A2935" s="72">
        <v>45157</v>
      </c>
      <c r="B2935" s="71">
        <v>1675.8878</v>
      </c>
      <c r="C2935" s="71">
        <v>11367680936.6271</v>
      </c>
    </row>
    <row r="2936" spans="1:3" ht="13">
      <c r="A2936" s="72">
        <v>45158</v>
      </c>
      <c r="B2936" s="71">
        <v>1689.1407999999999</v>
      </c>
      <c r="C2936" s="71">
        <v>8973188245.3623695</v>
      </c>
    </row>
    <row r="2937" spans="1:3" ht="13">
      <c r="A2937" s="72">
        <v>45159</v>
      </c>
      <c r="B2937" s="71">
        <v>1675.9756</v>
      </c>
      <c r="C2937" s="71">
        <v>9341217452.7142792</v>
      </c>
    </row>
    <row r="2938" spans="1:3" ht="13">
      <c r="A2938" s="72">
        <v>45160</v>
      </c>
      <c r="B2938" s="71">
        <v>1637.9376999999999</v>
      </c>
      <c r="C2938" s="71">
        <v>9928783226.2264805</v>
      </c>
    </row>
    <row r="2939" spans="1:3" ht="13">
      <c r="A2939" s="72">
        <v>45161</v>
      </c>
      <c r="B2939" s="71">
        <v>1678.9390000000001</v>
      </c>
      <c r="C2939" s="71">
        <v>14902163460.0383</v>
      </c>
    </row>
    <row r="2940" spans="1:3" ht="13">
      <c r="A2940" s="72">
        <v>45162</v>
      </c>
      <c r="B2940" s="71">
        <v>1663.8176000000001</v>
      </c>
      <c r="C2940" s="71">
        <v>12441595988.759501</v>
      </c>
    </row>
    <row r="2941" spans="1:3" ht="13">
      <c r="A2941" s="72">
        <v>45163</v>
      </c>
      <c r="B2941" s="71">
        <v>1658.1814999999999</v>
      </c>
      <c r="C2941" s="71">
        <v>8722628357.8083591</v>
      </c>
    </row>
    <row r="2942" spans="1:3" ht="13">
      <c r="A2942" s="72">
        <v>45164</v>
      </c>
      <c r="B2942" s="71">
        <v>1654.6312</v>
      </c>
      <c r="C2942" s="71">
        <v>6885500757.7595797</v>
      </c>
    </row>
    <row r="2943" spans="1:3" ht="13">
      <c r="A2943" s="72">
        <v>45165</v>
      </c>
      <c r="B2943" s="71">
        <v>1662.8887999999999</v>
      </c>
      <c r="C2943" s="71">
        <v>4492717624.9128904</v>
      </c>
    </row>
    <row r="2944" spans="1:3" ht="13">
      <c r="A2944" s="72">
        <v>45166</v>
      </c>
      <c r="B2944" s="71">
        <v>1658.3607999999999</v>
      </c>
      <c r="C2944" s="71">
        <v>6597502473.2578402</v>
      </c>
    </row>
    <row r="2945" spans="1:3" ht="13">
      <c r="A2945" s="72">
        <v>45167</v>
      </c>
      <c r="B2945" s="71">
        <v>1730.6338000000001</v>
      </c>
      <c r="C2945" s="71">
        <v>10417920252.8083</v>
      </c>
    </row>
    <row r="2946" spans="1:3" ht="13">
      <c r="A2946" s="72">
        <v>45168</v>
      </c>
      <c r="B2946" s="71">
        <v>1709.4820999999999</v>
      </c>
      <c r="C2946" s="71">
        <v>13584664638.547001</v>
      </c>
    </row>
    <row r="2947" spans="1:3" ht="13">
      <c r="A2947" s="72">
        <v>45169</v>
      </c>
      <c r="B2947" s="71">
        <v>1648.7034000000001</v>
      </c>
      <c r="C2947" s="71">
        <v>8080238835.7212496</v>
      </c>
    </row>
    <row r="2948" spans="1:3" ht="13">
      <c r="A2948" s="72">
        <v>45170</v>
      </c>
      <c r="B2948" s="71">
        <v>1632.2664</v>
      </c>
      <c r="C2948" s="71">
        <v>10674815405.780399</v>
      </c>
    </row>
    <row r="2949" spans="1:3" ht="13">
      <c r="A2949" s="72">
        <v>45171</v>
      </c>
      <c r="B2949" s="71">
        <v>1632.8309999999999</v>
      </c>
      <c r="C2949" s="71">
        <v>7732708399.0104504</v>
      </c>
    </row>
    <row r="2950" spans="1:3" ht="13">
      <c r="A2950" s="72">
        <v>45172</v>
      </c>
      <c r="B2950" s="71">
        <v>1641.0844999999999</v>
      </c>
      <c r="C2950" s="71">
        <v>5022317781.7909403</v>
      </c>
    </row>
    <row r="2951" spans="1:3" ht="13">
      <c r="A2951" s="72">
        <v>45173</v>
      </c>
      <c r="B2951" s="71">
        <v>1634.5148999999999</v>
      </c>
      <c r="C2951" s="71">
        <v>5745959770.8257799</v>
      </c>
    </row>
    <row r="2952" spans="1:3" ht="13">
      <c r="A2952" s="72">
        <v>45174</v>
      </c>
      <c r="B2952" s="71">
        <v>1636.3713</v>
      </c>
      <c r="C2952" s="71">
        <v>7085166693.7839699</v>
      </c>
    </row>
    <row r="2953" spans="1:3" ht="13">
      <c r="A2953" s="72">
        <v>45175</v>
      </c>
      <c r="B2953" s="71">
        <v>1637.6927000000001</v>
      </c>
      <c r="C2953" s="71">
        <v>6920000515.3310099</v>
      </c>
    </row>
    <row r="2954" spans="1:3" ht="13">
      <c r="A2954" s="72">
        <v>45176</v>
      </c>
      <c r="B2954" s="71">
        <v>1649.0146</v>
      </c>
      <c r="C2954" s="71">
        <v>8509687335.3519096</v>
      </c>
    </row>
    <row r="2955" spans="1:3" ht="13">
      <c r="A2955" s="72">
        <v>45177</v>
      </c>
      <c r="B2955" s="71">
        <v>1639.2647999999999</v>
      </c>
      <c r="C2955" s="71">
        <v>8497907658.9930296</v>
      </c>
    </row>
    <row r="2956" spans="1:3" ht="13">
      <c r="A2956" s="72">
        <v>45178</v>
      </c>
      <c r="B2956" s="71">
        <v>1641.2520999999999</v>
      </c>
      <c r="C2956" s="71">
        <v>5407497690.77003</v>
      </c>
    </row>
    <row r="2957" spans="1:3" ht="13">
      <c r="A2957" s="72">
        <v>45179</v>
      </c>
      <c r="B2957" s="71">
        <v>1621.1179999999999</v>
      </c>
      <c r="C2957" s="71">
        <v>5024416047.1149797</v>
      </c>
    </row>
    <row r="2958" spans="1:3" ht="13">
      <c r="A2958" s="72">
        <v>45180</v>
      </c>
      <c r="B2958" s="71">
        <v>1551.5974000000001</v>
      </c>
      <c r="C2958" s="71">
        <v>9521545151.2926807</v>
      </c>
    </row>
    <row r="2959" spans="1:3" ht="13">
      <c r="A2959" s="72">
        <v>45181</v>
      </c>
      <c r="B2959" s="71">
        <v>1596.9765</v>
      </c>
      <c r="C2959" s="71">
        <v>12621213624.3797</v>
      </c>
    </row>
    <row r="2960" spans="1:3" ht="13">
      <c r="A2960" s="72">
        <v>45182</v>
      </c>
      <c r="B2960" s="71">
        <v>1611.1679999999999</v>
      </c>
      <c r="C2960" s="71">
        <v>9217529030.0696793</v>
      </c>
    </row>
    <row r="2961" spans="1:3" ht="13">
      <c r="A2961" s="72">
        <v>45183</v>
      </c>
      <c r="B2961" s="71">
        <v>1631.1886999999999</v>
      </c>
      <c r="C2961" s="71">
        <v>9024533970.4982491</v>
      </c>
    </row>
    <row r="2962" spans="1:3" ht="13">
      <c r="A2962" s="72">
        <v>45184</v>
      </c>
      <c r="B2962" s="71">
        <v>1646.386</v>
      </c>
      <c r="C2962" s="71">
        <v>7728872024.6027803</v>
      </c>
    </row>
    <row r="2963" spans="1:3" ht="13">
      <c r="A2963" s="72">
        <v>45185</v>
      </c>
      <c r="B2963" s="71">
        <v>1643.6264000000001</v>
      </c>
      <c r="C2963" s="71">
        <v>6112378166.6411104</v>
      </c>
    </row>
    <row r="2964" spans="1:3" ht="13">
      <c r="A2964" s="72">
        <v>45186</v>
      </c>
      <c r="B2964" s="71">
        <v>1631.6033</v>
      </c>
      <c r="C2964" s="71">
        <v>4528216761.9790897</v>
      </c>
    </row>
    <row r="2965" spans="1:3" ht="13">
      <c r="A2965" s="72">
        <v>45187</v>
      </c>
      <c r="B2965" s="71">
        <v>1640.0147999999999</v>
      </c>
      <c r="C2965" s="71">
        <v>7391125677.2692299</v>
      </c>
    </row>
    <row r="2966" spans="1:3" ht="13">
      <c r="A2966" s="72">
        <v>45188</v>
      </c>
      <c r="B2966" s="71">
        <v>1647.9698000000001</v>
      </c>
      <c r="C2966" s="71">
        <v>8252840057.7804804</v>
      </c>
    </row>
    <row r="2967" spans="1:3" ht="13">
      <c r="A2967" s="72">
        <v>45189</v>
      </c>
      <c r="B2967" s="71">
        <v>1628.597</v>
      </c>
      <c r="C2967" s="71">
        <v>7723343046.45296</v>
      </c>
    </row>
    <row r="2968" spans="1:3" ht="13">
      <c r="A2968" s="72">
        <v>45190</v>
      </c>
      <c r="B2968" s="71">
        <v>1588.2615000000001</v>
      </c>
      <c r="C2968" s="71">
        <v>9208779426.1149807</v>
      </c>
    </row>
    <row r="2969" spans="1:3" ht="13">
      <c r="A2969" s="72">
        <v>45191</v>
      </c>
      <c r="B2969" s="71">
        <v>1602.0907</v>
      </c>
      <c r="C2969" s="71">
        <v>8052437039.9965096</v>
      </c>
    </row>
    <row r="2970" spans="1:3" ht="13">
      <c r="A2970" s="72">
        <v>45192</v>
      </c>
      <c r="B2970" s="71">
        <v>1605.5225</v>
      </c>
      <c r="C2970" s="71">
        <v>4854830308.1707296</v>
      </c>
    </row>
    <row r="2971" spans="1:3" ht="13">
      <c r="A2971" s="72">
        <v>45193</v>
      </c>
      <c r="B2971" s="71">
        <v>1587.9419</v>
      </c>
      <c r="C2971" s="71">
        <v>3941636101.8292599</v>
      </c>
    </row>
    <row r="2972" spans="1:3" ht="13">
      <c r="A2972" s="72">
        <v>45194</v>
      </c>
      <c r="B2972" s="71">
        <v>1593.1277</v>
      </c>
      <c r="C2972" s="71">
        <v>7232337329.3832703</v>
      </c>
    </row>
    <row r="2973" spans="1:3" ht="13">
      <c r="A2973" s="72">
        <v>45195</v>
      </c>
      <c r="B2973" s="71">
        <v>1598.2727</v>
      </c>
      <c r="C2973" s="71">
        <v>6398563771.8501701</v>
      </c>
    </row>
    <row r="2974" spans="1:3" ht="13">
      <c r="A2974" s="72">
        <v>45196</v>
      </c>
      <c r="B2974" s="71">
        <v>1603.02</v>
      </c>
      <c r="C2974" s="71">
        <v>7789593963.8153296</v>
      </c>
    </row>
    <row r="2975" spans="1:3" ht="13">
      <c r="A2975" s="72">
        <v>45197</v>
      </c>
      <c r="B2975" s="71">
        <v>1656.2370000000001</v>
      </c>
      <c r="C2975" s="71">
        <v>10639649039.7386</v>
      </c>
    </row>
    <row r="2976" spans="1:3" ht="13">
      <c r="A2976" s="72">
        <v>45198</v>
      </c>
      <c r="B2976" s="71">
        <v>1670.2720999999999</v>
      </c>
      <c r="C2976" s="71">
        <v>11430588885.662001</v>
      </c>
    </row>
    <row r="2977" spans="1:3" ht="13">
      <c r="A2977" s="72">
        <v>45199</v>
      </c>
      <c r="B2977" s="71">
        <v>1660.7197000000001</v>
      </c>
      <c r="C2977" s="71">
        <v>7439758425.68641</v>
      </c>
    </row>
    <row r="2978" spans="1:3" ht="13">
      <c r="A2978" s="72">
        <v>45200</v>
      </c>
      <c r="B2978" s="71">
        <v>1704.7719999999999</v>
      </c>
      <c r="C2978" s="71">
        <v>6732382863.4877996</v>
      </c>
    </row>
    <row r="2979" spans="1:3" ht="13">
      <c r="A2979" s="72">
        <v>45201</v>
      </c>
      <c r="B2979" s="71">
        <v>1659.3200999999999</v>
      </c>
      <c r="C2979" s="71">
        <v>12217901429.790899</v>
      </c>
    </row>
    <row r="2980" spans="1:3" ht="13">
      <c r="A2980" s="72">
        <v>45202</v>
      </c>
      <c r="B2980" s="71">
        <v>1661.9005999999999</v>
      </c>
      <c r="C2980" s="71">
        <v>10991529791.797899</v>
      </c>
    </row>
    <row r="2981" spans="1:3" ht="13">
      <c r="A2981" s="72">
        <v>45203</v>
      </c>
      <c r="B2981" s="71">
        <v>1654.2260000000001</v>
      </c>
      <c r="C2981" s="71">
        <v>7470708030.0313501</v>
      </c>
    </row>
    <row r="2982" spans="1:3" ht="13">
      <c r="A2982" s="72">
        <v>45204</v>
      </c>
      <c r="B2982" s="71">
        <v>1615.7684999999999</v>
      </c>
      <c r="C2982" s="71">
        <v>7397553347.5017405</v>
      </c>
    </row>
    <row r="2983" spans="1:3" ht="13">
      <c r="A2983" s="72">
        <v>45205</v>
      </c>
      <c r="B2983" s="71">
        <v>1651.9305999999999</v>
      </c>
      <c r="C2983" s="71">
        <v>7777266053.2682896</v>
      </c>
    </row>
    <row r="2984" spans="1:3" ht="13">
      <c r="A2984" s="72">
        <v>45206</v>
      </c>
      <c r="B2984" s="71">
        <v>1644.3284000000001</v>
      </c>
      <c r="C2984" s="71">
        <v>6069228885.7595797</v>
      </c>
    </row>
    <row r="2985" spans="1:3" ht="13">
      <c r="A2985" s="72">
        <v>45207</v>
      </c>
      <c r="B2985" s="71">
        <v>1640.3531</v>
      </c>
      <c r="C2985" s="71">
        <v>4358015596.0801296</v>
      </c>
    </row>
    <row r="2986" spans="1:3" ht="13">
      <c r="A2986" s="72">
        <v>45208</v>
      </c>
      <c r="B2986" s="71">
        <v>1587.5407</v>
      </c>
      <c r="C2986" s="71">
        <v>6912591505.7073097</v>
      </c>
    </row>
    <row r="2987" spans="1:3" ht="13">
      <c r="A2987" s="72">
        <v>45209</v>
      </c>
      <c r="B2987" s="71">
        <v>1571.6147000000001</v>
      </c>
      <c r="C2987" s="71">
        <v>9096915923.8536491</v>
      </c>
    </row>
    <row r="2988" spans="1:3" ht="13">
      <c r="A2988" s="72">
        <v>45210</v>
      </c>
      <c r="B2988" s="71">
        <v>1570.2358999999999</v>
      </c>
      <c r="C2988" s="71">
        <v>8088662982.3066196</v>
      </c>
    </row>
    <row r="2989" spans="1:3" ht="13">
      <c r="A2989" s="72">
        <v>45211</v>
      </c>
      <c r="B2989" s="71">
        <v>1553.1663000000001</v>
      </c>
      <c r="C2989" s="71">
        <v>8505498927.7003403</v>
      </c>
    </row>
    <row r="2990" spans="1:3" ht="13">
      <c r="A2990" s="72">
        <v>45212</v>
      </c>
      <c r="B2990" s="71">
        <v>1563.3389999999999</v>
      </c>
      <c r="C2990" s="71">
        <v>9331673980.0522594</v>
      </c>
    </row>
    <row r="2991" spans="1:3" ht="13">
      <c r="A2991" s="72">
        <v>45213</v>
      </c>
      <c r="B2991" s="71">
        <v>1568.5790999999999</v>
      </c>
      <c r="C2991" s="71">
        <v>7685883448.5818796</v>
      </c>
    </row>
    <row r="2992" spans="1:3" ht="13">
      <c r="A2992" s="72">
        <v>45214</v>
      </c>
      <c r="B2992" s="71">
        <v>1572.1513</v>
      </c>
      <c r="C2992" s="71">
        <v>5386722153.6360397</v>
      </c>
    </row>
    <row r="2993" spans="1:3" ht="13">
      <c r="A2993" s="72">
        <v>45215</v>
      </c>
      <c r="B2993" s="71">
        <v>1604.0734</v>
      </c>
      <c r="C2993" s="71">
        <v>10070279751.0522</v>
      </c>
    </row>
    <row r="2994" spans="1:3" ht="13">
      <c r="A2994" s="72">
        <v>45216</v>
      </c>
      <c r="B2994" s="71">
        <v>1572.3634</v>
      </c>
      <c r="C2994" s="71">
        <v>10672499553.0487</v>
      </c>
    </row>
    <row r="2995" spans="1:3" ht="13">
      <c r="A2995" s="72">
        <v>45217</v>
      </c>
      <c r="B2995" s="71">
        <v>1574.0198</v>
      </c>
      <c r="C2995" s="71">
        <v>8605144306.13937</v>
      </c>
    </row>
    <row r="2996" spans="1:3" ht="13">
      <c r="A2996" s="72">
        <v>45218</v>
      </c>
      <c r="B2996" s="71">
        <v>1572.3438000000001</v>
      </c>
      <c r="C2996" s="71">
        <v>7175644671.5261297</v>
      </c>
    </row>
    <row r="2997" spans="1:3" ht="13">
      <c r="A2997" s="72">
        <v>45219</v>
      </c>
      <c r="B2997" s="71">
        <v>1611.9151999999999</v>
      </c>
      <c r="C2997" s="71">
        <v>9802329069.4668999</v>
      </c>
    </row>
    <row r="2998" spans="1:3" ht="13">
      <c r="A2998" s="72">
        <v>45220</v>
      </c>
      <c r="B2998" s="71">
        <v>1639.2141999999999</v>
      </c>
      <c r="C2998" s="71">
        <v>7867104282.9094</v>
      </c>
    </row>
    <row r="2999" spans="1:3" ht="13">
      <c r="A2999" s="72">
        <v>45221</v>
      </c>
      <c r="B2999" s="71">
        <v>1670.1238000000001</v>
      </c>
      <c r="C2999" s="71">
        <v>7991259163.4390202</v>
      </c>
    </row>
    <row r="3000" spans="1:3" ht="13">
      <c r="A3000" s="72">
        <v>45222</v>
      </c>
      <c r="B3000" s="71">
        <v>1768.0496000000001</v>
      </c>
      <c r="C3000" s="71">
        <v>12953552162.4181</v>
      </c>
    </row>
    <row r="3001" spans="1:3" ht="13">
      <c r="A3001" s="72">
        <v>45223</v>
      </c>
      <c r="B3001" s="71">
        <v>1784.0300999999999</v>
      </c>
      <c r="C3001" s="71">
        <v>26270889659.1567</v>
      </c>
    </row>
    <row r="3002" spans="1:3" ht="13">
      <c r="A3002" s="72">
        <v>45224</v>
      </c>
      <c r="B3002" s="71">
        <v>1787.9197999999999</v>
      </c>
      <c r="C3002" s="71">
        <v>16386723290.790899</v>
      </c>
    </row>
    <row r="3003" spans="1:3" ht="13">
      <c r="A3003" s="72">
        <v>45225</v>
      </c>
      <c r="B3003" s="71">
        <v>1808.1167</v>
      </c>
      <c r="C3003" s="71">
        <v>15196619687.578899</v>
      </c>
    </row>
    <row r="3004" spans="1:3" ht="13">
      <c r="A3004" s="72">
        <v>45226</v>
      </c>
      <c r="B3004" s="71">
        <v>1784.0364</v>
      </c>
      <c r="C3004" s="71">
        <v>13240044858.094</v>
      </c>
    </row>
    <row r="3005" spans="1:3" ht="13">
      <c r="A3005" s="72">
        <v>45227</v>
      </c>
      <c r="B3005" s="71">
        <v>1782.9946</v>
      </c>
      <c r="C3005" s="71">
        <v>8579366820.6968603</v>
      </c>
    </row>
    <row r="3006" spans="1:3" ht="13">
      <c r="A3006" s="72">
        <v>45228</v>
      </c>
      <c r="B3006" s="71">
        <v>1799.8851999999999</v>
      </c>
      <c r="C3006" s="71">
        <v>5395363593.7491198</v>
      </c>
    </row>
    <row r="3007" spans="1:3" ht="13">
      <c r="A3007" s="72">
        <v>45229</v>
      </c>
      <c r="B3007" s="71">
        <v>1813.0074999999999</v>
      </c>
      <c r="C3007" s="71">
        <v>8786102938.3728199</v>
      </c>
    </row>
    <row r="3008" spans="1:3" ht="13">
      <c r="A3008" s="72">
        <v>45230</v>
      </c>
      <c r="B3008" s="71">
        <v>1818.9075</v>
      </c>
      <c r="C3008" s="71">
        <v>9569735199.0243893</v>
      </c>
    </row>
    <row r="3009" spans="1:3" ht="13">
      <c r="A3009" s="72">
        <v>45231</v>
      </c>
      <c r="B3009" s="71">
        <v>1848.0509</v>
      </c>
      <c r="C3009" s="71">
        <v>10899701382.0557</v>
      </c>
    </row>
    <row r="3010" spans="1:3" ht="13">
      <c r="A3010" s="72">
        <v>45232</v>
      </c>
      <c r="B3010" s="71">
        <v>1802.7052000000001</v>
      </c>
      <c r="C3010" s="71">
        <v>16059571805.254299</v>
      </c>
    </row>
    <row r="3011" spans="1:3" ht="13">
      <c r="A3011" s="72">
        <v>45233</v>
      </c>
      <c r="B3011" s="71">
        <v>1841.2692</v>
      </c>
      <c r="C3011" s="71">
        <v>11616516962</v>
      </c>
    </row>
    <row r="3012" spans="1:3" ht="13">
      <c r="A3012" s="72">
        <v>45234</v>
      </c>
      <c r="B3012" s="71">
        <v>1866.3204000000001</v>
      </c>
      <c r="C3012" s="71">
        <v>9154967110.3763008</v>
      </c>
    </row>
    <row r="3013" spans="1:3" ht="13">
      <c r="A3013" s="72">
        <v>45235</v>
      </c>
      <c r="B3013" s="71">
        <v>1898.5157999999999</v>
      </c>
      <c r="C3013" s="71">
        <v>9634724737.8118401</v>
      </c>
    </row>
    <row r="3014" spans="1:3" ht="13">
      <c r="A3014" s="72">
        <v>45236</v>
      </c>
      <c r="B3014" s="71">
        <v>1903.7499</v>
      </c>
      <c r="C3014" s="71">
        <v>12539063130.6933</v>
      </c>
    </row>
    <row r="3015" spans="1:3" ht="13">
      <c r="A3015" s="72">
        <v>45237</v>
      </c>
      <c r="B3015" s="71">
        <v>1893.7437</v>
      </c>
      <c r="C3015" s="71">
        <v>11806166638.6689</v>
      </c>
    </row>
    <row r="3016" spans="1:3" ht="13">
      <c r="A3016" s="72">
        <v>45238</v>
      </c>
      <c r="B3016" s="71">
        <v>1897.7761</v>
      </c>
      <c r="C3016" s="71">
        <v>10796369951.135799</v>
      </c>
    </row>
    <row r="3017" spans="1:3" ht="13">
      <c r="A3017" s="72">
        <v>45239</v>
      </c>
      <c r="B3017" s="71">
        <v>2129.0592999999999</v>
      </c>
      <c r="C3017" s="71">
        <v>17992766491.766499</v>
      </c>
    </row>
    <row r="3018" spans="1:3" ht="13">
      <c r="A3018" s="72">
        <v>45240</v>
      </c>
      <c r="B3018" s="71">
        <v>2081.4277999999999</v>
      </c>
      <c r="C3018" s="71">
        <v>33261575272.728199</v>
      </c>
    </row>
    <row r="3019" spans="1:3" ht="13">
      <c r="A3019" s="72">
        <v>45241</v>
      </c>
      <c r="B3019" s="71">
        <v>2053.8474999999999</v>
      </c>
      <c r="C3019" s="71">
        <v>15792919049.299601</v>
      </c>
    </row>
    <row r="3020" spans="1:3" ht="13">
      <c r="A3020" s="72">
        <v>45242</v>
      </c>
      <c r="B3020" s="71">
        <v>2050.0758999999998</v>
      </c>
      <c r="C3020" s="71">
        <v>11809527304.6271</v>
      </c>
    </row>
    <row r="3021" spans="1:3" ht="13">
      <c r="A3021" s="72">
        <v>45243</v>
      </c>
      <c r="B3021" s="71">
        <v>2062.0338000000002</v>
      </c>
      <c r="C3021" s="71">
        <v>14153405301.8118</v>
      </c>
    </row>
    <row r="3022" spans="1:3" ht="13">
      <c r="A3022" s="72">
        <v>45244</v>
      </c>
      <c r="B3022" s="71">
        <v>1984.9427000000001</v>
      </c>
      <c r="C3022" s="71">
        <v>16840325091.0522</v>
      </c>
    </row>
    <row r="3023" spans="1:3" ht="13">
      <c r="A3023" s="72">
        <v>45245</v>
      </c>
      <c r="B3023" s="71">
        <v>2063.7204999999999</v>
      </c>
      <c r="C3023" s="71">
        <v>16177509882.2264</v>
      </c>
    </row>
    <row r="3024" spans="1:3" ht="13">
      <c r="A3024" s="72">
        <v>45246</v>
      </c>
      <c r="B3024" s="71">
        <v>1967.1746000000001</v>
      </c>
      <c r="C3024" s="71">
        <v>16917261810.2229</v>
      </c>
    </row>
    <row r="3025" spans="1:3" ht="13">
      <c r="A3025" s="72">
        <v>45247</v>
      </c>
      <c r="B3025" s="71">
        <v>1963.0612000000001</v>
      </c>
      <c r="C3025" s="71">
        <v>16586139923.7491</v>
      </c>
    </row>
    <row r="3026" spans="1:3" ht="13">
      <c r="A3026" s="72">
        <v>45248</v>
      </c>
      <c r="B3026" s="71">
        <v>1970.76</v>
      </c>
      <c r="C3026" s="71">
        <v>12365333494.5331</v>
      </c>
    </row>
    <row r="3027" spans="1:3" ht="13">
      <c r="A3027" s="72">
        <v>45249</v>
      </c>
      <c r="B3027" s="71">
        <v>2017.84</v>
      </c>
      <c r="C3027" s="71">
        <v>8541646952.0801296</v>
      </c>
    </row>
    <row r="3028" spans="1:3" ht="13">
      <c r="A3028" s="72">
        <v>45250</v>
      </c>
      <c r="B3028" s="71">
        <v>2026.0671</v>
      </c>
      <c r="C3028" s="71">
        <v>12166222678.9128</v>
      </c>
    </row>
    <row r="3029" spans="1:3" ht="13">
      <c r="A3029" s="72">
        <v>45251</v>
      </c>
      <c r="B3029" s="71">
        <v>1947.2728999999999</v>
      </c>
      <c r="C3029" s="71">
        <v>15043384930.0383</v>
      </c>
    </row>
    <row r="3030" spans="1:3" ht="13">
      <c r="A3030" s="72">
        <v>45252</v>
      </c>
      <c r="B3030" s="71">
        <v>2068.7505000000001</v>
      </c>
      <c r="C3030" s="71">
        <v>18773808448.543499</v>
      </c>
    </row>
    <row r="3031" spans="1:3" ht="13">
      <c r="A3031" s="72">
        <v>45253</v>
      </c>
      <c r="B3031" s="71">
        <v>2065.4121</v>
      </c>
      <c r="C3031" s="71">
        <v>15850314540.5574</v>
      </c>
    </row>
    <row r="3032" spans="1:3" ht="13">
      <c r="A3032" s="72">
        <v>45254</v>
      </c>
      <c r="B3032" s="71">
        <v>2083.1145999999999</v>
      </c>
      <c r="C3032" s="71">
        <v>12869322702.250799</v>
      </c>
    </row>
    <row r="3033" spans="1:3" ht="13">
      <c r="A3033" s="72">
        <v>45255</v>
      </c>
      <c r="B3033" s="71">
        <v>2091.0072</v>
      </c>
      <c r="C3033" s="71">
        <v>13422968595.543501</v>
      </c>
    </row>
    <row r="3034" spans="1:3" ht="13">
      <c r="A3034" s="72">
        <v>45256</v>
      </c>
      <c r="B3034" s="71">
        <v>2067.4395</v>
      </c>
      <c r="C3034" s="71">
        <v>7960954209.4245596</v>
      </c>
    </row>
    <row r="3035" spans="1:3" ht="13">
      <c r="A3035" s="72">
        <v>45257</v>
      </c>
      <c r="B3035" s="71">
        <v>2033.8878999999999</v>
      </c>
      <c r="C3035" s="71">
        <v>12626288789.9547</v>
      </c>
    </row>
    <row r="3036" spans="1:3" ht="13">
      <c r="A3036" s="72">
        <v>45258</v>
      </c>
      <c r="B3036" s="71">
        <v>2053.6950000000002</v>
      </c>
      <c r="C3036" s="71">
        <v>13780640658.5972</v>
      </c>
    </row>
    <row r="3037" spans="1:3" ht="13">
      <c r="A3037" s="72">
        <v>45259</v>
      </c>
      <c r="B3037" s="71">
        <v>2034.9051999999999</v>
      </c>
      <c r="C3037" s="71">
        <v>12962173433.6458</v>
      </c>
    </row>
    <row r="3038" spans="1:3" ht="13">
      <c r="A3038" s="72">
        <v>45260</v>
      </c>
      <c r="B3038" s="71">
        <v>2059.6439999999998</v>
      </c>
      <c r="C3038" s="71">
        <v>10282780617.7048</v>
      </c>
    </row>
    <row r="3039" spans="1:3" ht="13">
      <c r="A3039" s="72">
        <v>45261</v>
      </c>
      <c r="B3039" s="71">
        <v>2088.1417000000001</v>
      </c>
      <c r="C3039" s="71">
        <v>12680883069.7167</v>
      </c>
    </row>
    <row r="3040" spans="1:3" ht="13">
      <c r="A3040" s="72">
        <v>45262</v>
      </c>
      <c r="B3040" s="71">
        <v>2168.3265000000001</v>
      </c>
      <c r="C3040" s="71">
        <v>11001425710.7003</v>
      </c>
    </row>
    <row r="3041" spans="1:3" ht="13">
      <c r="A3041" s="72">
        <v>45263</v>
      </c>
      <c r="B3041" s="71">
        <v>2194.5698000000002</v>
      </c>
      <c r="C3041" s="71">
        <v>12925542817.3484</v>
      </c>
    </row>
    <row r="3042" spans="1:3" ht="13">
      <c r="A3042" s="72">
        <v>45264</v>
      </c>
      <c r="B3042" s="71">
        <v>2246.8600999999999</v>
      </c>
      <c r="C3042" s="71">
        <v>17942397610.731701</v>
      </c>
    </row>
    <row r="3043" spans="1:3" ht="13">
      <c r="A3043" s="72">
        <v>45265</v>
      </c>
      <c r="B3043" s="71">
        <v>2296.1147999999998</v>
      </c>
      <c r="C3043" s="71">
        <v>17307183878.8223</v>
      </c>
    </row>
    <row r="3044" spans="1:3" ht="13">
      <c r="A3044" s="72">
        <v>45266</v>
      </c>
      <c r="B3044" s="71">
        <v>2232.6381000000001</v>
      </c>
      <c r="C3044" s="71">
        <v>20327258586.567902</v>
      </c>
    </row>
    <row r="3045" spans="1:3" ht="13">
      <c r="A3045" s="72">
        <v>45267</v>
      </c>
      <c r="B3045" s="71">
        <v>2359.8526000000002</v>
      </c>
      <c r="C3045" s="71">
        <v>15551563502.1777</v>
      </c>
    </row>
    <row r="3046" spans="1:3" ht="13">
      <c r="A3046" s="72">
        <v>45268</v>
      </c>
      <c r="B3046" s="71">
        <v>2365.7928000000002</v>
      </c>
      <c r="C3046" s="71">
        <v>19026401682.424999</v>
      </c>
    </row>
    <row r="3047" spans="1:3" ht="13">
      <c r="A3047" s="72">
        <v>45269</v>
      </c>
      <c r="B3047" s="71">
        <v>2347.8793999999998</v>
      </c>
      <c r="C3047" s="71">
        <v>14883172926.0662</v>
      </c>
    </row>
    <row r="3048" spans="1:3" ht="13">
      <c r="A3048" s="72">
        <v>45270</v>
      </c>
      <c r="B3048" s="71">
        <v>2367.2262999999998</v>
      </c>
      <c r="C3048" s="71">
        <v>11316445443.247299</v>
      </c>
    </row>
    <row r="3049" spans="1:3" ht="13">
      <c r="A3049" s="72">
        <v>45271</v>
      </c>
      <c r="B3049" s="71">
        <v>2226.3719000000001</v>
      </c>
      <c r="C3049" s="71">
        <v>17070233379.844999</v>
      </c>
    </row>
    <row r="3050" spans="1:3" ht="13">
      <c r="A3050" s="72">
        <v>45272</v>
      </c>
      <c r="B3050" s="71">
        <v>2211.4454000000001</v>
      </c>
      <c r="C3050" s="71">
        <v>17509170039.5853</v>
      </c>
    </row>
    <row r="3051" spans="1:3" ht="13">
      <c r="A3051" s="72">
        <v>45273</v>
      </c>
      <c r="B3051" s="71">
        <v>2270.0679</v>
      </c>
      <c r="C3051" s="71">
        <v>15418236983.4965</v>
      </c>
    </row>
    <row r="3052" spans="1:3" ht="13">
      <c r="A3052" s="72">
        <v>45274</v>
      </c>
      <c r="B3052" s="71">
        <v>2321.5086000000001</v>
      </c>
      <c r="C3052" s="71">
        <v>15912075464.724701</v>
      </c>
    </row>
    <row r="3053" spans="1:3" ht="13">
      <c r="A3053" s="72">
        <v>45275</v>
      </c>
      <c r="B3053" s="71">
        <v>2226.2631000000001</v>
      </c>
      <c r="C3053" s="71">
        <v>15541900763.0313</v>
      </c>
    </row>
    <row r="3054" spans="1:3" ht="13">
      <c r="A3054" s="72">
        <v>45276</v>
      </c>
      <c r="B3054" s="71">
        <v>2237.8364000000001</v>
      </c>
      <c r="C3054" s="71">
        <v>11738110573.306601</v>
      </c>
    </row>
    <row r="3055" spans="1:3" ht="13">
      <c r="A3055" s="72">
        <v>45277</v>
      </c>
      <c r="B3055" s="71">
        <v>2209.3411999999998</v>
      </c>
      <c r="C3055" s="71">
        <v>8861064803.9372807</v>
      </c>
    </row>
    <row r="3056" spans="1:3" ht="13">
      <c r="A3056" s="72">
        <v>45278</v>
      </c>
      <c r="B3056" s="71">
        <v>2219.8065000000001</v>
      </c>
      <c r="C3056" s="71">
        <v>12043900808.1045</v>
      </c>
    </row>
    <row r="3057" spans="1:3" ht="13">
      <c r="A3057" s="72">
        <v>45279</v>
      </c>
      <c r="B3057" s="71">
        <v>2182.7851999999998</v>
      </c>
      <c r="C3057" s="71">
        <v>14063390675.264799</v>
      </c>
    </row>
    <row r="3058" spans="1:3" ht="13">
      <c r="A3058" s="72">
        <v>45280</v>
      </c>
      <c r="B3058" s="71">
        <v>2203.634</v>
      </c>
      <c r="C3058" s="71">
        <v>14297461493.682899</v>
      </c>
    </row>
    <row r="3059" spans="1:3" ht="13">
      <c r="A3059" s="72">
        <v>45281</v>
      </c>
      <c r="B3059" s="71">
        <v>2241.3123999999998</v>
      </c>
      <c r="C3059" s="71">
        <v>16931218256.491199</v>
      </c>
    </row>
    <row r="3060" spans="1:3" ht="13">
      <c r="A3060" s="72">
        <v>45282</v>
      </c>
      <c r="B3060" s="71">
        <v>2334.5749000000001</v>
      </c>
      <c r="C3060" s="71">
        <v>19761317473.707298</v>
      </c>
    </row>
    <row r="3061" spans="1:3" ht="13">
      <c r="A3061" s="72">
        <v>45283</v>
      </c>
      <c r="B3061" s="71">
        <v>2324.5016999999998</v>
      </c>
      <c r="C3061" s="71">
        <v>15453294959.477301</v>
      </c>
    </row>
    <row r="3062" spans="1:3" ht="13">
      <c r="A3062" s="72">
        <v>45284</v>
      </c>
      <c r="B3062" s="71">
        <v>2281.7894999999999</v>
      </c>
      <c r="C3062" s="71">
        <v>10659466718.181101</v>
      </c>
    </row>
    <row r="3063" spans="1:3" ht="13">
      <c r="A3063" s="72">
        <v>45285</v>
      </c>
      <c r="B3063" s="71">
        <v>2277.8996999999999</v>
      </c>
      <c r="C3063" s="71">
        <v>10558970699.543501</v>
      </c>
    </row>
    <row r="3064" spans="1:3" ht="13">
      <c r="A3064" s="72">
        <v>45286</v>
      </c>
      <c r="B3064" s="71">
        <v>2236.0529999999999</v>
      </c>
      <c r="C3064" s="71">
        <v>12238437876.2787</v>
      </c>
    </row>
    <row r="3065" spans="1:3" ht="13">
      <c r="A3065" s="72">
        <v>45287</v>
      </c>
      <c r="B3065" s="71">
        <v>2382.9218999999998</v>
      </c>
      <c r="C3065" s="71">
        <v>14889105005.5993</v>
      </c>
    </row>
    <row r="3066" spans="1:3" ht="13">
      <c r="A3066" s="72">
        <v>45288</v>
      </c>
      <c r="B3066" s="71">
        <v>2354.3096</v>
      </c>
      <c r="C3066" s="71">
        <v>22036625668.738602</v>
      </c>
    </row>
    <row r="3067" spans="1:3" ht="13">
      <c r="A3067" s="72">
        <v>45289</v>
      </c>
      <c r="B3067" s="71">
        <v>2304.5868</v>
      </c>
      <c r="C3067" s="71">
        <v>18096331672.404099</v>
      </c>
    </row>
    <row r="3068" spans="1:3" ht="13">
      <c r="A3068" s="72">
        <v>45290</v>
      </c>
      <c r="B3068" s="71">
        <v>2307.4328999999998</v>
      </c>
      <c r="C3068" s="71">
        <v>13963348868.9128</v>
      </c>
    </row>
    <row r="3069" spans="1:3" ht="13">
      <c r="A3069" s="72">
        <v>45291</v>
      </c>
      <c r="B3069" s="71">
        <v>2290.7806</v>
      </c>
      <c r="C3069" s="71">
        <v>9328770192.1602707</v>
      </c>
    </row>
    <row r="3070" spans="1:3" ht="13">
      <c r="A3070" s="72">
        <v>45292</v>
      </c>
      <c r="B3070" s="71">
        <v>2364.7348999999999</v>
      </c>
      <c r="C3070" s="71">
        <v>9185275792.9965096</v>
      </c>
    </row>
    <row r="3071" spans="1:3" ht="13">
      <c r="A3071" s="72">
        <v>45293</v>
      </c>
      <c r="B3071" s="71">
        <v>2362.6682000000001</v>
      </c>
      <c r="C3071" s="71">
        <v>14492633488.6411</v>
      </c>
    </row>
    <row r="3072" spans="1:3" ht="13">
      <c r="A3072" s="72">
        <v>45294</v>
      </c>
      <c r="B3072" s="71">
        <v>2212.1817999999998</v>
      </c>
      <c r="C3072" s="71">
        <v>30271585830.463402</v>
      </c>
    </row>
    <row r="3073" spans="1:3" ht="13">
      <c r="A3073" s="72">
        <v>45295</v>
      </c>
      <c r="B3073" s="71">
        <v>2273.3643000000002</v>
      </c>
      <c r="C3073" s="71">
        <v>43675967951.843201</v>
      </c>
    </row>
    <row r="3074" spans="1:3" ht="13">
      <c r="A3074" s="72">
        <v>45296</v>
      </c>
      <c r="B3074" s="71">
        <v>2267.6242000000002</v>
      </c>
      <c r="C3074" s="71">
        <v>36046712358.902397</v>
      </c>
    </row>
    <row r="3075" spans="1:3" ht="13">
      <c r="A3075" s="72">
        <v>45297</v>
      </c>
      <c r="B3075" s="71">
        <v>2242.0522000000001</v>
      </c>
      <c r="C3075" s="71">
        <v>35125683216.759499</v>
      </c>
    </row>
    <row r="3076" spans="1:3" ht="13">
      <c r="A3076" s="72">
        <v>45298</v>
      </c>
      <c r="B3076" s="71">
        <v>2223.9670999999998</v>
      </c>
      <c r="C3076" s="71">
        <v>33767850830.424999</v>
      </c>
    </row>
    <row r="3077" spans="1:3" ht="13">
      <c r="A3077" s="72">
        <v>45299</v>
      </c>
      <c r="B3077" s="71">
        <v>2331.6635999999999</v>
      </c>
      <c r="C3077" s="71">
        <v>45290627669.219498</v>
      </c>
    </row>
    <row r="3078" spans="1:3" ht="13">
      <c r="A3078" s="72">
        <v>45300</v>
      </c>
      <c r="B3078" s="71">
        <v>2344.5185999999999</v>
      </c>
      <c r="C3078" s="71">
        <v>39012477133.8013</v>
      </c>
    </row>
    <row r="3079" spans="1:3" ht="13">
      <c r="A3079" s="72">
        <v>45301</v>
      </c>
      <c r="B3079" s="71">
        <v>2584.8184000000001</v>
      </c>
      <c r="C3079" s="71">
        <v>26831117293.5121</v>
      </c>
    </row>
    <row r="3080" spans="1:3" ht="13">
      <c r="A3080" s="72">
        <v>45302</v>
      </c>
      <c r="B3080" s="71">
        <v>2621.2240999999999</v>
      </c>
      <c r="C3080" s="71">
        <v>38483748206.5923</v>
      </c>
    </row>
    <row r="3081" spans="1:3" ht="13">
      <c r="A3081" s="72">
        <v>45303</v>
      </c>
      <c r="B3081" s="71">
        <v>2525.3843999999999</v>
      </c>
      <c r="C3081" s="71">
        <v>26032705737.376301</v>
      </c>
    </row>
    <row r="3082" spans="1:3" ht="13">
      <c r="A3082" s="72">
        <v>45304</v>
      </c>
      <c r="B3082" s="71">
        <v>2577.8874000000001</v>
      </c>
      <c r="C3082" s="71">
        <v>27975502424.320499</v>
      </c>
    </row>
    <row r="3083" spans="1:3" ht="13">
      <c r="A3083" s="72">
        <v>45305</v>
      </c>
      <c r="B3083" s="71">
        <v>2475.2055</v>
      </c>
      <c r="C3083" s="71">
        <v>12911017679.0627</v>
      </c>
    </row>
    <row r="3084" spans="1:3" ht="13">
      <c r="A3084" s="72">
        <v>45306</v>
      </c>
      <c r="B3084" s="71">
        <v>2518.5583999999999</v>
      </c>
      <c r="C3084" s="71">
        <v>13574721954.261299</v>
      </c>
    </row>
    <row r="3085" spans="1:3" ht="13">
      <c r="A3085" s="72">
        <v>45307</v>
      </c>
      <c r="B3085" s="71">
        <v>2591.9987999999998</v>
      </c>
      <c r="C3085" s="71">
        <v>12057109216.993</v>
      </c>
    </row>
    <row r="3086" spans="1:3" ht="13">
      <c r="A3086" s="72">
        <v>45308</v>
      </c>
      <c r="B3086" s="71">
        <v>2531.9047999999998</v>
      </c>
      <c r="C3086" s="71">
        <v>15327106103.648001</v>
      </c>
    </row>
    <row r="3087" spans="1:3" ht="13">
      <c r="A3087" s="72">
        <v>45309</v>
      </c>
      <c r="B3087" s="71">
        <v>2471.5513999999998</v>
      </c>
      <c r="C3087" s="71">
        <v>14412902514.2752</v>
      </c>
    </row>
    <row r="3088" spans="1:3" ht="13">
      <c r="A3088" s="72">
        <v>45310</v>
      </c>
      <c r="B3088" s="71">
        <v>2494.3613999999998</v>
      </c>
      <c r="C3088" s="71">
        <v>16761992257.4181</v>
      </c>
    </row>
    <row r="3089" spans="1:3" ht="13">
      <c r="A3089" s="72">
        <v>45311</v>
      </c>
      <c r="B3089" s="71">
        <v>2475.8202000000001</v>
      </c>
      <c r="C3089" s="71">
        <v>13074922526.487801</v>
      </c>
    </row>
    <row r="3090" spans="1:3" ht="13">
      <c r="A3090" s="72">
        <v>45312</v>
      </c>
      <c r="B3090" s="71">
        <v>2462.9212000000002</v>
      </c>
      <c r="C3090" s="71">
        <v>6537648899.4703798</v>
      </c>
    </row>
    <row r="3091" spans="1:3" ht="13">
      <c r="A3091" s="72">
        <v>45313</v>
      </c>
      <c r="B3091" s="71">
        <v>2314.0749000000001</v>
      </c>
      <c r="C3091" s="71">
        <v>11764931212.289101</v>
      </c>
    </row>
    <row r="3092" spans="1:3" ht="13">
      <c r="A3092" s="72">
        <v>45314</v>
      </c>
      <c r="B3092" s="71">
        <v>2245.9684000000002</v>
      </c>
      <c r="C3092" s="71">
        <v>20446886694.738602</v>
      </c>
    </row>
    <row r="3093" spans="1:3" ht="13">
      <c r="A3093" s="72">
        <v>45315</v>
      </c>
      <c r="B3093" s="71">
        <v>2242.5731000000001</v>
      </c>
      <c r="C3093" s="71">
        <v>18603345288.299599</v>
      </c>
    </row>
    <row r="3094" spans="1:3" ht="13">
      <c r="A3094" s="72">
        <v>45316</v>
      </c>
      <c r="B3094" s="71">
        <v>2225.0666999999999</v>
      </c>
      <c r="C3094" s="71">
        <v>12003582601.4111</v>
      </c>
    </row>
    <row r="3095" spans="1:3" ht="13">
      <c r="A3095" s="72">
        <v>45317</v>
      </c>
      <c r="B3095" s="71">
        <v>2273.8506000000002</v>
      </c>
      <c r="C3095" s="71">
        <v>12957499757.087099</v>
      </c>
    </row>
    <row r="3096" spans="1:3" ht="13">
      <c r="A3096" s="72">
        <v>45318</v>
      </c>
      <c r="B3096" s="71">
        <v>2279.8939</v>
      </c>
      <c r="C3096" s="71">
        <v>11029384042.4494</v>
      </c>
    </row>
    <row r="3097" spans="1:3" ht="13">
      <c r="A3097" s="72">
        <v>45319</v>
      </c>
      <c r="B3097" s="71">
        <v>2265.7800999999999</v>
      </c>
      <c r="C3097" s="71">
        <v>8292817062.3658504</v>
      </c>
    </row>
    <row r="3098" spans="1:3" ht="13">
      <c r="A3098" s="72">
        <v>45320</v>
      </c>
      <c r="B3098" s="71">
        <v>2322.1758</v>
      </c>
      <c r="C3098" s="71">
        <v>10111488487.8466</v>
      </c>
    </row>
    <row r="3099" spans="1:3" ht="13">
      <c r="A3099" s="72">
        <v>45321</v>
      </c>
      <c r="B3099" s="71">
        <v>2352.9495999999999</v>
      </c>
      <c r="C3099" s="71">
        <v>13153625531.2055</v>
      </c>
    </row>
    <row r="3100" spans="1:3" ht="13">
      <c r="A3100" s="72">
        <v>45322</v>
      </c>
      <c r="B3100" s="71">
        <v>2290.0626000000002</v>
      </c>
      <c r="C3100" s="71">
        <v>14902809883.076599</v>
      </c>
    </row>
    <row r="3101" spans="1:3" ht="13">
      <c r="A3101" s="72">
        <v>45323</v>
      </c>
      <c r="B3101" s="71">
        <v>2309.7864</v>
      </c>
      <c r="C3101" s="71">
        <v>14713552489.602699</v>
      </c>
    </row>
    <row r="3102" spans="1:3" ht="13">
      <c r="A3102" s="72">
        <v>45324</v>
      </c>
      <c r="B3102" s="71">
        <v>2315.8757999999998</v>
      </c>
      <c r="C3102" s="71">
        <v>11267584415.8501</v>
      </c>
    </row>
    <row r="3103" spans="1:3" ht="13">
      <c r="A3103" s="72">
        <v>45325</v>
      </c>
      <c r="B3103" s="71">
        <v>2308.4016999999999</v>
      </c>
      <c r="C3103" s="71">
        <v>8691507738.8013897</v>
      </c>
    </row>
    <row r="3104" spans="1:3" ht="13">
      <c r="A3104" s="72">
        <v>45326</v>
      </c>
      <c r="B3104" s="71">
        <v>2300.7869000000001</v>
      </c>
      <c r="C3104" s="71">
        <v>6526883552.9512196</v>
      </c>
    </row>
    <row r="3105" spans="1:3" ht="13">
      <c r="A3105" s="72">
        <v>45327</v>
      </c>
      <c r="B3105" s="71">
        <v>2307.8870999999999</v>
      </c>
      <c r="C3105" s="71">
        <v>9642150758.5331001</v>
      </c>
    </row>
    <row r="3106" spans="1:3" ht="13">
      <c r="A3106" s="72">
        <v>45328</v>
      </c>
      <c r="B3106" s="71">
        <v>2378.9861000000001</v>
      </c>
      <c r="C3106" s="71">
        <v>11649482311.4599</v>
      </c>
    </row>
    <row r="3107" spans="1:3" ht="13">
      <c r="A3107" s="72">
        <v>45329</v>
      </c>
      <c r="B3107" s="71">
        <v>2433.4726000000001</v>
      </c>
      <c r="C3107" s="71">
        <v>12917910325.365801</v>
      </c>
    </row>
    <row r="3108" spans="1:3" ht="13">
      <c r="A3108" s="72">
        <v>45330</v>
      </c>
      <c r="B3108" s="71">
        <v>2430.7954</v>
      </c>
      <c r="C3108" s="71">
        <v>13961323062.0313</v>
      </c>
    </row>
    <row r="3109" spans="1:3" ht="13">
      <c r="A3109" s="72">
        <v>45331</v>
      </c>
      <c r="B3109" s="71">
        <v>2496.3296999999998</v>
      </c>
      <c r="C3109" s="71">
        <v>15129231226.438999</v>
      </c>
    </row>
    <row r="3110" spans="1:3" ht="13">
      <c r="A3110" s="72">
        <v>45332</v>
      </c>
      <c r="B3110" s="71">
        <v>2508.1581000000001</v>
      </c>
      <c r="C3110" s="71">
        <v>14142539283.320499</v>
      </c>
    </row>
    <row r="3111" spans="1:3" ht="13">
      <c r="A3111" s="72">
        <v>45333</v>
      </c>
      <c r="B3111" s="71">
        <v>2513.6970000000001</v>
      </c>
      <c r="C3111" s="71">
        <v>10127308481.7526</v>
      </c>
    </row>
    <row r="3112" spans="1:3" ht="13">
      <c r="A3112" s="72">
        <v>45334</v>
      </c>
      <c r="B3112" s="71">
        <v>2665.8712999999998</v>
      </c>
      <c r="C3112" s="71">
        <v>11554966027.1742</v>
      </c>
    </row>
    <row r="3113" spans="1:3" ht="13">
      <c r="A3113" s="72">
        <v>45335</v>
      </c>
      <c r="B3113" s="71">
        <v>2651.6867999999999</v>
      </c>
      <c r="C3113" s="71">
        <v>20612895019.299599</v>
      </c>
    </row>
    <row r="3114" spans="1:3" ht="13">
      <c r="A3114" s="72">
        <v>45336</v>
      </c>
      <c r="B3114" s="71">
        <v>2785.6156000000001</v>
      </c>
      <c r="C3114" s="71">
        <v>18386226736.2369</v>
      </c>
    </row>
    <row r="3115" spans="1:3" ht="13">
      <c r="A3115" s="72">
        <v>45337</v>
      </c>
      <c r="B3115" s="71">
        <v>2830.3881999999999</v>
      </c>
      <c r="C3115" s="71">
        <v>20182399805.3554</v>
      </c>
    </row>
    <row r="3116" spans="1:3" ht="13">
      <c r="A3116" s="72">
        <v>45338</v>
      </c>
      <c r="B3116" s="71">
        <v>2814.5880999999999</v>
      </c>
      <c r="C3116" s="71">
        <v>20277716111.8536</v>
      </c>
    </row>
    <row r="3117" spans="1:3" ht="13">
      <c r="A3117" s="72">
        <v>45339</v>
      </c>
      <c r="B3117" s="71">
        <v>2800.9726999999998</v>
      </c>
      <c r="C3117" s="71">
        <v>15941577206.0522</v>
      </c>
    </row>
    <row r="3118" spans="1:3" ht="13">
      <c r="A3118" s="72">
        <v>45340</v>
      </c>
      <c r="B3118" s="71">
        <v>2885.0803000000001</v>
      </c>
      <c r="C3118" s="71">
        <v>13290934981.209</v>
      </c>
    </row>
    <row r="3119" spans="1:3" ht="13">
      <c r="A3119" s="72">
        <v>45341</v>
      </c>
      <c r="B3119" s="71">
        <v>2949.5590000000002</v>
      </c>
      <c r="C3119" s="71">
        <v>17499642240.529598</v>
      </c>
    </row>
    <row r="3120" spans="1:3" ht="13">
      <c r="A3120" s="72">
        <v>45342</v>
      </c>
      <c r="B3120" s="71">
        <v>3018.2710000000002</v>
      </c>
      <c r="C3120" s="71">
        <v>22327755664.529598</v>
      </c>
    </row>
    <row r="3121" spans="1:3" ht="13">
      <c r="A3121" s="72">
        <v>45343</v>
      </c>
      <c r="B3121" s="71">
        <v>2979.3780000000002</v>
      </c>
      <c r="C3121" s="71">
        <v>26361613659.055698</v>
      </c>
    </row>
    <row r="3122" spans="1:3" ht="13">
      <c r="A3122" s="72">
        <v>45344</v>
      </c>
      <c r="B3122" s="71">
        <v>2976.6605</v>
      </c>
      <c r="C3122" s="71">
        <v>25167939532.2682</v>
      </c>
    </row>
    <row r="3123" spans="1:3" ht="13">
      <c r="A3123" s="72">
        <v>45345</v>
      </c>
      <c r="B3123" s="71">
        <v>2933.4654999999998</v>
      </c>
      <c r="C3123" s="71">
        <v>21874670149.494701</v>
      </c>
    </row>
    <row r="3124" spans="1:3" ht="13">
      <c r="A3124" s="72">
        <v>45346</v>
      </c>
      <c r="B3124" s="71">
        <v>2999.7237</v>
      </c>
      <c r="C3124" s="71">
        <v>15642677136.080099</v>
      </c>
    </row>
    <row r="3125" spans="1:3" ht="13">
      <c r="A3125" s="72">
        <v>45347</v>
      </c>
      <c r="B3125" s="71">
        <v>3116.6889000000001</v>
      </c>
      <c r="C3125" s="71">
        <v>15293885853.898899</v>
      </c>
    </row>
    <row r="3126" spans="1:3" ht="13">
      <c r="A3126" s="72">
        <v>45348</v>
      </c>
      <c r="B3126" s="71">
        <v>3181.2966000000001</v>
      </c>
      <c r="C3126" s="71">
        <v>22535983213.3414</v>
      </c>
    </row>
    <row r="3127" spans="1:3" ht="13">
      <c r="A3127" s="72">
        <v>45349</v>
      </c>
      <c r="B3127" s="71">
        <v>3247.6035999999999</v>
      </c>
      <c r="C3127" s="71">
        <v>30298112730.0452</v>
      </c>
    </row>
    <row r="3128" spans="1:3" ht="13">
      <c r="A3128" s="72">
        <v>45350</v>
      </c>
      <c r="B3128" s="71">
        <v>3384.5945999999999</v>
      </c>
      <c r="C3128" s="71">
        <v>30562577565.264801</v>
      </c>
    </row>
    <row r="3129" spans="1:3" ht="13">
      <c r="A3129" s="72">
        <v>45351</v>
      </c>
      <c r="B3129" s="71">
        <v>3352.4294</v>
      </c>
      <c r="C3129" s="71">
        <v>47452741624.529602</v>
      </c>
    </row>
    <row r="3130" spans="1:3" ht="13">
      <c r="A3130" s="72">
        <v>45352</v>
      </c>
      <c r="B3130" s="71">
        <v>3443.7937000000002</v>
      </c>
      <c r="C3130" s="71">
        <v>31180734859.7421</v>
      </c>
    </row>
    <row r="3131" spans="1:3" ht="13">
      <c r="A3131" s="72">
        <v>45353</v>
      </c>
      <c r="B3131" s="71">
        <v>3432.7062999999998</v>
      </c>
      <c r="C3131" s="71">
        <v>19683483285.6376</v>
      </c>
    </row>
    <row r="3132" spans="1:3" ht="13">
      <c r="A3132" s="72">
        <v>45354</v>
      </c>
      <c r="B3132" s="71">
        <v>3498.5837999999999</v>
      </c>
      <c r="C3132" s="71">
        <v>16299914909.303101</v>
      </c>
    </row>
    <row r="3133" spans="1:3" ht="13">
      <c r="A3133" s="72">
        <v>45355</v>
      </c>
      <c r="B3133" s="71">
        <v>3635.9353000000001</v>
      </c>
      <c r="C3133" s="71">
        <v>25816553469</v>
      </c>
    </row>
    <row r="3134" spans="1:3" ht="13">
      <c r="A3134" s="72">
        <v>45356</v>
      </c>
      <c r="B3134" s="71">
        <v>3568.8762999999999</v>
      </c>
      <c r="C3134" s="71">
        <v>46819957537.747299</v>
      </c>
    </row>
    <row r="3135" spans="1:3" ht="13">
      <c r="A3135" s="72">
        <v>45357</v>
      </c>
      <c r="B3135" s="71">
        <v>3828.5981999999999</v>
      </c>
      <c r="C3135" s="71">
        <v>65334878536.797897</v>
      </c>
    </row>
    <row r="3136" spans="1:3" ht="13">
      <c r="A3136" s="72">
        <v>45358</v>
      </c>
      <c r="B3136" s="71">
        <v>3871.5942</v>
      </c>
      <c r="C3136" s="71">
        <v>36303801550.452904</v>
      </c>
    </row>
    <row r="3137" spans="1:3" ht="13">
      <c r="A3137" s="72">
        <v>45359</v>
      </c>
      <c r="B3137" s="71">
        <v>3894.9458</v>
      </c>
      <c r="C3137" s="71">
        <v>31443856716.763</v>
      </c>
    </row>
    <row r="3138" spans="1:3" ht="13">
      <c r="A3138" s="72">
        <v>45360</v>
      </c>
      <c r="B3138" s="71">
        <v>3922.0390000000002</v>
      </c>
      <c r="C3138" s="71">
        <v>28234929441.5331</v>
      </c>
    </row>
    <row r="3139" spans="1:3" ht="13">
      <c r="A3139" s="72">
        <v>45361</v>
      </c>
      <c r="B3139" s="71">
        <v>3895.0927000000001</v>
      </c>
      <c r="C3139" s="71">
        <v>17353264580.226398</v>
      </c>
    </row>
    <row r="3140" spans="1:3" ht="13">
      <c r="A3140" s="72">
        <v>45362</v>
      </c>
      <c r="B3140" s="71">
        <v>4073.1257000000001</v>
      </c>
      <c r="C3140" s="71">
        <v>30778140301.306599</v>
      </c>
    </row>
    <row r="3141" spans="1:3" ht="13">
      <c r="A3141" s="72">
        <v>45363</v>
      </c>
      <c r="B3141" s="71">
        <v>3982.9636</v>
      </c>
      <c r="C3141" s="71">
        <v>34803694659.452904</v>
      </c>
    </row>
    <row r="3142" spans="1:3" ht="13">
      <c r="A3142" s="72">
        <v>45364</v>
      </c>
      <c r="B3142" s="71">
        <v>4018.0569</v>
      </c>
      <c r="C3142" s="71">
        <v>33882154548.174198</v>
      </c>
    </row>
    <row r="3143" spans="1:3" ht="13">
      <c r="A3143" s="72">
        <v>45365</v>
      </c>
      <c r="B3143" s="71">
        <v>3890.384</v>
      </c>
      <c r="C3143" s="71">
        <v>29713647292.993</v>
      </c>
    </row>
    <row r="3144" spans="1:3" ht="13">
      <c r="A3144" s="72">
        <v>45366</v>
      </c>
      <c r="B3144" s="71">
        <v>3749.2040999999999</v>
      </c>
      <c r="C3144" s="71">
        <v>44055756685.150299</v>
      </c>
    </row>
    <row r="3145" spans="1:3" ht="13">
      <c r="A3145" s="72">
        <v>45367</v>
      </c>
      <c r="B3145" s="71">
        <v>3532.4625000000001</v>
      </c>
      <c r="C3145" s="71">
        <v>31656354992.613201</v>
      </c>
    </row>
    <row r="3146" spans="1:3" ht="13">
      <c r="A3146" s="72">
        <v>45368</v>
      </c>
      <c r="B3146" s="71">
        <v>3663.6151</v>
      </c>
      <c r="C3146" s="71">
        <v>30996885011.731701</v>
      </c>
    </row>
    <row r="3147" spans="1:3" ht="13">
      <c r="A3147" s="72">
        <v>45369</v>
      </c>
      <c r="B3147" s="71">
        <v>3528.6412999999998</v>
      </c>
      <c r="C3147" s="71">
        <v>25266583604.721199</v>
      </c>
    </row>
    <row r="3148" spans="1:3" ht="13">
      <c r="A3148" s="72">
        <v>45370</v>
      </c>
      <c r="B3148" s="71">
        <v>3170.3712</v>
      </c>
      <c r="C3148" s="71">
        <v>37630296750.114899</v>
      </c>
    </row>
    <row r="3149" spans="1:3" ht="13">
      <c r="A3149" s="72">
        <v>45371</v>
      </c>
      <c r="B3149" s="71">
        <v>3514.8143</v>
      </c>
      <c r="C3149" s="71">
        <v>47043055768.717697</v>
      </c>
    </row>
    <row r="3150" spans="1:3" ht="13">
      <c r="A3150" s="72">
        <v>45372</v>
      </c>
      <c r="B3150" s="71">
        <v>3501.3058000000001</v>
      </c>
      <c r="C3150" s="71">
        <v>44245048506.195099</v>
      </c>
    </row>
    <row r="3151" spans="1:3" ht="13">
      <c r="A3151" s="72">
        <v>45373</v>
      </c>
      <c r="B3151" s="71">
        <v>3326.7581</v>
      </c>
      <c r="C3151" s="71">
        <v>27183652182.027901</v>
      </c>
    </row>
    <row r="3152" spans="1:3" ht="13">
      <c r="A3152" s="72">
        <v>45374</v>
      </c>
      <c r="B3152" s="71">
        <v>3356.3987000000002</v>
      </c>
      <c r="C3152" s="71">
        <v>24481657007.9198</v>
      </c>
    </row>
    <row r="3153" spans="1:3" ht="13">
      <c r="A3153" s="72">
        <v>45375</v>
      </c>
      <c r="B3153" s="71">
        <v>3460.4793</v>
      </c>
      <c r="C3153" s="71">
        <v>16352496809.5888</v>
      </c>
    </row>
    <row r="3154" spans="1:3" ht="13">
      <c r="A3154" s="72">
        <v>45376</v>
      </c>
      <c r="B3154" s="71">
        <v>3591.7145999999998</v>
      </c>
      <c r="C3154" s="71">
        <v>19646724946.3554</v>
      </c>
    </row>
    <row r="3155" spans="1:3" ht="13">
      <c r="A3155" s="72">
        <v>45377</v>
      </c>
      <c r="B3155" s="71">
        <v>3595.4684000000002</v>
      </c>
      <c r="C3155" s="71">
        <v>26064494721.574902</v>
      </c>
    </row>
    <row r="3156" spans="1:3" ht="13">
      <c r="A3156" s="72">
        <v>45378</v>
      </c>
      <c r="B3156" s="71">
        <v>3509.6288</v>
      </c>
      <c r="C3156" s="71">
        <v>23415479518.8536</v>
      </c>
    </row>
    <row r="3157" spans="1:3" ht="13">
      <c r="A3157" s="72">
        <v>45379</v>
      </c>
      <c r="B3157" s="71">
        <v>3567.0538999999999</v>
      </c>
      <c r="C3157" s="71">
        <v>25601507536.755199</v>
      </c>
    </row>
    <row r="3158" spans="1:3" ht="13">
      <c r="A3158" s="72">
        <v>45380</v>
      </c>
      <c r="B3158" s="71">
        <v>3520.5030000000002</v>
      </c>
      <c r="C3158" s="71">
        <v>18536682158.290199</v>
      </c>
    </row>
    <row r="3159" spans="1:3" ht="13">
      <c r="A3159" s="72">
        <v>45381</v>
      </c>
      <c r="B3159" s="71">
        <v>3519.1419000000001</v>
      </c>
      <c r="C3159" s="71">
        <v>16656105596.7108</v>
      </c>
    </row>
    <row r="3160" spans="1:3" ht="13">
      <c r="A3160" s="72">
        <v>45382</v>
      </c>
      <c r="B3160" s="71">
        <v>3653.6502</v>
      </c>
      <c r="C3160" s="71">
        <v>14470853501.9233</v>
      </c>
    </row>
    <row r="3161" spans="1:3" ht="13">
      <c r="A3161" s="72">
        <v>45383</v>
      </c>
      <c r="B3161" s="71">
        <v>3511.6981000000001</v>
      </c>
      <c r="C3161" s="71">
        <v>18201134326.128899</v>
      </c>
    </row>
    <row r="3162" spans="1:3" ht="13">
      <c r="A3162" s="72">
        <v>45384</v>
      </c>
      <c r="B3162" s="71">
        <v>3279.5594000000001</v>
      </c>
      <c r="C3162" s="71">
        <v>28351731556.358799</v>
      </c>
    </row>
    <row r="3163" spans="1:3" ht="13">
      <c r="A3163" s="72">
        <v>45385</v>
      </c>
      <c r="B3163" s="71">
        <v>3321.2273</v>
      </c>
      <c r="C3163" s="71">
        <v>27226114831.296101</v>
      </c>
    </row>
    <row r="3164" spans="1:3" ht="13">
      <c r="A3164" s="72">
        <v>45386</v>
      </c>
      <c r="B3164" s="71">
        <v>3331.3942999999999</v>
      </c>
      <c r="C3164" s="71">
        <v>20347805872.010502</v>
      </c>
    </row>
    <row r="3165" spans="1:3" ht="13">
      <c r="A3165" s="72">
        <v>45387</v>
      </c>
      <c r="B3165" s="71">
        <v>3326.0610000000001</v>
      </c>
      <c r="C3165" s="71">
        <v>23831950603.118401</v>
      </c>
    </row>
    <row r="3166" spans="1:3" ht="13">
      <c r="A3166" s="72">
        <v>45388</v>
      </c>
      <c r="B3166" s="71">
        <v>3365.1664000000001</v>
      </c>
      <c r="C3166" s="71">
        <v>16843599707.247299</v>
      </c>
    </row>
    <row r="3167" spans="1:3" ht="13">
      <c r="A3167" s="72">
        <v>45389</v>
      </c>
      <c r="B3167" s="71">
        <v>3462.0488999999998</v>
      </c>
      <c r="C3167" s="71">
        <v>12749497898.470301</v>
      </c>
    </row>
    <row r="3168" spans="1:3" ht="13">
      <c r="A3168" s="72">
        <v>45390</v>
      </c>
      <c r="B3168" s="71">
        <v>3699.5419000000002</v>
      </c>
      <c r="C3168" s="71">
        <v>20463939705.550499</v>
      </c>
    </row>
    <row r="3169" spans="1:3" ht="13">
      <c r="A3169" s="72">
        <v>45391</v>
      </c>
      <c r="B3169" s="71">
        <v>3510.2154999999998</v>
      </c>
      <c r="C3169" s="71">
        <v>27414389831.8606</v>
      </c>
    </row>
    <row r="3170" spans="1:3" ht="13">
      <c r="A3170" s="72">
        <v>45392</v>
      </c>
      <c r="B3170" s="71">
        <v>3547.5273000000002</v>
      </c>
      <c r="C3170" s="71">
        <v>25494309764.8461</v>
      </c>
    </row>
    <row r="3171" spans="1:3" ht="13">
      <c r="A3171" s="72">
        <v>45393</v>
      </c>
      <c r="B3171" s="71">
        <v>3516.6995999999999</v>
      </c>
      <c r="C3171" s="71">
        <v>23359330960.536499</v>
      </c>
    </row>
    <row r="3172" spans="1:3" ht="13">
      <c r="A3172" s="72">
        <v>45394</v>
      </c>
      <c r="B3172" s="71">
        <v>3245.0983999999999</v>
      </c>
      <c r="C3172" s="71">
        <v>20597446897.686401</v>
      </c>
    </row>
    <row r="3173" spans="1:3" ht="13">
      <c r="A3173" s="72">
        <v>45395</v>
      </c>
      <c r="B3173" s="71">
        <v>3024.3586</v>
      </c>
      <c r="C3173" s="71">
        <v>32796794122.344898</v>
      </c>
    </row>
    <row r="3174" spans="1:3" ht="13">
      <c r="A3174" s="72">
        <v>45396</v>
      </c>
      <c r="B3174" s="71">
        <v>3155.7818000000002</v>
      </c>
      <c r="C3174" s="71">
        <v>45094615982.205498</v>
      </c>
    </row>
    <row r="3175" spans="1:3" ht="13">
      <c r="A3175" s="72">
        <v>45397</v>
      </c>
      <c r="B3175" s="71">
        <v>3104.8874999999998</v>
      </c>
      <c r="C3175" s="71">
        <v>30679480180.114899</v>
      </c>
    </row>
    <row r="3176" spans="1:3" ht="13">
      <c r="A3176" s="72">
        <v>45398</v>
      </c>
      <c r="B3176" s="71">
        <v>3085.2485000000001</v>
      </c>
      <c r="C3176" s="71">
        <v>29508772950.404099</v>
      </c>
    </row>
    <row r="3177" spans="1:3" ht="13">
      <c r="A3177" s="72">
        <v>45399</v>
      </c>
      <c r="B3177" s="71">
        <v>2986.9312</v>
      </c>
      <c r="C3177" s="71">
        <v>23766865779.351898</v>
      </c>
    </row>
    <row r="3178" spans="1:3" ht="13">
      <c r="A3178" s="72">
        <v>45400</v>
      </c>
      <c r="B3178" s="71">
        <v>3066.9058</v>
      </c>
      <c r="C3178" s="71">
        <v>24462589620.685501</v>
      </c>
    </row>
    <row r="3179" spans="1:3" ht="13">
      <c r="A3179" s="72">
        <v>45401</v>
      </c>
      <c r="B3179" s="71">
        <v>3066.9868999999999</v>
      </c>
      <c r="C3179" s="71">
        <v>26626321057.444</v>
      </c>
    </row>
    <row r="3180" spans="1:3" ht="13">
      <c r="A3180" s="72">
        <v>45402</v>
      </c>
      <c r="B3180" s="71">
        <v>3156.4933000000001</v>
      </c>
      <c r="C3180" s="71">
        <v>18414450765.3867</v>
      </c>
    </row>
    <row r="3181" spans="1:3" ht="13">
      <c r="A3181" s="72">
        <v>45403</v>
      </c>
      <c r="B3181" s="71">
        <v>3151.7936</v>
      </c>
      <c r="C3181" s="71">
        <v>13828359560.832701</v>
      </c>
    </row>
    <row r="3182" spans="1:3" ht="13">
      <c r="A3182" s="72">
        <v>45404</v>
      </c>
      <c r="B3182" s="71">
        <v>3205.1637999999998</v>
      </c>
      <c r="C3182" s="71">
        <v>15268999696.658501</v>
      </c>
    </row>
    <row r="3183" spans="1:3" ht="13">
      <c r="A3183" s="72">
        <v>45405</v>
      </c>
      <c r="B3183" s="71">
        <v>3222.9544000000001</v>
      </c>
      <c r="C3183" s="71">
        <v>15615157883.369301</v>
      </c>
    </row>
    <row r="3184" spans="1:3" ht="13">
      <c r="A3184" s="72">
        <v>45406</v>
      </c>
      <c r="B3184" s="71">
        <v>3143.4108000000001</v>
      </c>
      <c r="C3184" s="71">
        <v>16777945141.3484</v>
      </c>
    </row>
    <row r="3185" spans="1:3" ht="13">
      <c r="A3185" s="72">
        <v>45407</v>
      </c>
      <c r="B3185" s="71">
        <v>3160.3571999999999</v>
      </c>
      <c r="C3185" s="71">
        <v>20916663780.804798</v>
      </c>
    </row>
    <row r="3186" spans="1:3" ht="13">
      <c r="A3186" s="72">
        <v>45408</v>
      </c>
      <c r="B3186" s="71">
        <v>3136.4850000000001</v>
      </c>
      <c r="C3186" s="71">
        <v>17568442069.9338</v>
      </c>
    </row>
    <row r="3187" spans="1:3" ht="13">
      <c r="A3187" s="72">
        <v>45409</v>
      </c>
      <c r="B3187" s="71">
        <v>3266.4045000000001</v>
      </c>
      <c r="C3187" s="71">
        <v>16096897368.655001</v>
      </c>
    </row>
    <row r="3188" spans="1:3" ht="13">
      <c r="A3188" s="72">
        <v>45410</v>
      </c>
      <c r="B3188" s="71">
        <v>3267.5264000000002</v>
      </c>
      <c r="C3188" s="71">
        <v>17495409070.247299</v>
      </c>
    </row>
    <row r="3189" spans="1:3" ht="13">
      <c r="A3189" s="72">
        <v>45411</v>
      </c>
      <c r="B3189" s="71">
        <v>3221.3244</v>
      </c>
      <c r="C3189" s="71">
        <v>20112239962.3867</v>
      </c>
    </row>
    <row r="3190" spans="1:3" ht="13">
      <c r="A3190" s="72">
        <v>45412</v>
      </c>
      <c r="B3190" s="71">
        <v>3025.4553999999998</v>
      </c>
      <c r="C3190" s="71">
        <v>22560950656.4146</v>
      </c>
    </row>
    <row r="3191" spans="1:3" ht="13">
      <c r="A3191" s="72">
        <v>45413</v>
      </c>
      <c r="B3191" s="71">
        <v>2978.4627</v>
      </c>
      <c r="C3191" s="71">
        <v>27698776252.498199</v>
      </c>
    </row>
    <row r="3192" spans="1:3" ht="13">
      <c r="A3192" s="72">
        <v>45414</v>
      </c>
      <c r="B3192" s="71">
        <v>2996.1961000000001</v>
      </c>
      <c r="C3192" s="71">
        <v>24512610743.369301</v>
      </c>
    </row>
    <row r="3193" spans="1:3" ht="13">
      <c r="A3193" s="72">
        <v>45415</v>
      </c>
      <c r="B3193" s="71">
        <v>3109.1052</v>
      </c>
      <c r="C3193" s="71">
        <v>17797249529.780399</v>
      </c>
    </row>
    <row r="3194" spans="1:3" ht="13">
      <c r="A3194" s="72">
        <v>45416</v>
      </c>
      <c r="B3194" s="71">
        <v>3122.9548</v>
      </c>
      <c r="C3194" s="71">
        <v>16112788053.8745</v>
      </c>
    </row>
    <row r="3195" spans="1:3" ht="13">
      <c r="A3195" s="72">
        <v>45417</v>
      </c>
      <c r="B3195" s="71">
        <v>3145.7927</v>
      </c>
      <c r="C3195" s="71">
        <v>12769298228.2404</v>
      </c>
    </row>
    <row r="3196" spans="1:3" ht="13">
      <c r="A3196" s="72">
        <v>45418</v>
      </c>
      <c r="B3196" s="71">
        <v>3070.6776</v>
      </c>
      <c r="C3196" s="71">
        <v>14774931107.118401</v>
      </c>
    </row>
    <row r="3197" spans="1:3" ht="13">
      <c r="A3197" s="72">
        <v>45419</v>
      </c>
      <c r="B3197" s="71">
        <v>3018.8002999999999</v>
      </c>
      <c r="C3197" s="71">
        <v>18009353668.947701</v>
      </c>
    </row>
    <row r="3198" spans="1:3" ht="13">
      <c r="A3198" s="72">
        <v>45420</v>
      </c>
      <c r="B3198" s="71">
        <v>2980.2923000000001</v>
      </c>
      <c r="C3198" s="71">
        <v>16305526586.721201</v>
      </c>
    </row>
    <row r="3199" spans="1:3" ht="13">
      <c r="A3199" s="72">
        <v>45421</v>
      </c>
      <c r="B3199" s="71">
        <v>3041.4940999999999</v>
      </c>
      <c r="C3199" s="71">
        <v>15431620439.303101</v>
      </c>
    </row>
    <row r="3200" spans="1:3" ht="13">
      <c r="A3200" s="72">
        <v>45422</v>
      </c>
      <c r="B3200" s="71">
        <v>2914.7175000000002</v>
      </c>
      <c r="C3200" s="71">
        <v>15348847522.299601</v>
      </c>
    </row>
    <row r="3201" spans="1:3" ht="13">
      <c r="A3201" s="72">
        <v>45423</v>
      </c>
      <c r="B3201" s="71">
        <v>2917.5761000000002</v>
      </c>
      <c r="C3201" s="71">
        <v>14615951567.1637</v>
      </c>
    </row>
    <row r="3202" spans="1:3" ht="13">
      <c r="A3202" s="72">
        <v>45424</v>
      </c>
      <c r="B3202" s="71">
        <v>2940.0684000000001</v>
      </c>
      <c r="C3202" s="71">
        <v>8710887809.0418091</v>
      </c>
    </row>
    <row r="3203" spans="1:3" ht="13">
      <c r="A3203" s="72">
        <v>45425</v>
      </c>
      <c r="B3203" s="71">
        <v>2951.8969000000002</v>
      </c>
      <c r="C3203" s="71">
        <v>14451671027.114901</v>
      </c>
    </row>
    <row r="3204" spans="1:3" ht="13">
      <c r="A3204" s="72">
        <v>45426</v>
      </c>
      <c r="B3204" s="71">
        <v>2885.9470999999999</v>
      </c>
      <c r="C3204" s="71">
        <v>15243697099.0313</v>
      </c>
    </row>
    <row r="3205" spans="1:3" ht="13">
      <c r="A3205" s="72">
        <v>45427</v>
      </c>
      <c r="B3205" s="71">
        <v>3038.4018000000001</v>
      </c>
      <c r="C3205" s="71">
        <v>15530322763.8466</v>
      </c>
    </row>
    <row r="3206" spans="1:3" ht="13">
      <c r="A3206" s="72">
        <v>45428</v>
      </c>
      <c r="B3206" s="71">
        <v>2946.5250000000001</v>
      </c>
      <c r="C3206" s="71">
        <v>18409130091.707298</v>
      </c>
    </row>
    <row r="3207" spans="1:3" ht="13">
      <c r="A3207" s="72">
        <v>45429</v>
      </c>
      <c r="B3207" s="71">
        <v>3096.5567000000001</v>
      </c>
      <c r="C3207" s="71">
        <v>17499374712.2752</v>
      </c>
    </row>
    <row r="3208" spans="1:3" ht="13">
      <c r="A3208" s="72">
        <v>45430</v>
      </c>
      <c r="B3208" s="71">
        <v>3124.6459</v>
      </c>
      <c r="C3208" s="71">
        <v>15607196432.7491</v>
      </c>
    </row>
    <row r="3209" spans="1:3" ht="13">
      <c r="A3209" s="72">
        <v>45431</v>
      </c>
      <c r="B3209" s="71">
        <v>3077.2446</v>
      </c>
      <c r="C3209" s="71">
        <v>10498406217.547001</v>
      </c>
    </row>
    <row r="3210" spans="1:3" ht="13">
      <c r="A3210" s="72">
        <v>45432</v>
      </c>
      <c r="B3210" s="71">
        <v>3655.0761000000002</v>
      </c>
      <c r="C3210" s="71">
        <v>16711641275.9198</v>
      </c>
    </row>
    <row r="3211" spans="1:3" ht="13">
      <c r="A3211" s="72">
        <v>45433</v>
      </c>
      <c r="B3211" s="71">
        <v>3783.9724999999999</v>
      </c>
      <c r="C3211" s="71">
        <v>51567094232.365799</v>
      </c>
    </row>
    <row r="3212" spans="1:3" ht="13">
      <c r="A3212" s="72">
        <v>45434</v>
      </c>
      <c r="B3212" s="71">
        <v>3740.4041000000002</v>
      </c>
      <c r="C3212" s="71">
        <v>40014294156.902397</v>
      </c>
    </row>
    <row r="3213" spans="1:3" ht="13">
      <c r="A3213" s="72">
        <v>45435</v>
      </c>
      <c r="B3213" s="71">
        <v>3762.9906000000001</v>
      </c>
      <c r="C3213" s="71">
        <v>38218067429.250801</v>
      </c>
    </row>
    <row r="3214" spans="1:3" ht="13">
      <c r="A3214" s="72">
        <v>45436</v>
      </c>
      <c r="B3214" s="71">
        <v>3729.3849</v>
      </c>
      <c r="C3214" s="71">
        <v>50662180631.808296</v>
      </c>
    </row>
    <row r="3215" spans="1:3" ht="13">
      <c r="A3215" s="72">
        <v>45437</v>
      </c>
      <c r="B3215" s="71">
        <v>3746.9926999999998</v>
      </c>
      <c r="C3215" s="71">
        <v>21662918305.146301</v>
      </c>
    </row>
    <row r="3216" spans="1:3" ht="13">
      <c r="A3216" s="72">
        <v>45438</v>
      </c>
      <c r="B3216" s="71">
        <v>3802.9031</v>
      </c>
      <c r="C3216" s="71">
        <v>17103181755.1045</v>
      </c>
    </row>
    <row r="3217" spans="1:3" ht="13">
      <c r="A3217" s="72">
        <v>45439</v>
      </c>
      <c r="B3217" s="71">
        <v>3863.3463000000002</v>
      </c>
      <c r="C3217" s="71">
        <v>23755397501.554001</v>
      </c>
    </row>
    <row r="3218" spans="1:3" ht="13">
      <c r="A3218" s="72">
        <v>45440</v>
      </c>
      <c r="B3218" s="71">
        <v>3821.6187</v>
      </c>
      <c r="C3218" s="71">
        <v>25053251979.1637</v>
      </c>
    </row>
    <row r="3219" spans="1:3" ht="13">
      <c r="A3219" s="72">
        <v>45441</v>
      </c>
      <c r="B3219" s="71">
        <v>3760.2262999999998</v>
      </c>
      <c r="C3219" s="71">
        <v>24065068932.975601</v>
      </c>
    </row>
    <row r="3220" spans="1:3" ht="13">
      <c r="A3220" s="72">
        <v>45442</v>
      </c>
      <c r="B3220" s="71">
        <v>3746.2970999999998</v>
      </c>
      <c r="C3220" s="71">
        <v>22354133103.777</v>
      </c>
    </row>
    <row r="3221" spans="1:3" ht="13">
      <c r="A3221" s="72">
        <v>45443</v>
      </c>
      <c r="B3221" s="71">
        <v>3754.9694</v>
      </c>
      <c r="C3221" s="71">
        <v>21320456633.634102</v>
      </c>
    </row>
    <row r="3222" spans="1:3" ht="13">
      <c r="A3222" s="72">
        <v>45444</v>
      </c>
      <c r="B3222" s="71">
        <v>3785.174</v>
      </c>
      <c r="C3222" s="71">
        <v>19357635370.0452</v>
      </c>
    </row>
    <row r="3223" spans="1:3" ht="13">
      <c r="A3223" s="72">
        <v>45445</v>
      </c>
      <c r="B3223" s="71">
        <v>3767.4794999999999</v>
      </c>
      <c r="C3223" s="71">
        <v>15485260823.125401</v>
      </c>
    </row>
    <row r="3224" spans="1:3" ht="13">
      <c r="A3224" s="72">
        <v>45446</v>
      </c>
      <c r="B3224" s="71">
        <v>3758.8310999999999</v>
      </c>
      <c r="C3224" s="71">
        <v>18158729639.449402</v>
      </c>
    </row>
    <row r="3225" spans="1:3" ht="13">
      <c r="A3225" s="72">
        <v>45447</v>
      </c>
      <c r="B3225" s="71">
        <v>3796.1806999999999</v>
      </c>
      <c r="C3225" s="71">
        <v>19452924197.554001</v>
      </c>
    </row>
    <row r="3226" spans="1:3" ht="13">
      <c r="A3226" s="72">
        <v>45448</v>
      </c>
      <c r="B3226" s="71">
        <v>3840.3180000000002</v>
      </c>
      <c r="C3226" s="71">
        <v>20340658273.087101</v>
      </c>
    </row>
    <row r="3227" spans="1:3" ht="13">
      <c r="A3227" s="72">
        <v>45449</v>
      </c>
      <c r="B3227" s="71">
        <v>3795.4837000000002</v>
      </c>
      <c r="C3227" s="71">
        <v>19970081917.759499</v>
      </c>
    </row>
    <row r="3228" spans="1:3" ht="13">
      <c r="A3228" s="72">
        <v>45450</v>
      </c>
      <c r="B3228" s="71">
        <v>3693.2824000000001</v>
      </c>
      <c r="C3228" s="71">
        <v>20603711252.877998</v>
      </c>
    </row>
    <row r="3229" spans="1:3" ht="13">
      <c r="A3229" s="72">
        <v>45451</v>
      </c>
      <c r="B3229" s="71">
        <v>3702.4337999999998</v>
      </c>
      <c r="C3229" s="71">
        <v>22112730180.5853</v>
      </c>
    </row>
    <row r="3230" spans="1:3" ht="13">
      <c r="A3230" s="72">
        <v>45452</v>
      </c>
      <c r="B3230" s="71">
        <v>3719.0626000000002</v>
      </c>
      <c r="C3230" s="71">
        <v>13138578064.8223</v>
      </c>
    </row>
    <row r="3231" spans="1:3" ht="13">
      <c r="A3231" s="72">
        <v>45453</v>
      </c>
      <c r="B3231" s="71">
        <v>3690.4326000000001</v>
      </c>
      <c r="C3231" s="71">
        <v>13743983447.017401</v>
      </c>
    </row>
    <row r="3232" spans="1:3" ht="13">
      <c r="A3232" s="72">
        <v>45454</v>
      </c>
      <c r="B3232" s="71">
        <v>3535.8359</v>
      </c>
      <c r="C3232" s="71">
        <v>21582378438.477299</v>
      </c>
    </row>
    <row r="3233" spans="1:3" ht="13">
      <c r="A3233" s="72">
        <v>45455</v>
      </c>
      <c r="B3233" s="71">
        <v>3588.8847000000001</v>
      </c>
      <c r="C3233" s="71">
        <v>23450549242.818802</v>
      </c>
    </row>
    <row r="3234" spans="1:3" ht="13">
      <c r="A3234" s="72">
        <v>45456</v>
      </c>
      <c r="B3234" s="71">
        <v>3529.6098999999999</v>
      </c>
      <c r="C3234" s="71">
        <v>23211103123.77</v>
      </c>
    </row>
    <row r="3235" spans="1:3" ht="13">
      <c r="A3235" s="72">
        <v>45457</v>
      </c>
      <c r="B3235" s="71">
        <v>3497.0945000000002</v>
      </c>
      <c r="C3235" s="71">
        <v>20153361899.055698</v>
      </c>
    </row>
    <row r="3236" spans="1:3" ht="13">
      <c r="A3236" s="72">
        <v>45458</v>
      </c>
      <c r="B3236" s="71">
        <v>3582.6116000000002</v>
      </c>
      <c r="C3236" s="71">
        <v>19756475838.763</v>
      </c>
    </row>
    <row r="3237" spans="1:3" ht="13">
      <c r="A3237" s="72">
        <v>45459</v>
      </c>
      <c r="B3237" s="71">
        <v>3640.5621999999998</v>
      </c>
      <c r="C3237" s="71">
        <v>13016030239.4634</v>
      </c>
    </row>
    <row r="3238" spans="1:3" ht="13">
      <c r="A3238" s="72">
        <v>45460</v>
      </c>
      <c r="B3238" s="71">
        <v>3525.9940000000001</v>
      </c>
      <c r="C3238" s="71">
        <v>17339845259.048698</v>
      </c>
    </row>
    <row r="3239" spans="1:3" ht="13">
      <c r="A3239" s="72">
        <v>45461</v>
      </c>
      <c r="B3239" s="71">
        <v>3490.6478000000002</v>
      </c>
      <c r="C3239" s="71">
        <v>23930785821.7108</v>
      </c>
    </row>
    <row r="3240" spans="1:3" ht="13">
      <c r="A3240" s="72">
        <v>45462</v>
      </c>
      <c r="B3240" s="71">
        <v>3569.4526999999998</v>
      </c>
      <c r="C3240" s="71">
        <v>22778733739.613201</v>
      </c>
    </row>
    <row r="3241" spans="1:3" ht="13">
      <c r="A3241" s="72">
        <v>45463</v>
      </c>
      <c r="B3241" s="71">
        <v>3527.9277999999999</v>
      </c>
      <c r="C3241" s="71">
        <v>18144710484.8536</v>
      </c>
    </row>
    <row r="3242" spans="1:3" ht="13">
      <c r="A3242" s="72">
        <v>45464</v>
      </c>
      <c r="B3242" s="71">
        <v>3529.105</v>
      </c>
      <c r="C3242" s="71">
        <v>18831776300.620201</v>
      </c>
    </row>
    <row r="3243" spans="1:3" ht="13">
      <c r="A3243" s="72">
        <v>45465</v>
      </c>
      <c r="B3243" s="71">
        <v>3520.6714999999999</v>
      </c>
      <c r="C3243" s="71">
        <v>15479329282.728201</v>
      </c>
    </row>
    <row r="3244" spans="1:3" ht="13">
      <c r="A3244" s="72">
        <v>45466</v>
      </c>
      <c r="B3244" s="71">
        <v>3443.0237000000002</v>
      </c>
      <c r="C3244" s="71">
        <v>9130648585.4912891</v>
      </c>
    </row>
    <row r="3245" spans="1:3" ht="13">
      <c r="A3245" s="72">
        <v>45467</v>
      </c>
      <c r="B3245" s="71">
        <v>3363.7635</v>
      </c>
      <c r="C3245" s="71">
        <v>19520467666.891899</v>
      </c>
    </row>
    <row r="3246" spans="1:3" ht="13">
      <c r="A3246" s="72">
        <v>45468</v>
      </c>
      <c r="B3246" s="71">
        <v>3408.7739999999999</v>
      </c>
      <c r="C3246" s="71">
        <v>22117258703.212502</v>
      </c>
    </row>
    <row r="3247" spans="1:3" ht="13">
      <c r="A3247" s="72">
        <v>45469</v>
      </c>
      <c r="B3247" s="71">
        <v>3381.2505999999998</v>
      </c>
      <c r="C3247" s="71">
        <v>14391379660.648001</v>
      </c>
    </row>
    <row r="3248" spans="1:3" ht="13">
      <c r="A3248" s="72">
        <v>45470</v>
      </c>
      <c r="B3248" s="71">
        <v>3458.8487</v>
      </c>
      <c r="C3248" s="71">
        <v>15804001113.083599</v>
      </c>
    </row>
    <row r="3249" spans="1:3" ht="13">
      <c r="A3249" s="72">
        <v>45471</v>
      </c>
      <c r="B3249" s="71">
        <v>3388.7953000000002</v>
      </c>
      <c r="C3249" s="71">
        <v>16467284123.5888</v>
      </c>
    </row>
    <row r="3250" spans="1:3" ht="13">
      <c r="A3250" s="72">
        <v>45472</v>
      </c>
      <c r="B3250" s="71">
        <v>3397.4173000000001</v>
      </c>
      <c r="C3250" s="71">
        <v>13651160559.728201</v>
      </c>
    </row>
    <row r="3251" spans="1:3" ht="13">
      <c r="A3251" s="72">
        <v>45473</v>
      </c>
      <c r="B3251" s="71">
        <v>3460.3454000000002</v>
      </c>
      <c r="C3251" s="71">
        <v>9247929775.7595806</v>
      </c>
    </row>
    <row r="3252" spans="1:3" ht="13">
      <c r="A3252" s="72">
        <v>45474</v>
      </c>
      <c r="B3252" s="71">
        <v>3458.9634000000001</v>
      </c>
      <c r="C3252" s="71">
        <v>14646388691.5331</v>
      </c>
    </row>
    <row r="3253" spans="1:3" ht="13">
      <c r="A3253" s="72">
        <v>45475</v>
      </c>
      <c r="B3253" s="71">
        <v>3437.5581000000002</v>
      </c>
      <c r="C3253" s="71">
        <v>13864060406.5261</v>
      </c>
    </row>
    <row r="3254" spans="1:3" ht="13">
      <c r="A3254" s="72">
        <v>45476</v>
      </c>
      <c r="B3254" s="71">
        <v>3308.8933000000002</v>
      </c>
      <c r="C3254" s="71">
        <v>16202961456.069599</v>
      </c>
    </row>
    <row r="3255" spans="1:3" ht="13">
      <c r="A3255" s="72">
        <v>45477</v>
      </c>
      <c r="B3255" s="71">
        <v>3079.6495</v>
      </c>
      <c r="C3255" s="71">
        <v>23821827278.6898</v>
      </c>
    </row>
    <row r="3256" spans="1:3" ht="13">
      <c r="A3256" s="72">
        <v>45478</v>
      </c>
      <c r="B3256" s="71">
        <v>2986.8941</v>
      </c>
      <c r="C3256" s="71">
        <v>36750836690.731697</v>
      </c>
    </row>
    <row r="3257" spans="1:3" ht="13">
      <c r="A3257" s="72">
        <v>45479</v>
      </c>
      <c r="B3257" s="71">
        <v>3081.0868999999998</v>
      </c>
      <c r="C3257" s="71">
        <v>23054834715.351898</v>
      </c>
    </row>
    <row r="3258" spans="1:3" ht="13">
      <c r="A3258" s="72">
        <v>45480</v>
      </c>
      <c r="B3258" s="71">
        <v>2939.0513999999998</v>
      </c>
      <c r="C3258" s="71">
        <v>13971466195.6306</v>
      </c>
    </row>
    <row r="3259" spans="1:3" ht="13">
      <c r="A3259" s="72">
        <v>45481</v>
      </c>
      <c r="B3259" s="71">
        <v>3027.0641000000001</v>
      </c>
      <c r="C3259" s="71">
        <v>24973397088.717701</v>
      </c>
    </row>
    <row r="3260" spans="1:3" ht="13">
      <c r="A3260" s="72">
        <v>45482</v>
      </c>
      <c r="B3260" s="71">
        <v>3079.5205000000001</v>
      </c>
      <c r="C3260" s="71">
        <v>25028894458.2822</v>
      </c>
    </row>
    <row r="3261" spans="1:3" ht="13">
      <c r="A3261" s="72">
        <v>45483</v>
      </c>
      <c r="B3261" s="71">
        <v>3112.4004</v>
      </c>
      <c r="C3261" s="71">
        <v>19259438464.5783</v>
      </c>
    </row>
    <row r="3262" spans="1:3" ht="13">
      <c r="A3262" s="72">
        <v>45484</v>
      </c>
      <c r="B3262" s="71">
        <v>3113.2543999999998</v>
      </c>
      <c r="C3262" s="71">
        <v>19287702681.5979</v>
      </c>
    </row>
    <row r="3263" spans="1:3" ht="13">
      <c r="A3263" s="72">
        <v>45485</v>
      </c>
      <c r="B3263" s="71">
        <v>3147.3858</v>
      </c>
      <c r="C3263" s="71">
        <v>19310170942.0243</v>
      </c>
    </row>
    <row r="3264" spans="1:3" ht="13">
      <c r="A3264" s="72">
        <v>45486</v>
      </c>
      <c r="B3264" s="71">
        <v>3196.7692000000002</v>
      </c>
      <c r="C3264" s="71">
        <v>13921944276.540001</v>
      </c>
    </row>
    <row r="3265" spans="1:3" ht="13">
      <c r="A3265" s="72">
        <v>45487</v>
      </c>
      <c r="B3265" s="71">
        <v>3273.8137999999999</v>
      </c>
      <c r="C3265" s="71">
        <v>13053293725.470301</v>
      </c>
    </row>
    <row r="3266" spans="1:3" ht="13">
      <c r="A3266" s="72">
        <v>45488</v>
      </c>
      <c r="B3266" s="71">
        <v>3498.9223999999999</v>
      </c>
      <c r="C3266" s="71">
        <v>18467836110.641102</v>
      </c>
    </row>
    <row r="3267" spans="1:3" ht="13">
      <c r="A3267" s="72">
        <v>45489</v>
      </c>
      <c r="B3267" s="71">
        <v>3458.0888</v>
      </c>
      <c r="C3267" s="71">
        <v>25378090716.470299</v>
      </c>
    </row>
    <row r="3268" spans="1:3" ht="13">
      <c r="A3268" s="72">
        <v>45490</v>
      </c>
      <c r="B3268" s="71">
        <v>3403.4466000000002</v>
      </c>
      <c r="C3268" s="71">
        <v>24946429985.254299</v>
      </c>
    </row>
    <row r="3269" spans="1:3" ht="13">
      <c r="A3269" s="72">
        <v>45491</v>
      </c>
      <c r="B3269" s="71">
        <v>3442.3483999999999</v>
      </c>
      <c r="C3269" s="71">
        <v>20420147970.0313</v>
      </c>
    </row>
    <row r="3270" spans="1:3" ht="13">
      <c r="A3270" s="72">
        <v>45492</v>
      </c>
      <c r="B3270" s="71">
        <v>3509.1482000000001</v>
      </c>
      <c r="C3270" s="71">
        <v>21093211096.6898</v>
      </c>
    </row>
    <row r="3271" spans="1:3" ht="13">
      <c r="A3271" s="72">
        <v>45493</v>
      </c>
      <c r="B3271" s="71">
        <v>3529.6639</v>
      </c>
      <c r="C3271" s="71">
        <v>20635062566.613201</v>
      </c>
    </row>
    <row r="3272" spans="1:3" ht="13">
      <c r="A3272" s="72">
        <v>45494</v>
      </c>
      <c r="B3272" s="71">
        <v>3538.6511999999998</v>
      </c>
      <c r="C3272" s="71">
        <v>14600561413.658501</v>
      </c>
    </row>
    <row r="3273" spans="1:3" ht="13">
      <c r="A3273" s="72">
        <v>45495</v>
      </c>
      <c r="B3273" s="71">
        <v>3450.8456999999999</v>
      </c>
      <c r="C3273" s="71">
        <v>23551390571.842098</v>
      </c>
    </row>
    <row r="3274" spans="1:3" ht="13">
      <c r="A3274" s="72">
        <v>45496</v>
      </c>
      <c r="B3274" s="71">
        <v>3494.8847000000001</v>
      </c>
      <c r="C3274" s="71">
        <v>29990394807.0383</v>
      </c>
    </row>
    <row r="3275" spans="1:3" ht="13">
      <c r="A3275" s="72">
        <v>45497</v>
      </c>
      <c r="B3275" s="71">
        <v>3343.8444</v>
      </c>
      <c r="C3275" s="71">
        <v>29532333370.804798</v>
      </c>
    </row>
    <row r="3276" spans="1:3" ht="13">
      <c r="A3276" s="72">
        <v>45498</v>
      </c>
      <c r="B3276" s="71">
        <v>3176.0230000000001</v>
      </c>
      <c r="C3276" s="71">
        <v>30095533927.543499</v>
      </c>
    </row>
    <row r="3277" spans="1:3" ht="13">
      <c r="A3277" s="72">
        <v>45499</v>
      </c>
      <c r="B3277" s="71">
        <v>3280.8121000000001</v>
      </c>
      <c r="C3277" s="71">
        <v>28361645389.202</v>
      </c>
    </row>
    <row r="3278" spans="1:3" ht="13">
      <c r="A3278" s="72">
        <v>45500</v>
      </c>
      <c r="B3278" s="71">
        <v>3258.4776999999999</v>
      </c>
      <c r="C3278" s="71">
        <v>18671129755.0243</v>
      </c>
    </row>
    <row r="3279" spans="1:3" ht="13">
      <c r="A3279" s="72">
        <v>45501</v>
      </c>
      <c r="B3279" s="71">
        <v>3278.9553999999998</v>
      </c>
      <c r="C3279" s="71">
        <v>19887735032.080101</v>
      </c>
    </row>
    <row r="3280" spans="1:3" ht="13">
      <c r="A3280" s="72">
        <v>45502</v>
      </c>
      <c r="B3280" s="71">
        <v>3325.127</v>
      </c>
      <c r="C3280" s="71">
        <v>18562538334.870998</v>
      </c>
    </row>
    <row r="3281" spans="1:3" ht="13">
      <c r="A3281" s="72">
        <v>45503</v>
      </c>
      <c r="B3281" s="71">
        <v>3285.9162000000001</v>
      </c>
      <c r="C3281" s="71">
        <v>23356590933.473801</v>
      </c>
    </row>
    <row r="3282" spans="1:3" ht="13">
      <c r="A3282" s="72">
        <v>45504</v>
      </c>
      <c r="B3282" s="71">
        <v>3238.8524000000002</v>
      </c>
      <c r="C3282" s="71">
        <v>19719654939.114899</v>
      </c>
    </row>
    <row r="3283" spans="1:3" ht="13">
      <c r="A3283" s="72">
        <v>45505</v>
      </c>
      <c r="B3283" s="71">
        <v>3206.9265</v>
      </c>
      <c r="C3283" s="71">
        <v>25193218995.292599</v>
      </c>
    </row>
    <row r="3284" spans="1:3" ht="13">
      <c r="A3284" s="72">
        <v>45506</v>
      </c>
      <c r="B3284" s="71">
        <v>2988.3481000000002</v>
      </c>
      <c r="C3284" s="71">
        <v>26483179606.6689</v>
      </c>
    </row>
    <row r="3285" spans="1:3" ht="13">
      <c r="A3285" s="72">
        <v>45507</v>
      </c>
      <c r="B3285" s="71">
        <v>2910.0724</v>
      </c>
      <c r="C3285" s="71">
        <v>27325713249.5121</v>
      </c>
    </row>
    <row r="3286" spans="1:3" ht="13">
      <c r="A3286" s="72">
        <v>45508</v>
      </c>
      <c r="B3286" s="71">
        <v>2689.3252000000002</v>
      </c>
      <c r="C3286" s="71">
        <v>22756243524.7351</v>
      </c>
    </row>
    <row r="3287" spans="1:3" ht="13">
      <c r="A3287" s="72">
        <v>45509</v>
      </c>
      <c r="B3287" s="71">
        <v>2422.2871</v>
      </c>
      <c r="C3287" s="71">
        <v>67933658420.226402</v>
      </c>
    </row>
    <row r="3288" spans="1:3" ht="13">
      <c r="A3288" s="72">
        <v>45510</v>
      </c>
      <c r="B3288" s="71">
        <v>2459.4515000000001</v>
      </c>
      <c r="C3288" s="71">
        <v>50388457255.843201</v>
      </c>
    </row>
    <row r="3289" spans="1:3" ht="13">
      <c r="A3289" s="72">
        <v>45511</v>
      </c>
      <c r="B3289" s="71">
        <v>2341.4748</v>
      </c>
      <c r="C3289" s="71">
        <v>31259953363.431999</v>
      </c>
    </row>
    <row r="3290" spans="1:3" ht="13">
      <c r="A3290" s="72">
        <v>45512</v>
      </c>
      <c r="B3290" s="71">
        <v>2684.7862</v>
      </c>
      <c r="C3290" s="71">
        <v>30921267870.2682</v>
      </c>
    </row>
    <row r="3291" spans="1:3" ht="13">
      <c r="A3291" s="72">
        <v>45513</v>
      </c>
      <c r="B3291" s="71">
        <v>2600.1855</v>
      </c>
      <c r="C3291" s="71">
        <v>29064924778.4146</v>
      </c>
    </row>
    <row r="3292" spans="1:3" ht="13">
      <c r="A3292" s="72">
        <v>45514</v>
      </c>
      <c r="B3292" s="71">
        <v>2609.7462999999998</v>
      </c>
      <c r="C3292" s="71">
        <v>18641746063.9268</v>
      </c>
    </row>
    <row r="3293" spans="1:3" ht="13">
      <c r="A3293" s="72">
        <v>45515</v>
      </c>
      <c r="B3293" s="71">
        <v>2560.9146000000001</v>
      </c>
      <c r="C3293" s="71">
        <v>13783923340.491199</v>
      </c>
    </row>
    <row r="3294" spans="1:3" ht="13">
      <c r="A3294" s="72">
        <v>45516</v>
      </c>
      <c r="B3294" s="71">
        <v>2727.6732999999999</v>
      </c>
      <c r="C3294" s="71">
        <v>24379596634.5644</v>
      </c>
    </row>
    <row r="3295" spans="1:3" ht="13">
      <c r="A3295" s="72">
        <v>45517</v>
      </c>
      <c r="B3295" s="71">
        <v>2704.6421</v>
      </c>
      <c r="C3295" s="71">
        <v>26482751922.5331</v>
      </c>
    </row>
    <row r="3296" spans="1:3" ht="13">
      <c r="A3296" s="72">
        <v>45518</v>
      </c>
      <c r="B3296" s="71">
        <v>2664.8732</v>
      </c>
      <c r="C3296" s="71">
        <v>21303300704.296101</v>
      </c>
    </row>
    <row r="3297" spans="1:3" ht="13">
      <c r="A3297" s="72">
        <v>45519</v>
      </c>
      <c r="B3297" s="71">
        <v>2573.4069</v>
      </c>
      <c r="C3297" s="71">
        <v>21172796981.006901</v>
      </c>
    </row>
    <row r="3298" spans="1:3" ht="13">
      <c r="A3298" s="72">
        <v>45520</v>
      </c>
      <c r="B3298" s="71">
        <v>2595.7543999999998</v>
      </c>
      <c r="C3298" s="71">
        <v>21909793862.480801</v>
      </c>
    </row>
    <row r="3299" spans="1:3" ht="13">
      <c r="A3299" s="72">
        <v>45521</v>
      </c>
      <c r="B3299" s="71">
        <v>2618.2231999999999</v>
      </c>
      <c r="C3299" s="71">
        <v>15001355444.7351</v>
      </c>
    </row>
    <row r="3300" spans="1:3" ht="13">
      <c r="A3300" s="72">
        <v>45522</v>
      </c>
      <c r="B3300" s="71">
        <v>2621.8018000000002</v>
      </c>
      <c r="C3300" s="71">
        <v>10684582235.7456</v>
      </c>
    </row>
    <row r="3301" spans="1:3" ht="13">
      <c r="A3301" s="72">
        <v>45523</v>
      </c>
      <c r="B3301" s="71">
        <v>2640.3928999999998</v>
      </c>
      <c r="C3301" s="71">
        <v>13738107673.6376</v>
      </c>
    </row>
    <row r="3302" spans="1:3" ht="13">
      <c r="A3302" s="72">
        <v>45524</v>
      </c>
      <c r="B3302" s="71">
        <v>2579.7431000000001</v>
      </c>
      <c r="C3302" s="71">
        <v>17076152094.261299</v>
      </c>
    </row>
    <row r="3303" spans="1:3" ht="13">
      <c r="A3303" s="72">
        <v>45525</v>
      </c>
      <c r="B3303" s="71">
        <v>2631.0461</v>
      </c>
      <c r="C3303" s="71">
        <v>16309363308.3414</v>
      </c>
    </row>
    <row r="3304" spans="1:3" ht="13">
      <c r="A3304" s="72">
        <v>45526</v>
      </c>
      <c r="B3304" s="71">
        <v>2624.9059999999999</v>
      </c>
      <c r="C3304" s="71">
        <v>16982370735.8501</v>
      </c>
    </row>
    <row r="3305" spans="1:3" ht="13">
      <c r="A3305" s="72">
        <v>45527</v>
      </c>
      <c r="B3305" s="71">
        <v>2762.7538</v>
      </c>
      <c r="C3305" s="71">
        <v>15762387827.199301</v>
      </c>
    </row>
    <row r="3306" spans="1:3" ht="13">
      <c r="A3306" s="72">
        <v>45528</v>
      </c>
      <c r="B3306" s="71">
        <v>2766.8233</v>
      </c>
      <c r="C3306" s="71">
        <v>19522838660.365799</v>
      </c>
    </row>
    <row r="3307" spans="1:3" ht="13">
      <c r="A3307" s="72">
        <v>45529</v>
      </c>
      <c r="B3307" s="71">
        <v>2747.1408999999999</v>
      </c>
      <c r="C3307" s="71">
        <v>30500044724.7421</v>
      </c>
    </row>
    <row r="3308" spans="1:3" ht="13">
      <c r="A3308" s="72">
        <v>45530</v>
      </c>
      <c r="B3308" s="71">
        <v>2684.2856999999999</v>
      </c>
      <c r="C3308" s="71">
        <v>85489888570.282196</v>
      </c>
    </row>
    <row r="3309" spans="1:3" ht="13">
      <c r="A3309" s="72">
        <v>45531</v>
      </c>
      <c r="B3309" s="71">
        <v>2464.2258000000002</v>
      </c>
      <c r="C3309" s="71">
        <v>82975229853.968597</v>
      </c>
    </row>
    <row r="3310" spans="1:3" ht="13">
      <c r="A3310" s="72">
        <v>45532</v>
      </c>
      <c r="B3310" s="71">
        <v>2528.9692</v>
      </c>
      <c r="C3310" s="71">
        <v>32740526588.048698</v>
      </c>
    </row>
    <row r="3311" spans="1:3" ht="13">
      <c r="A3311" s="72">
        <v>45533</v>
      </c>
      <c r="B3311" s="71">
        <v>2527.8966</v>
      </c>
      <c r="C3311" s="71">
        <v>98737053362.5923</v>
      </c>
    </row>
    <row r="3312" spans="1:3" ht="13">
      <c r="A3312" s="72">
        <v>45534</v>
      </c>
      <c r="B3312" s="71">
        <v>2527.8508000000002</v>
      </c>
      <c r="C3312" s="71">
        <v>100196674032.34399</v>
      </c>
    </row>
    <row r="3313" spans="1:3" ht="13">
      <c r="A3313" s="72">
        <v>45535</v>
      </c>
      <c r="B3313" s="71">
        <v>2514.6596</v>
      </c>
      <c r="C3313" s="71">
        <v>73116751502.857101</v>
      </c>
    </row>
    <row r="3314" spans="1:3" ht="13">
      <c r="A3314" s="72">
        <v>45536</v>
      </c>
      <c r="B3314" s="71">
        <v>2430.9171000000001</v>
      </c>
      <c r="C3314" s="71">
        <v>44978505531.7351</v>
      </c>
    </row>
    <row r="3315" spans="1:3" ht="13">
      <c r="A3315" s="72">
        <v>45537</v>
      </c>
      <c r="B3315" s="71">
        <v>2539.6288</v>
      </c>
      <c r="C3315" s="71">
        <v>20035384902.3797</v>
      </c>
    </row>
    <row r="3316" spans="1:3" ht="13">
      <c r="A3316" s="72">
        <v>45538</v>
      </c>
      <c r="B3316" s="71">
        <v>2438.1003999999998</v>
      </c>
      <c r="C3316" s="71">
        <v>71254116951.505203</v>
      </c>
    </row>
    <row r="3317" spans="1:3" ht="13">
      <c r="A3317" s="72">
        <v>45539</v>
      </c>
      <c r="B3317" s="71">
        <v>2452.2748999999999</v>
      </c>
      <c r="C3317" s="71">
        <v>23718907407.4599</v>
      </c>
    </row>
    <row r="3318" spans="1:3" ht="13">
      <c r="A3318" s="72">
        <v>45540</v>
      </c>
      <c r="B3318" s="71">
        <v>2369.5972000000002</v>
      </c>
      <c r="C3318" s="71">
        <v>72221784955.491196</v>
      </c>
    </row>
    <row r="3319" spans="1:3" ht="13">
      <c r="A3319" s="72">
        <v>45541</v>
      </c>
      <c r="B3319" s="71">
        <v>2226.2336</v>
      </c>
      <c r="C3319" s="71">
        <v>81863728027.093994</v>
      </c>
    </row>
    <row r="3320" spans="1:3" ht="13">
      <c r="A3320" s="72">
        <v>45542</v>
      </c>
      <c r="B3320" s="71">
        <v>2272.2728999999999</v>
      </c>
      <c r="C3320" s="71">
        <v>49391736994.303101</v>
      </c>
    </row>
    <row r="3321" spans="1:3" ht="13">
      <c r="A3321" s="72">
        <v>45543</v>
      </c>
      <c r="B3321" s="71">
        <v>2297.8977</v>
      </c>
      <c r="C3321" s="71">
        <v>39723810386.003403</v>
      </c>
    </row>
    <row r="3322" spans="1:3" ht="13">
      <c r="A3322" s="72">
        <v>45544</v>
      </c>
      <c r="B3322" s="71">
        <v>2360.4072999999999</v>
      </c>
      <c r="C3322" s="71">
        <v>64310245768.645599</v>
      </c>
    </row>
    <row r="3323" spans="1:3" ht="13">
      <c r="A3323" s="72">
        <v>45545</v>
      </c>
      <c r="B3323" s="71">
        <v>2391.1927999999998</v>
      </c>
      <c r="C3323" s="71">
        <v>64427338118.264801</v>
      </c>
    </row>
    <row r="3324" spans="1:3" ht="13">
      <c r="A3324" s="72">
        <v>45546</v>
      </c>
      <c r="B3324" s="71">
        <v>2343.4045000000001</v>
      </c>
      <c r="C3324" s="71">
        <v>84804412342.358795</v>
      </c>
    </row>
    <row r="3325" spans="1:3" ht="13">
      <c r="A3325" s="72">
        <v>45547</v>
      </c>
      <c r="B3325" s="71">
        <v>2362.0268000000001</v>
      </c>
      <c r="C3325" s="71">
        <v>82098610116.533096</v>
      </c>
    </row>
    <row r="3326" spans="1:3" ht="13">
      <c r="A3326" s="72">
        <v>45548</v>
      </c>
      <c r="B3326" s="71">
        <v>2444.3825999999999</v>
      </c>
      <c r="C3326" s="71">
        <v>71532309022.832703</v>
      </c>
    </row>
    <row r="3327" spans="1:3" ht="13">
      <c r="A3327" s="72">
        <v>45549</v>
      </c>
      <c r="B3327" s="71">
        <v>2418.4845999999998</v>
      </c>
      <c r="C3327" s="71">
        <v>65188499369.223</v>
      </c>
    </row>
    <row r="3328" spans="1:3" ht="13">
      <c r="A3328" s="72">
        <v>45550</v>
      </c>
      <c r="B3328" s="71">
        <v>2322.1972999999998</v>
      </c>
      <c r="C3328" s="71">
        <v>31089434735.682899</v>
      </c>
    </row>
    <row r="3329" spans="1:3" ht="13">
      <c r="A3329" s="72">
        <v>45551</v>
      </c>
      <c r="B3329" s="71">
        <v>2296.6475</v>
      </c>
      <c r="C3329" s="71">
        <v>59464244325.177696</v>
      </c>
    </row>
    <row r="3330" spans="1:3" ht="13">
      <c r="A3330" s="72">
        <v>45552</v>
      </c>
      <c r="B3330" s="71">
        <v>2340.6356999999998</v>
      </c>
      <c r="C3330" s="71">
        <v>50992990805.864098</v>
      </c>
    </row>
    <row r="3331" spans="1:3" ht="13">
      <c r="A3331" s="72">
        <v>45553</v>
      </c>
      <c r="B3331" s="71">
        <v>2360.1309999999999</v>
      </c>
      <c r="C3331" s="71">
        <v>60508907994.268204</v>
      </c>
    </row>
    <row r="3332" spans="1:3" ht="13">
      <c r="A3332" s="72">
        <v>45554</v>
      </c>
      <c r="B3332" s="71">
        <v>2465.8180000000002</v>
      </c>
      <c r="C3332" s="71">
        <v>90170205110.846695</v>
      </c>
    </row>
    <row r="3333" spans="1:3" ht="13">
      <c r="A3333" s="72">
        <v>45555</v>
      </c>
      <c r="B3333" s="71">
        <v>2557.5129000000002</v>
      </c>
      <c r="C3333" s="71">
        <v>84650021145.536499</v>
      </c>
    </row>
    <row r="3334" spans="1:3" ht="13">
      <c r="A3334" s="72">
        <v>45556</v>
      </c>
      <c r="B3334" s="71">
        <v>2615.6590999999999</v>
      </c>
      <c r="C3334" s="71">
        <v>52774486957.177696</v>
      </c>
    </row>
    <row r="3335" spans="1:3" ht="13">
      <c r="A3335" s="72">
        <v>45557</v>
      </c>
      <c r="B3335" s="71">
        <v>2581.0898999999999</v>
      </c>
      <c r="C3335" s="71">
        <v>54299828631.7108</v>
      </c>
    </row>
    <row r="3336" spans="1:3" ht="13">
      <c r="A3336" s="72">
        <v>45558</v>
      </c>
      <c r="B3336" s="71">
        <v>2647.1911</v>
      </c>
      <c r="C3336" s="71">
        <v>81711484992.536499</v>
      </c>
    </row>
    <row r="3337" spans="1:3" ht="13">
      <c r="A3337" s="72">
        <v>45559</v>
      </c>
      <c r="B3337" s="71">
        <v>2653.7195999999999</v>
      </c>
      <c r="C3337" s="71">
        <v>75454281873.428497</v>
      </c>
    </row>
    <row r="3338" spans="1:3" ht="13">
      <c r="A3338" s="72">
        <v>45560</v>
      </c>
      <c r="B3338" s="71">
        <v>2578.7015999999999</v>
      </c>
      <c r="C3338" s="71">
        <v>69624453084.365799</v>
      </c>
    </row>
    <row r="3339" spans="1:3" ht="13">
      <c r="A3339" s="72">
        <v>45561</v>
      </c>
      <c r="B3339" s="71">
        <v>2630.8485999999998</v>
      </c>
      <c r="C3339" s="71">
        <v>62952122714.891899</v>
      </c>
    </row>
    <row r="3340" spans="1:3" ht="13">
      <c r="A3340" s="72">
        <v>45562</v>
      </c>
      <c r="B3340" s="71">
        <v>2696.9133000000002</v>
      </c>
      <c r="C3340" s="71">
        <v>65927670477.087097</v>
      </c>
    </row>
    <row r="3341" spans="1:3" ht="13">
      <c r="A3341" s="72">
        <v>45563</v>
      </c>
      <c r="B3341" s="71">
        <v>2679.5182</v>
      </c>
      <c r="C3341" s="71">
        <v>47646560991.529602</v>
      </c>
    </row>
    <row r="3342" spans="1:3" ht="13">
      <c r="A3342" s="72">
        <v>45564</v>
      </c>
      <c r="B3342" s="71">
        <v>2661.2174</v>
      </c>
      <c r="C3342" s="71">
        <v>31376885448.9547</v>
      </c>
    </row>
    <row r="3343" spans="1:3" ht="13">
      <c r="A3343" s="72">
        <v>45565</v>
      </c>
      <c r="B3343" s="71">
        <v>2597.1898000000001</v>
      </c>
      <c r="C3343" s="71">
        <v>50825380351.5121</v>
      </c>
    </row>
    <row r="3344" spans="1:3" ht="13">
      <c r="A3344" s="72">
        <v>45566</v>
      </c>
      <c r="B3344" s="71">
        <v>2455.3593999999998</v>
      </c>
      <c r="C3344" s="71">
        <v>75327616226.627106</v>
      </c>
    </row>
    <row r="3345" spans="1:3" ht="13">
      <c r="A3345" s="72">
        <v>45567</v>
      </c>
      <c r="B3345" s="71">
        <v>2367.5875000000001</v>
      </c>
      <c r="C3345" s="71">
        <v>59258335251.529602</v>
      </c>
    </row>
    <row r="3346" spans="1:3" ht="13">
      <c r="A3346" s="72">
        <v>45568</v>
      </c>
      <c r="B3346" s="71">
        <v>2350.4668999999999</v>
      </c>
      <c r="C3346" s="71">
        <v>64147590037.620201</v>
      </c>
    </row>
    <row r="3347" spans="1:3" ht="13">
      <c r="A3347" s="72">
        <v>45569</v>
      </c>
      <c r="B3347" s="71">
        <v>2417.5871999999999</v>
      </c>
      <c r="C3347" s="71">
        <v>48887108059.358803</v>
      </c>
    </row>
    <row r="3348" spans="1:3" ht="13">
      <c r="A3348" s="72">
        <v>45570</v>
      </c>
      <c r="B3348" s="71">
        <v>2416.1068</v>
      </c>
      <c r="C3348" s="71">
        <v>36501432257.487801</v>
      </c>
    </row>
    <row r="3349" spans="1:3" ht="13">
      <c r="A3349" s="72">
        <v>45571</v>
      </c>
      <c r="B3349" s="71">
        <v>2438.6995999999999</v>
      </c>
      <c r="C3349" s="71">
        <v>26311445867.4006</v>
      </c>
    </row>
    <row r="3350" spans="1:3" ht="13">
      <c r="A3350" s="72">
        <v>45572</v>
      </c>
      <c r="B3350" s="71">
        <v>2423.7829000000002</v>
      </c>
      <c r="C3350" s="71">
        <v>50422252820.891899</v>
      </c>
    </row>
    <row r="3351" spans="1:3" ht="13">
      <c r="A3351" s="72">
        <v>45573</v>
      </c>
      <c r="B3351" s="71">
        <v>2441.5104000000001</v>
      </c>
      <c r="C3351" s="71">
        <v>60870942465.877998</v>
      </c>
    </row>
    <row r="3352" spans="1:3" ht="13">
      <c r="A3352" s="72">
        <v>45574</v>
      </c>
      <c r="B3352" s="71">
        <v>2368.7741000000001</v>
      </c>
      <c r="C3352" s="71">
        <v>53048689006.773499</v>
      </c>
    </row>
    <row r="3353" spans="1:3" ht="13">
      <c r="A3353" s="72">
        <v>45575</v>
      </c>
      <c r="B3353" s="71">
        <v>2381.9906999999998</v>
      </c>
      <c r="C3353" s="71">
        <v>46226053752.188103</v>
      </c>
    </row>
    <row r="3354" spans="1:3" ht="13">
      <c r="A3354" s="72">
        <v>45576</v>
      </c>
      <c r="B3354" s="71">
        <v>2435.8833</v>
      </c>
      <c r="C3354" s="71">
        <v>39927502626.818802</v>
      </c>
    </row>
    <row r="3355" spans="1:3" ht="13">
      <c r="A3355" s="72">
        <v>45577</v>
      </c>
      <c r="B3355" s="71">
        <v>2476.9495000000002</v>
      </c>
      <c r="C3355" s="71">
        <v>30505286230.857101</v>
      </c>
    </row>
    <row r="3356" spans="1:3" ht="13">
      <c r="A3356" s="72">
        <v>45578</v>
      </c>
      <c r="B3356" s="71">
        <v>2465.9171999999999</v>
      </c>
      <c r="C3356" s="71">
        <v>22639714811.0905</v>
      </c>
    </row>
    <row r="3357" spans="1:3" ht="13">
      <c r="A3357" s="72">
        <v>45579</v>
      </c>
      <c r="B3357" s="71">
        <v>2629.5320999999999</v>
      </c>
      <c r="C3357" s="71">
        <v>60792592317.536499</v>
      </c>
    </row>
    <row r="3358" spans="1:3" ht="13">
      <c r="A3358" s="72">
        <v>45580</v>
      </c>
      <c r="B3358" s="71">
        <v>2602.9998000000001</v>
      </c>
      <c r="C3358" s="71">
        <v>65487215314.428497</v>
      </c>
    </row>
    <row r="3359" spans="1:3" ht="13">
      <c r="A3359" s="72">
        <v>45581</v>
      </c>
      <c r="B3359" s="71">
        <v>2612.1408000000001</v>
      </c>
      <c r="C3359" s="71">
        <v>33198362141.313499</v>
      </c>
    </row>
    <row r="3360" spans="1:3" ht="13">
      <c r="A3360" s="72">
        <v>45582</v>
      </c>
      <c r="B3360" s="71">
        <v>2603.7921999999999</v>
      </c>
      <c r="C3360" s="71">
        <v>18293153684.418098</v>
      </c>
    </row>
    <row r="3361" spans="1:3" ht="13">
      <c r="A3361" s="72">
        <v>45583</v>
      </c>
      <c r="B3361" s="71">
        <v>2642.2950999999998</v>
      </c>
      <c r="C3361" s="71">
        <v>19296052208.2822</v>
      </c>
    </row>
    <row r="3362" spans="1:3" ht="13">
      <c r="A3362" s="72">
        <v>45584</v>
      </c>
      <c r="B3362" s="71">
        <v>2649.1095999999998</v>
      </c>
      <c r="C3362" s="71">
        <v>15371653283.787399</v>
      </c>
    </row>
    <row r="3363" spans="1:3" ht="13">
      <c r="A3363" s="72">
        <v>45585</v>
      </c>
      <c r="B3363" s="71">
        <v>2744.3775999999998</v>
      </c>
      <c r="C3363" s="71">
        <v>11059235375.958099</v>
      </c>
    </row>
    <row r="3364" spans="1:3" ht="13">
      <c r="A3364" s="72">
        <v>45586</v>
      </c>
      <c r="B3364" s="71">
        <v>2668.0587999999998</v>
      </c>
      <c r="C3364" s="71">
        <v>21584892444.613201</v>
      </c>
    </row>
    <row r="3365" spans="1:3" ht="13">
      <c r="A3365" s="72">
        <v>45587</v>
      </c>
      <c r="B3365" s="71">
        <v>2620.9679000000001</v>
      </c>
      <c r="C3365" s="71">
        <v>19891942427.522598</v>
      </c>
    </row>
    <row r="3366" spans="1:3" ht="13">
      <c r="A3366" s="72">
        <v>45588</v>
      </c>
      <c r="B3366" s="71">
        <v>2527.6145000000001</v>
      </c>
      <c r="C3366" s="71">
        <v>18301551588.972099</v>
      </c>
    </row>
    <row r="3367" spans="1:3" ht="13">
      <c r="A3367" s="72">
        <v>45589</v>
      </c>
      <c r="B3367" s="71">
        <v>2537.6446999999998</v>
      </c>
      <c r="C3367" s="71">
        <v>22332734473.884998</v>
      </c>
    </row>
    <row r="3368" spans="1:3" ht="13">
      <c r="A3368" s="72">
        <v>45590</v>
      </c>
      <c r="B3368" s="71">
        <v>2426.0749000000001</v>
      </c>
      <c r="C3368" s="71">
        <v>20080465780.188099</v>
      </c>
    </row>
    <row r="3369" spans="1:3" ht="13">
      <c r="A3369" s="72">
        <v>45591</v>
      </c>
      <c r="B3369" s="71">
        <v>2486.0441000000001</v>
      </c>
      <c r="C3369" s="71">
        <v>25499915602.972099</v>
      </c>
    </row>
    <row r="3370" spans="1:3" ht="13">
      <c r="A3370" s="72">
        <v>45592</v>
      </c>
      <c r="B3370" s="71">
        <v>2513.9056</v>
      </c>
      <c r="C3370" s="71">
        <v>12576405459.6341</v>
      </c>
    </row>
    <row r="3371" spans="1:3" ht="13">
      <c r="A3371" s="72">
        <v>45593</v>
      </c>
      <c r="B3371" s="71">
        <v>2565.9020999999998</v>
      </c>
      <c r="C3371" s="71">
        <v>16079442147.836201</v>
      </c>
    </row>
    <row r="3372" spans="1:3" ht="13">
      <c r="A3372" s="72">
        <v>45594</v>
      </c>
      <c r="B3372" s="71">
        <v>2637.2503000000002</v>
      </c>
      <c r="C3372" s="71">
        <v>25882317001.470299</v>
      </c>
    </row>
    <row r="3373" spans="1:3" ht="13">
      <c r="A3373" s="72">
        <v>45595</v>
      </c>
      <c r="B3373" s="71">
        <v>2659.0626999999999</v>
      </c>
      <c r="C3373" s="71">
        <v>25752648702.8223</v>
      </c>
    </row>
    <row r="3374" spans="1:3" ht="13">
      <c r="A3374" s="72">
        <v>45596</v>
      </c>
      <c r="B3374" s="71">
        <v>2517.6179999999999</v>
      </c>
      <c r="C3374" s="71">
        <v>23856549877.651501</v>
      </c>
    </row>
    <row r="3375" spans="1:3" ht="13">
      <c r="A3375" s="72">
        <v>45597</v>
      </c>
      <c r="B3375" s="71">
        <v>2513.8346000000001</v>
      </c>
      <c r="C3375" s="71">
        <v>25320393925.435501</v>
      </c>
    </row>
    <row r="3376" spans="1:3" ht="13">
      <c r="A3376" s="72">
        <v>45598</v>
      </c>
      <c r="B3376" s="71">
        <v>2491.4827</v>
      </c>
      <c r="C3376" s="71">
        <v>17934388401.9547</v>
      </c>
    </row>
    <row r="3377" spans="1:3" ht="13">
      <c r="A3377" s="72">
        <v>45599</v>
      </c>
      <c r="B3377" s="71">
        <v>2458.8649</v>
      </c>
      <c r="C3377" s="71">
        <v>15221719335.5644</v>
      </c>
    </row>
    <row r="3378" spans="1:3" ht="13">
      <c r="A3378" s="72">
        <v>45600</v>
      </c>
      <c r="B3378" s="71">
        <v>2396.9634999999998</v>
      </c>
      <c r="C3378" s="71">
        <v>18194427778.763</v>
      </c>
    </row>
    <row r="3379" spans="1:3" ht="13">
      <c r="A3379" s="72">
        <v>45601</v>
      </c>
      <c r="B3379" s="71">
        <v>2424.2233999999999</v>
      </c>
      <c r="C3379" s="71">
        <v>21727499229.473801</v>
      </c>
    </row>
    <row r="3380" spans="1:3" ht="13">
      <c r="A3380" s="72">
        <v>45602</v>
      </c>
      <c r="B3380" s="71">
        <v>2720.0061000000001</v>
      </c>
      <c r="C3380" s="71">
        <v>38739365548.867599</v>
      </c>
    </row>
    <row r="3381" spans="1:3" ht="13">
      <c r="A3381" s="72">
        <v>45603</v>
      </c>
      <c r="B3381" s="71">
        <v>2893.4593</v>
      </c>
      <c r="C3381" s="71">
        <v>42116216784.202003</v>
      </c>
    </row>
    <row r="3382" spans="1:3" ht="13">
      <c r="A3382" s="72">
        <v>45604</v>
      </c>
      <c r="B3382" s="71">
        <v>2958.7838999999999</v>
      </c>
      <c r="C3382" s="71">
        <v>35525344071.017403</v>
      </c>
    </row>
    <row r="3383" spans="1:3" ht="13">
      <c r="A3383" s="72">
        <v>45605</v>
      </c>
      <c r="B3383" s="71">
        <v>3125.8481000000002</v>
      </c>
      <c r="C3383" s="71">
        <v>33853867216.383202</v>
      </c>
    </row>
    <row r="3384" spans="1:3" ht="13">
      <c r="A3384" s="72">
        <v>45606</v>
      </c>
      <c r="B3384" s="71">
        <v>3189.6556</v>
      </c>
      <c r="C3384" s="71">
        <v>39633601071.4459</v>
      </c>
    </row>
    <row r="3385" spans="1:3" ht="13">
      <c r="A3385" s="72">
        <v>45607</v>
      </c>
      <c r="B3385" s="71">
        <v>3376.7687000000001</v>
      </c>
      <c r="C3385" s="71">
        <v>52446293721.804802</v>
      </c>
    </row>
    <row r="3386" spans="1:3" ht="13">
      <c r="A3386" s="72">
        <v>45608</v>
      </c>
      <c r="B3386" s="71">
        <v>3256.1817999999998</v>
      </c>
      <c r="C3386" s="71">
        <v>71973542792.902405</v>
      </c>
    </row>
    <row r="3387" spans="1:3" ht="13">
      <c r="A3387" s="72">
        <v>45609</v>
      </c>
      <c r="B3387" s="71">
        <v>3189.1444000000001</v>
      </c>
      <c r="C3387" s="71">
        <v>58728860863.257797</v>
      </c>
    </row>
    <row r="3388" spans="1:3" ht="13">
      <c r="A3388" s="72">
        <v>45610</v>
      </c>
      <c r="B3388" s="71">
        <v>3059.1003999999998</v>
      </c>
      <c r="C3388" s="71">
        <v>58895253837.536499</v>
      </c>
    </row>
    <row r="3389" spans="1:3" ht="13">
      <c r="A3389" s="72">
        <v>45611</v>
      </c>
      <c r="B3389" s="71">
        <v>3094.1653000000001</v>
      </c>
      <c r="C3389" s="71">
        <v>39878398753.731697</v>
      </c>
    </row>
    <row r="3390" spans="1:3" ht="13">
      <c r="A3390" s="72">
        <v>45612</v>
      </c>
      <c r="B3390" s="71">
        <v>3132.1930000000002</v>
      </c>
      <c r="C3390" s="71">
        <v>36153478406.142799</v>
      </c>
    </row>
    <row r="3391" spans="1:3" ht="13">
      <c r="A3391" s="72">
        <v>45613</v>
      </c>
      <c r="B3391" s="71">
        <v>3075.4450999999999</v>
      </c>
      <c r="C3391" s="71">
        <v>32330820830.226398</v>
      </c>
    </row>
    <row r="3392" spans="1:3" ht="13">
      <c r="A3392" s="72">
        <v>45614</v>
      </c>
      <c r="B3392" s="71">
        <v>3212.2460999999998</v>
      </c>
      <c r="C3392" s="71">
        <v>33499392961.317001</v>
      </c>
    </row>
    <row r="3393" spans="1:3" ht="13">
      <c r="A3393" s="72">
        <v>45615</v>
      </c>
      <c r="B3393" s="71">
        <v>3111.9587999999999</v>
      </c>
      <c r="C3393" s="71">
        <v>42127333474.372803</v>
      </c>
    </row>
    <row r="3394" spans="1:3" ht="13">
      <c r="A3394" s="72">
        <v>45616</v>
      </c>
      <c r="B3394" s="71">
        <v>3071.7451999999998</v>
      </c>
      <c r="C3394" s="71">
        <v>34553671663.501701</v>
      </c>
    </row>
    <row r="3395" spans="1:3" ht="13">
      <c r="A3395" s="72">
        <v>45617</v>
      </c>
      <c r="B3395" s="71">
        <v>3363.7217999999998</v>
      </c>
      <c r="C3395" s="71">
        <v>48480619568.992996</v>
      </c>
    </row>
    <row r="3396" spans="1:3" ht="13">
      <c r="A3396" s="72">
        <v>45618</v>
      </c>
      <c r="B3396" s="71">
        <v>3324.1296000000002</v>
      </c>
      <c r="C3396" s="71">
        <v>54249579250.944199</v>
      </c>
    </row>
    <row r="3397" spans="1:3" ht="13">
      <c r="A3397" s="72">
        <v>45619</v>
      </c>
      <c r="B3397" s="71">
        <v>3391.0574999999999</v>
      </c>
      <c r="C3397" s="71">
        <v>43462675702.209</v>
      </c>
    </row>
    <row r="3398" spans="1:3" ht="13">
      <c r="A3398" s="72">
        <v>45620</v>
      </c>
      <c r="B3398" s="71">
        <v>3359.6938</v>
      </c>
      <c r="C3398" s="71">
        <v>39206582420.390198</v>
      </c>
    </row>
    <row r="3399" spans="1:3" ht="13">
      <c r="A3399" s="72">
        <v>45621</v>
      </c>
      <c r="B3399" s="71">
        <v>3415.4204</v>
      </c>
      <c r="C3399" s="71">
        <v>41866352589.348396</v>
      </c>
    </row>
    <row r="3400" spans="1:3" ht="13">
      <c r="A3400" s="72">
        <v>45622</v>
      </c>
      <c r="B3400" s="71">
        <v>3328.6134999999999</v>
      </c>
      <c r="C3400" s="71">
        <v>56832300390.606201</v>
      </c>
    </row>
    <row r="3401" spans="1:3" ht="13">
      <c r="A3401" s="72">
        <v>45623</v>
      </c>
      <c r="B3401" s="71">
        <v>3662.2764999999999</v>
      </c>
      <c r="C3401" s="71">
        <v>47039036336.522598</v>
      </c>
    </row>
    <row r="3402" spans="1:3" ht="13">
      <c r="A3402" s="72">
        <v>45624</v>
      </c>
      <c r="B3402" s="71">
        <v>3578.2136999999998</v>
      </c>
      <c r="C3402" s="71">
        <v>48142376764.362297</v>
      </c>
    </row>
    <row r="3403" spans="1:3" ht="13">
      <c r="A3403" s="72">
        <v>45625</v>
      </c>
      <c r="B3403" s="71">
        <v>3593.636</v>
      </c>
      <c r="C3403" s="71">
        <v>34408606128.787399</v>
      </c>
    </row>
    <row r="3404" spans="1:3" ht="13">
      <c r="A3404" s="72">
        <v>45626</v>
      </c>
      <c r="B3404" s="71">
        <v>3703.8119999999999</v>
      </c>
      <c r="C3404" s="71">
        <v>36730972265.219498</v>
      </c>
    </row>
    <row r="3405" spans="1:3" ht="13">
      <c r="A3405" s="72">
        <v>45627</v>
      </c>
      <c r="B3405" s="71">
        <v>3703.0563000000002</v>
      </c>
      <c r="C3405" s="71">
        <v>32850450103.5574</v>
      </c>
    </row>
    <row r="3406" spans="1:3" ht="13">
      <c r="A3406" s="72">
        <v>45628</v>
      </c>
      <c r="B3406" s="71">
        <v>3641.4213</v>
      </c>
      <c r="C3406" s="71">
        <v>42617379110.996498</v>
      </c>
    </row>
    <row r="3407" spans="1:3" ht="13">
      <c r="A3407" s="72">
        <v>45629</v>
      </c>
      <c r="B3407" s="71">
        <v>3625.5277999999998</v>
      </c>
      <c r="C3407" s="71">
        <v>46319722633.174202</v>
      </c>
    </row>
    <row r="3408" spans="1:3" ht="13">
      <c r="A3408" s="72">
        <v>45630</v>
      </c>
      <c r="B3408" s="71">
        <v>3838.9454000000001</v>
      </c>
      <c r="C3408" s="71">
        <v>53939665394.794403</v>
      </c>
    </row>
    <row r="3409" spans="1:3" ht="13">
      <c r="A3409" s="72">
        <v>45631</v>
      </c>
      <c r="B3409" s="71">
        <v>3790.4220999999998</v>
      </c>
      <c r="C3409" s="71">
        <v>70890825038.0979</v>
      </c>
    </row>
    <row r="3410" spans="1:3" ht="13">
      <c r="A3410" s="72">
        <v>45632</v>
      </c>
      <c r="B3410" s="71">
        <v>4005.8845999999999</v>
      </c>
      <c r="C3410" s="71">
        <v>66701685156.433502</v>
      </c>
    </row>
    <row r="3411" spans="1:3" ht="13">
      <c r="A3411" s="72">
        <v>45633</v>
      </c>
      <c r="B3411" s="71">
        <v>4000.0664000000002</v>
      </c>
      <c r="C3411" s="71">
        <v>49316091682.452904</v>
      </c>
    </row>
    <row r="3412" spans="1:3" ht="13">
      <c r="A3412" s="72">
        <v>45634</v>
      </c>
      <c r="B3412" s="71">
        <v>4015.2743</v>
      </c>
      <c r="C3412" s="71">
        <v>25345220862.442501</v>
      </c>
    </row>
    <row r="3413" spans="1:3" ht="13">
      <c r="A3413" s="72">
        <v>45635</v>
      </c>
      <c r="B3413" s="71">
        <v>3715.3683999999998</v>
      </c>
      <c r="C3413" s="71">
        <v>37740481899.986</v>
      </c>
    </row>
    <row r="3414" spans="1:3" ht="13">
      <c r="A3414" s="72">
        <v>45636</v>
      </c>
      <c r="B3414" s="71">
        <v>3628.8114999999998</v>
      </c>
      <c r="C3414" s="71">
        <v>77152357432.539993</v>
      </c>
    </row>
    <row r="3415" spans="1:3" ht="13">
      <c r="A3415" s="72">
        <v>45637</v>
      </c>
      <c r="B3415" s="71">
        <v>3829.0520999999999</v>
      </c>
      <c r="C3415" s="71">
        <v>55142194679.620201</v>
      </c>
    </row>
    <row r="3416" spans="1:3" ht="13">
      <c r="A3416" s="72">
        <v>45638</v>
      </c>
      <c r="B3416" s="71">
        <v>3881.3654999999999</v>
      </c>
      <c r="C3416" s="71">
        <v>44494665436.0905</v>
      </c>
    </row>
    <row r="3417" spans="1:3" ht="13">
      <c r="A3417" s="72">
        <v>45639</v>
      </c>
      <c r="B3417" s="71">
        <v>3909.0227</v>
      </c>
      <c r="C3417" s="71">
        <v>45881430495.076599</v>
      </c>
    </row>
    <row r="3418" spans="1:3" ht="13">
      <c r="A3418" s="72">
        <v>45640</v>
      </c>
      <c r="B3418" s="71">
        <v>3868.2654000000002</v>
      </c>
      <c r="C3418" s="71">
        <v>31182188119.620201</v>
      </c>
    </row>
    <row r="3419" spans="1:3" ht="13">
      <c r="A3419" s="72">
        <v>45641</v>
      </c>
      <c r="B3419" s="71">
        <v>3963.2528000000002</v>
      </c>
      <c r="C3419" s="71">
        <v>25923935187</v>
      </c>
    </row>
    <row r="3420" spans="1:3" ht="13">
      <c r="A3420" s="72">
        <v>45642</v>
      </c>
      <c r="B3420" s="71">
        <v>3988.2390999999998</v>
      </c>
      <c r="C3420" s="71">
        <v>41992989681.229897</v>
      </c>
    </row>
    <row r="3421" spans="1:3" ht="13">
      <c r="A3421" s="72">
        <v>45643</v>
      </c>
      <c r="B3421" s="71">
        <v>3883.1471000000001</v>
      </c>
      <c r="C3421" s="71">
        <v>51242538107.212502</v>
      </c>
    </row>
    <row r="3422" spans="1:3" ht="13">
      <c r="A3422" s="72">
        <v>45644</v>
      </c>
      <c r="B3422" s="71">
        <v>3631.2671</v>
      </c>
      <c r="C3422" s="71">
        <v>46219761173.529602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Crypto Prices</vt:lpstr>
      <vt:lpstr>calculations</vt:lpstr>
      <vt:lpstr>weekly price</vt:lpstr>
      <vt:lpstr>20222023 WDCA</vt:lpstr>
      <vt:lpstr>ETH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 Boorghani</cp:lastModifiedBy>
  <dcterms:created xsi:type="dcterms:W3CDTF">2025-10-01T03:41:25Z</dcterms:created>
  <dcterms:modified xsi:type="dcterms:W3CDTF">2025-10-01T03:53:44Z</dcterms:modified>
</cp:coreProperties>
</file>