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drawings/drawing10.xml" ContentType="application/vnd.openxmlformats-officedocument.drawingml.chartshapes+xml"/>
  <Override PartName="/xl/charts/chart6.xml" ContentType="application/vnd.openxmlformats-officedocument.drawingml.chart+xml"/>
  <Override PartName="/xl/drawings/drawing11.xml" ContentType="application/vnd.openxmlformats-officedocument.drawingml.chartshapes+xml"/>
  <Override PartName="/xl/charts/chart7.xml" ContentType="application/vnd.openxmlformats-officedocument.drawingml.chart+xml"/>
  <Override PartName="/xl/drawings/drawing12.xml" ContentType="application/vnd.openxmlformats-officedocument.drawingml.chartshapes+xml"/>
  <Override PartName="/xl/charts/chart8.xml" ContentType="application/vnd.openxmlformats-officedocument.drawingml.chart+xml"/>
  <Override PartName="/xl/drawings/drawing13.xml" ContentType="application/vnd.openxmlformats-officedocument.drawingml.chartshapes+xml"/>
  <Override PartName="/xl/charts/chart9.xml" ContentType="application/vnd.openxmlformats-officedocument.drawingml.chart+xml"/>
  <Override PartName="/xl/drawings/drawing14.xml" ContentType="application/vnd.openxmlformats-officedocument.drawingml.chartshapes+xml"/>
  <Override PartName="/xl/charts/chart10.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omments2.xml" ContentType="application/vnd.openxmlformats-officedocument.spreadsheetml.comments+xml"/>
  <Override PartName="/xl/charts/chart11.xml" ContentType="application/vnd.openxmlformats-officedocument.drawingml.chart+xml"/>
  <Override PartName="/xl/drawings/drawing17.xml" ContentType="application/vnd.openxmlformats-officedocument.drawingml.chartshapes+xml"/>
  <Override PartName="/xl/charts/chart12.xml" ContentType="application/vnd.openxmlformats-officedocument.drawingml.chart+xml"/>
  <Override PartName="/xl/drawings/drawing18.xml" ContentType="application/vnd.openxmlformats-officedocument.drawingml.chartshapes+xml"/>
  <Override PartName="/xl/charts/chart13.xml" ContentType="application/vnd.openxmlformats-officedocument.drawingml.chart+xml"/>
  <Override PartName="/xl/drawings/drawing19.xml" ContentType="application/vnd.openxmlformats-officedocument.drawingml.chartshapes+xml"/>
  <Override PartName="/xl/charts/chart14.xml" ContentType="application/vnd.openxmlformats-officedocument.drawingml.chart+xml"/>
  <Override PartName="/xl/drawings/drawing20.xml" ContentType="application/vnd.openxmlformats-officedocument.drawingml.chartshapes+xml"/>
  <Override PartName="/xl/charts/chart15.xml" ContentType="application/vnd.openxmlformats-officedocument.drawingml.chart+xml"/>
  <Override PartName="/xl/drawings/drawing21.xml" ContentType="application/vnd.openxmlformats-officedocument.drawingml.chartshapes+xml"/>
  <Override PartName="/xl/charts/chart16.xml" ContentType="application/vnd.openxmlformats-officedocument.drawingml.chart+xml"/>
  <Override PartName="/xl/drawings/drawing22.xml" ContentType="application/vnd.openxmlformats-officedocument.drawingml.chartshapes+xml"/>
  <Override PartName="/xl/drawings/drawing23.xml" ContentType="application/vnd.openxmlformats-officedocument.drawing+xml"/>
  <Override PartName="/xl/comments3.xml" ContentType="application/vnd.openxmlformats-officedocument.spreadsheetml.comments+xml"/>
  <Override PartName="/xl/charts/chart17.xml" ContentType="application/vnd.openxmlformats-officedocument.drawingml.chart+xml"/>
  <Override PartName="/xl/drawings/drawing24.xml" ContentType="application/vnd.openxmlformats-officedocument.drawingml.chartshapes+xml"/>
  <Override PartName="/xl/charts/chart18.xml" ContentType="application/vnd.openxmlformats-officedocument.drawingml.chart+xml"/>
  <Override PartName="/xl/drawings/drawing25.xml" ContentType="application/vnd.openxmlformats-officedocument.drawingml.chartshapes+xml"/>
  <Override PartName="/xl/charts/chart19.xml" ContentType="application/vnd.openxmlformats-officedocument.drawingml.chart+xml"/>
  <Override PartName="/xl/drawings/drawing26.xml" ContentType="application/vnd.openxmlformats-officedocument.drawingml.chartshapes+xml"/>
  <Override PartName="/xl/drawings/drawing27.xml" ContentType="application/vnd.openxmlformats-officedocument.drawing+xml"/>
  <Override PartName="/xl/comments4.xml" ContentType="application/vnd.openxmlformats-officedocument.spreadsheetml.comments+xml"/>
  <Override PartName="/xl/charts/chart20.xml" ContentType="application/vnd.openxmlformats-officedocument.drawingml.chart+xml"/>
  <Override PartName="/xl/drawings/drawing28.xml" ContentType="application/vnd.openxmlformats-officedocument.drawingml.chartshapes+xml"/>
  <Override PartName="/xl/charts/chart21.xml" ContentType="application/vnd.openxmlformats-officedocument.drawingml.chart+xml"/>
  <Override PartName="/xl/drawings/drawing29.xml" ContentType="application/vnd.openxmlformats-officedocument.drawingml.chartshapes+xml"/>
  <Override PartName="/xl/charts/chart22.xml" ContentType="application/vnd.openxmlformats-officedocument.drawingml.chart+xml"/>
  <Override PartName="/xl/drawings/drawing30.xml" ContentType="application/vnd.openxmlformats-officedocument.drawingml.chartshapes+xml"/>
  <Override PartName="/xl/drawings/drawing31.xml" ContentType="application/vnd.openxmlformats-officedocument.drawing+xml"/>
  <Override PartName="/xl/comments5.xml" ContentType="application/vnd.openxmlformats-officedocument.spreadsheetml.comments+xml"/>
  <Override PartName="/xl/charts/chart23.xml" ContentType="application/vnd.openxmlformats-officedocument.drawingml.chart+xml"/>
  <Override PartName="/xl/drawings/drawing32.xml" ContentType="application/vnd.openxmlformats-officedocument.drawingml.chartshapes+xml"/>
  <Override PartName="/xl/charts/chart24.xml" ContentType="application/vnd.openxmlformats-officedocument.drawingml.chart+xml"/>
  <Override PartName="/xl/drawings/drawing33.xml" ContentType="application/vnd.openxmlformats-officedocument.drawingml.chartshapes+xml"/>
  <Override PartName="/xl/charts/chart25.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omments6.xml" ContentType="application/vnd.openxmlformats-officedocument.spreadsheetml.comments+xml"/>
  <Override PartName="/xl/charts/chart26.xml" ContentType="application/vnd.openxmlformats-officedocument.drawingml.chart+xml"/>
  <Override PartName="/xl/drawings/drawing36.xml" ContentType="application/vnd.openxmlformats-officedocument.drawingml.chartshapes+xml"/>
  <Override PartName="/xl/charts/chart27.xml" ContentType="application/vnd.openxmlformats-officedocument.drawingml.chart+xml"/>
  <Override PartName="/xl/drawings/drawing37.xml" ContentType="application/vnd.openxmlformats-officedocument.drawingml.chartshapes+xml"/>
  <Override PartName="/xl/charts/chart28.xml" ContentType="application/vnd.openxmlformats-officedocument.drawingml.chart+xml"/>
  <Override PartName="/xl/drawings/drawing38.xml" ContentType="application/vnd.openxmlformats-officedocument.drawingml.chartshapes+xml"/>
  <Override PartName="/xl/charts/chart29.xml" ContentType="application/vnd.openxmlformats-officedocument.drawingml.chart+xml"/>
  <Override PartName="/xl/drawings/drawing39.xml" ContentType="application/vnd.openxmlformats-officedocument.drawingml.chartshapes+xml"/>
  <Override PartName="/xl/charts/chart30.xml" ContentType="application/vnd.openxmlformats-officedocument.drawingml.chart+xml"/>
  <Override PartName="/xl/drawings/drawing40.xml" ContentType="application/vnd.openxmlformats-officedocument.drawingml.chartshapes+xml"/>
  <Override PartName="/xl/charts/chart31.xml" ContentType="application/vnd.openxmlformats-officedocument.drawingml.chart+xml"/>
  <Override PartName="/xl/drawings/drawing41.xml" ContentType="application/vnd.openxmlformats-officedocument.drawingml.chartshapes+xml"/>
  <Override PartName="/xl/drawings/drawing42.xml" ContentType="application/vnd.openxmlformats-officedocument.drawing+xml"/>
  <Override PartName="/xl/comments7.xml" ContentType="application/vnd.openxmlformats-officedocument.spreadsheetml.comments+xml"/>
  <Override PartName="/xl/charts/chart32.xml" ContentType="application/vnd.openxmlformats-officedocument.drawingml.chart+xml"/>
  <Override PartName="/xl/drawings/drawing43.xml" ContentType="application/vnd.openxmlformats-officedocument.drawingml.chartshapes+xml"/>
  <Override PartName="/xl/charts/chart33.xml" ContentType="application/vnd.openxmlformats-officedocument.drawingml.chart+xml"/>
  <Override PartName="/xl/drawings/drawing44.xml" ContentType="application/vnd.openxmlformats-officedocument.drawingml.chartshapes+xml"/>
  <Override PartName="/xl/charts/chart34.xml" ContentType="application/vnd.openxmlformats-officedocument.drawingml.chart+xml"/>
  <Override PartName="/xl/drawings/drawing45.xml" ContentType="application/vnd.openxmlformats-officedocument.drawingml.chartshapes+xml"/>
  <Override PartName="/xl/drawings/drawing46.xml" ContentType="application/vnd.openxmlformats-officedocument.drawing+xml"/>
  <Override PartName="/xl/comments8.xml" ContentType="application/vnd.openxmlformats-officedocument.spreadsheetml.comments+xml"/>
  <Override PartName="/xl/charts/chart35.xml" ContentType="application/vnd.openxmlformats-officedocument.drawingml.chart+xml"/>
  <Override PartName="/xl/drawings/drawing47.xml" ContentType="application/vnd.openxmlformats-officedocument.drawingml.chartshapes+xml"/>
  <Override PartName="/xl/charts/chart36.xml" ContentType="application/vnd.openxmlformats-officedocument.drawingml.chart+xml"/>
  <Override PartName="/xl/drawings/drawing48.xml" ContentType="application/vnd.openxmlformats-officedocument.drawingml.chartshapes+xml"/>
  <Override PartName="/xl/charts/chart37.xml" ContentType="application/vnd.openxmlformats-officedocument.drawingml.chart+xml"/>
  <Override PartName="/xl/drawings/drawing49.xml" ContentType="application/vnd.openxmlformats-officedocument.drawingml.chartshapes+xml"/>
  <Override PartName="/xl/charts/chart38.xml" ContentType="application/vnd.openxmlformats-officedocument.drawingml.chart+xml"/>
  <Override PartName="/xl/drawings/drawing50.xml" ContentType="application/vnd.openxmlformats-officedocument.drawingml.chartshapes+xml"/>
  <Override PartName="/xl/charts/chart39.xml" ContentType="application/vnd.openxmlformats-officedocument.drawingml.chart+xml"/>
  <Override PartName="/xl/drawings/drawing51.xml" ContentType="application/vnd.openxmlformats-officedocument.drawingml.chartshapes+xml"/>
  <Override PartName="/xl/charts/chart40.xml" ContentType="application/vnd.openxmlformats-officedocument.drawingml.chart+xml"/>
  <Override PartName="/xl/drawings/drawing52.xml" ContentType="application/vnd.openxmlformats-officedocument.drawingml.chartshapes+xml"/>
  <Override PartName="/xl/drawings/drawing53.xml" ContentType="application/vnd.openxmlformats-officedocument.drawing+xml"/>
  <Override PartName="/xl/comments9.xml" ContentType="application/vnd.openxmlformats-officedocument.spreadsheetml.comments+xml"/>
  <Override PartName="/xl/charts/chart41.xml" ContentType="application/vnd.openxmlformats-officedocument.drawingml.chart+xml"/>
  <Override PartName="/xl/drawings/drawing54.xml" ContentType="application/vnd.openxmlformats-officedocument.drawingml.chartshapes+xml"/>
  <Override PartName="/xl/charts/chart42.xml" ContentType="application/vnd.openxmlformats-officedocument.drawingml.chart+xml"/>
  <Override PartName="/xl/drawings/drawing55.xml" ContentType="application/vnd.openxmlformats-officedocument.drawingml.chartshapes+xml"/>
  <Override PartName="/xl/charts/chart43.xml" ContentType="application/vnd.openxmlformats-officedocument.drawingml.chart+xml"/>
  <Override PartName="/xl/drawings/drawing56.xml" ContentType="application/vnd.openxmlformats-officedocument.drawingml.chartshapes+xml"/>
  <Override PartName="/xl/charts/chart44.xml" ContentType="application/vnd.openxmlformats-officedocument.drawingml.chart+xml"/>
  <Override PartName="/xl/drawings/drawing57.xml" ContentType="application/vnd.openxmlformats-officedocument.drawingml.chartshapes+xml"/>
  <Override PartName="/xl/charts/chart45.xml" ContentType="application/vnd.openxmlformats-officedocument.drawingml.chart+xml"/>
  <Override PartName="/xl/drawings/drawing58.xml" ContentType="application/vnd.openxmlformats-officedocument.drawingml.chartshapes+xml"/>
  <Override PartName="/xl/charts/chart46.xml" ContentType="application/vnd.openxmlformats-officedocument.drawingml.chart+xml"/>
  <Override PartName="/xl/drawings/drawing59.xml" ContentType="application/vnd.openxmlformats-officedocument.drawingml.chartshapes+xml"/>
  <Override PartName="/xl/drawings/drawing60.xml" ContentType="application/vnd.openxmlformats-officedocument.drawing+xml"/>
  <Override PartName="/xl/comments10.xml" ContentType="application/vnd.openxmlformats-officedocument.spreadsheetml.comments+xml"/>
  <Override PartName="/xl/charts/chart47.xml" ContentType="application/vnd.openxmlformats-officedocument.drawingml.chart+xml"/>
  <Override PartName="/xl/drawings/drawing61.xml" ContentType="application/vnd.openxmlformats-officedocument.drawingml.chartshapes+xml"/>
  <Override PartName="/xl/charts/chart48.xml" ContentType="application/vnd.openxmlformats-officedocument.drawingml.chart+xml"/>
  <Override PartName="/xl/drawings/drawing62.xml" ContentType="application/vnd.openxmlformats-officedocument.drawingml.chartshapes+xml"/>
  <Override PartName="/xl/charts/chart49.xml" ContentType="application/vnd.openxmlformats-officedocument.drawingml.chart+xml"/>
  <Override PartName="/xl/drawings/drawing63.xml" ContentType="application/vnd.openxmlformats-officedocument.drawingml.chartshapes+xml"/>
  <Override PartName="/xl/charts/chart50.xml" ContentType="application/vnd.openxmlformats-officedocument.drawingml.chart+xml"/>
  <Override PartName="/xl/drawings/drawing64.xml" ContentType="application/vnd.openxmlformats-officedocument.drawingml.chartshapes+xml"/>
  <Override PartName="/xl/charts/chart51.xml" ContentType="application/vnd.openxmlformats-officedocument.drawingml.chart+xml"/>
  <Override PartName="/xl/drawings/drawing65.xml" ContentType="application/vnd.openxmlformats-officedocument.drawingml.chartshapes+xml"/>
  <Override PartName="/xl/charts/chart52.xml" ContentType="application/vnd.openxmlformats-officedocument.drawingml.chart+xml"/>
  <Override PartName="/xl/drawings/drawing66.xml" ContentType="application/vnd.openxmlformats-officedocument.drawingml.chartshapes+xml"/>
  <Override PartName="/xl/drawings/drawing67.xml" ContentType="application/vnd.openxmlformats-officedocument.drawing+xml"/>
  <Override PartName="/xl/comments11.xml" ContentType="application/vnd.openxmlformats-officedocument.spreadsheetml.comments+xml"/>
  <Override PartName="/xl/charts/chart53.xml" ContentType="application/vnd.openxmlformats-officedocument.drawingml.chart+xml"/>
  <Override PartName="/xl/drawings/drawing68.xml" ContentType="application/vnd.openxmlformats-officedocument.drawingml.chartshapes+xml"/>
  <Override PartName="/xl/charts/chart54.xml" ContentType="application/vnd.openxmlformats-officedocument.drawingml.chart+xml"/>
  <Override PartName="/xl/drawings/drawing69.xml" ContentType="application/vnd.openxmlformats-officedocument.drawingml.chartshapes+xml"/>
  <Override PartName="/xl/charts/chart55.xml" ContentType="application/vnd.openxmlformats-officedocument.drawingml.chart+xml"/>
  <Override PartName="/xl/drawings/drawing70.xml" ContentType="application/vnd.openxmlformats-officedocument.drawingml.chartshapes+xml"/>
  <Override PartName="/xl/drawings/drawing71.xml" ContentType="application/vnd.openxmlformats-officedocument.drawing+xml"/>
  <Override PartName="/xl/comments12.xml" ContentType="application/vnd.openxmlformats-officedocument.spreadsheetml.comments+xml"/>
  <Override PartName="/xl/charts/chart56.xml" ContentType="application/vnd.openxmlformats-officedocument.drawingml.chart+xml"/>
  <Override PartName="/xl/drawings/drawing72.xml" ContentType="application/vnd.openxmlformats-officedocument.drawingml.chartshapes+xml"/>
  <Override PartName="/xl/charts/chart57.xml" ContentType="application/vnd.openxmlformats-officedocument.drawingml.chart+xml"/>
  <Override PartName="/xl/drawings/drawing73.xml" ContentType="application/vnd.openxmlformats-officedocument.drawingml.chartshapes+xml"/>
  <Override PartName="/xl/charts/chart58.xml" ContentType="application/vnd.openxmlformats-officedocument.drawingml.chart+xml"/>
  <Override PartName="/xl/drawings/drawing74.xml" ContentType="application/vnd.openxmlformats-officedocument.drawingml.chartshapes+xml"/>
  <Override PartName="/xl/charts/chart59.xml" ContentType="application/vnd.openxmlformats-officedocument.drawingml.chart+xml"/>
  <Override PartName="/xl/drawings/drawing75.xml" ContentType="application/vnd.openxmlformats-officedocument.drawingml.chartshapes+xml"/>
  <Override PartName="/xl/charts/chart60.xml" ContentType="application/vnd.openxmlformats-officedocument.drawingml.chart+xml"/>
  <Override PartName="/xl/drawings/drawing76.xml" ContentType="application/vnd.openxmlformats-officedocument.drawingml.chartshapes+xml"/>
  <Override PartName="/xl/charts/chart61.xml" ContentType="application/vnd.openxmlformats-officedocument.drawingml.chart+xml"/>
  <Override PartName="/xl/drawings/drawing77.xml" ContentType="application/vnd.openxmlformats-officedocument.drawingml.chartshapes+xml"/>
  <Override PartName="/xl/drawings/drawing78.xml" ContentType="application/vnd.openxmlformats-officedocument.drawing+xml"/>
  <Override PartName="/xl/comments13.xml" ContentType="application/vnd.openxmlformats-officedocument.spreadsheetml.comments+xml"/>
  <Override PartName="/xl/charts/chart62.xml" ContentType="application/vnd.openxmlformats-officedocument.drawingml.chart+xml"/>
  <Override PartName="/xl/drawings/drawing79.xml" ContentType="application/vnd.openxmlformats-officedocument.drawingml.chartshapes+xml"/>
  <Override PartName="/xl/charts/chart63.xml" ContentType="application/vnd.openxmlformats-officedocument.drawingml.chart+xml"/>
  <Override PartName="/xl/drawings/drawing80.xml" ContentType="application/vnd.openxmlformats-officedocument.drawingml.chartshapes+xml"/>
  <Override PartName="/xl/charts/chart64.xml" ContentType="application/vnd.openxmlformats-officedocument.drawingml.chart+xml"/>
  <Override PartName="/xl/drawings/drawing81.xml" ContentType="application/vnd.openxmlformats-officedocument.drawingml.chartshapes+xml"/>
  <Override PartName="/xl/drawings/drawing82.xml" ContentType="application/vnd.openxmlformats-officedocument.drawing+xml"/>
  <Override PartName="/xl/comments14.xml" ContentType="application/vnd.openxmlformats-officedocument.spreadsheetml.comments+xml"/>
  <Override PartName="/xl/charts/chart65.xml" ContentType="application/vnd.openxmlformats-officedocument.drawingml.chart+xml"/>
  <Override PartName="/xl/drawings/drawing83.xml" ContentType="application/vnd.openxmlformats-officedocument.drawingml.chartshapes+xml"/>
  <Override PartName="/xl/charts/chart66.xml" ContentType="application/vnd.openxmlformats-officedocument.drawingml.chart+xml"/>
  <Override PartName="/xl/drawings/drawing84.xml" ContentType="application/vnd.openxmlformats-officedocument.drawingml.chartshapes+xml"/>
  <Override PartName="/xl/charts/chart67.xml" ContentType="application/vnd.openxmlformats-officedocument.drawingml.chart+xml"/>
  <Override PartName="/xl/drawings/drawing85.xml" ContentType="application/vnd.openxmlformats-officedocument.drawingml.chartshapes+xml"/>
  <Override PartName="/xl/charts/chart68.xml" ContentType="application/vnd.openxmlformats-officedocument.drawingml.chart+xml"/>
  <Override PartName="/xl/drawings/drawing86.xml" ContentType="application/vnd.openxmlformats-officedocument.drawingml.chartshapes+xml"/>
  <Override PartName="/xl/charts/chart69.xml" ContentType="application/vnd.openxmlformats-officedocument.drawingml.chart+xml"/>
  <Override PartName="/xl/drawings/drawing87.xml" ContentType="application/vnd.openxmlformats-officedocument.drawingml.chartshapes+xml"/>
  <Override PartName="/xl/charts/chart70.xml" ContentType="application/vnd.openxmlformats-officedocument.drawingml.chart+xml"/>
  <Override PartName="/xl/drawings/drawing88.xml" ContentType="application/vnd.openxmlformats-officedocument.drawingml.chartshapes+xml"/>
  <Override PartName="/xl/drawings/drawing89.xml" ContentType="application/vnd.openxmlformats-officedocument.drawing+xml"/>
  <Override PartName="/xl/comments15.xml" ContentType="application/vnd.openxmlformats-officedocument.spreadsheetml.comments+xml"/>
  <Override PartName="/xl/charts/chart71.xml" ContentType="application/vnd.openxmlformats-officedocument.drawingml.chart+xml"/>
  <Override PartName="/xl/drawings/drawing90.xml" ContentType="application/vnd.openxmlformats-officedocument.drawingml.chartshapes+xml"/>
  <Override PartName="/xl/charts/chart72.xml" ContentType="application/vnd.openxmlformats-officedocument.drawingml.chart+xml"/>
  <Override PartName="/xl/drawings/drawing91.xml" ContentType="application/vnd.openxmlformats-officedocument.drawingml.chartshapes+xml"/>
  <Override PartName="/xl/charts/chart73.xml" ContentType="application/vnd.openxmlformats-officedocument.drawingml.chart+xml"/>
  <Override PartName="/xl/drawings/drawing92.xml" ContentType="application/vnd.openxmlformats-officedocument.drawingml.chartshapes+xml"/>
  <Override PartName="/xl/charts/chart74.xml" ContentType="application/vnd.openxmlformats-officedocument.drawingml.chart+xml"/>
  <Override PartName="/xl/drawings/drawing93.xml" ContentType="application/vnd.openxmlformats-officedocument.drawingml.chartshapes+xml"/>
  <Override PartName="/xl/charts/chart75.xml" ContentType="application/vnd.openxmlformats-officedocument.drawingml.chart+xml"/>
  <Override PartName="/xl/drawings/drawing94.xml" ContentType="application/vnd.openxmlformats-officedocument.drawingml.chartshapes+xml"/>
  <Override PartName="/xl/charts/chart76.xml" ContentType="application/vnd.openxmlformats-officedocument.drawingml.chart+xml"/>
  <Override PartName="/xl/drawings/drawing95.xml" ContentType="application/vnd.openxmlformats-officedocument.drawingml.chartshapes+xml"/>
  <Override PartName="/xl/drawings/drawing96.xml" ContentType="application/vnd.openxmlformats-officedocument.drawing+xml"/>
  <Override PartName="/xl/comments16.xml" ContentType="application/vnd.openxmlformats-officedocument.spreadsheetml.comments+xml"/>
  <Override PartName="/xl/charts/chart77.xml" ContentType="application/vnd.openxmlformats-officedocument.drawingml.chart+xml"/>
  <Override PartName="/xl/drawings/drawing97.xml" ContentType="application/vnd.openxmlformats-officedocument.drawingml.chartshapes+xml"/>
  <Override PartName="/xl/charts/chart78.xml" ContentType="application/vnd.openxmlformats-officedocument.drawingml.chart+xml"/>
  <Override PartName="/xl/drawings/drawing98.xml" ContentType="application/vnd.openxmlformats-officedocument.drawingml.chartshapes+xml"/>
  <Override PartName="/xl/charts/chart79.xml" ContentType="application/vnd.openxmlformats-officedocument.drawingml.chart+xml"/>
  <Override PartName="/xl/drawings/drawing99.xml" ContentType="application/vnd.openxmlformats-officedocument.drawingml.chartshapes+xml"/>
  <Override PartName="/xl/charts/chart80.xml" ContentType="application/vnd.openxmlformats-officedocument.drawingml.chart+xml"/>
  <Override PartName="/xl/drawings/drawing100.xml" ContentType="application/vnd.openxmlformats-officedocument.drawingml.chartshapes+xml"/>
  <Override PartName="/xl/charts/chart81.xml" ContentType="application/vnd.openxmlformats-officedocument.drawingml.chart+xml"/>
  <Override PartName="/xl/drawings/drawing101.xml" ContentType="application/vnd.openxmlformats-officedocument.drawingml.chartshapes+xml"/>
  <Override PartName="/xl/charts/chart82.xml" ContentType="application/vnd.openxmlformats-officedocument.drawingml.chart+xml"/>
  <Override PartName="/xl/drawings/drawing102.xml" ContentType="application/vnd.openxmlformats-officedocument.drawingml.chartshapes+xml"/>
  <Override PartName="/xl/drawings/drawing103.xml" ContentType="application/vnd.openxmlformats-officedocument.drawing+xml"/>
  <Override PartName="/xl/comments17.xml" ContentType="application/vnd.openxmlformats-officedocument.spreadsheetml.comments+xml"/>
  <Override PartName="/xl/charts/chart83.xml" ContentType="application/vnd.openxmlformats-officedocument.drawingml.chart+xml"/>
  <Override PartName="/xl/drawings/drawing104.xml" ContentType="application/vnd.openxmlformats-officedocument.drawingml.chartshapes+xml"/>
  <Override PartName="/xl/drawings/drawing105.xml" ContentType="application/vnd.openxmlformats-officedocument.drawing+xml"/>
  <Override PartName="/xl/comments18.xml" ContentType="application/vnd.openxmlformats-officedocument.spreadsheetml.comments+xml"/>
  <Override PartName="/xl/charts/chart84.xml" ContentType="application/vnd.openxmlformats-officedocument.drawingml.chart+xml"/>
  <Override PartName="/xl/drawings/drawing106.xml" ContentType="application/vnd.openxmlformats-officedocument.drawingml.chartshapes+xml"/>
  <Override PartName="/xl/drawings/drawing107.xml" ContentType="application/vnd.openxmlformats-officedocument.drawing+xml"/>
  <Override PartName="/xl/comments19.xml" ContentType="application/vnd.openxmlformats-officedocument.spreadsheetml.comments+xml"/>
  <Override PartName="/xl/charts/chart85.xml" ContentType="application/vnd.openxmlformats-officedocument.drawingml.chart+xml"/>
  <Override PartName="/xl/drawings/drawing108.xml" ContentType="application/vnd.openxmlformats-officedocument.drawingml.chartshapes+xml"/>
  <Override PartName="/xl/drawings/drawing109.xml" ContentType="application/vnd.openxmlformats-officedocument.drawing+xml"/>
  <Override PartName="/xl/comments20.xml" ContentType="application/vnd.openxmlformats-officedocument.spreadsheetml.comments+xml"/>
  <Override PartName="/xl/charts/chart86.xml" ContentType="application/vnd.openxmlformats-officedocument.drawingml.chart+xml"/>
  <Override PartName="/xl/drawings/drawing110.xml" ContentType="application/vnd.openxmlformats-officedocument.drawingml.chartshape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BA Coursework\"/>
    </mc:Choice>
  </mc:AlternateContent>
  <bookViews>
    <workbookView xWindow="-120" yWindow="-120" windowWidth="29040" windowHeight="15840" firstSheet="30" activeTab="33"/>
  </bookViews>
  <sheets>
    <sheet name="Problem 4 a(1)" sheetId="1" r:id="rId1"/>
    <sheet name="Ressiduals for each region" sheetId="40" r:id="rId2"/>
    <sheet name="Time series data pivit table" sheetId="16" r:id="rId3"/>
    <sheet name="_PalUtilTempWorksheet" sheetId="2" state="hidden" r:id="rId4"/>
    <sheet name="Time Series North a(1)" sheetId="26" r:id="rId5"/>
    <sheet name="Time Series South a(1)" sheetId="27" r:id="rId6"/>
    <sheet name="Time series east a(1)" sheetId="25" r:id="rId7"/>
    <sheet name="Time Series West a(1)" sheetId="28" r:id="rId8"/>
    <sheet name="Moving Averages Ds(East) a(3)" sheetId="31" r:id="rId9"/>
    <sheet name="Expo.Smoothing Ds(East) a(3)" sheetId="38" r:id="rId10"/>
    <sheet name="Winters(East)" sheetId="42" r:id="rId11"/>
    <sheet name="Moving average(East)" sheetId="88" r:id="rId12"/>
    <sheet name="Simple Expo.(East)" sheetId="89" r:id="rId13"/>
    <sheet name="Holt's Expo. Ds (East)" sheetId="87" r:id="rId14"/>
    <sheet name="Winter's Forecaset(North) a(3)" sheetId="32" r:id="rId15"/>
    <sheet name="Moving averages  DS(North)" sheetId="79" r:id="rId16"/>
    <sheet name="Moving average DS(south)" sheetId="80" r:id="rId17"/>
    <sheet name="Holt's EXpo DS(South)" sheetId="81" r:id="rId18"/>
    <sheet name="Winter's Forecast(South) a(3)" sheetId="33" r:id="rId19"/>
    <sheet name="Simple Expo.(South)" sheetId="85" r:id="rId20"/>
    <sheet name="Winter's Forecast(West) a(3)" sheetId="34" r:id="rId21"/>
    <sheet name="_STDS_DG13AF8C24" sheetId="61" state="hidden" r:id="rId22"/>
    <sheet name="_STDS_DG1A945530" sheetId="62" state="hidden" r:id="rId23"/>
    <sheet name="_STDS_DG1E9F5B1E" sheetId="63" state="hidden" r:id="rId24"/>
    <sheet name="_STDS_DG270E76AF" sheetId="64" state="hidden" r:id="rId25"/>
    <sheet name="_STDS_DG2CCBF83C" sheetId="65" state="hidden" r:id="rId26"/>
    <sheet name="_STDS_DG392A1526" sheetId="66" state="hidden" r:id="rId27"/>
    <sheet name="_STDS_DG41BA21D" sheetId="67" state="hidden" r:id="rId28"/>
    <sheet name="_STDS_DG16BE9D00" sheetId="68" state="hidden" r:id="rId29"/>
    <sheet name="Moving average DS(WEST)" sheetId="82" r:id="rId30"/>
    <sheet name="Simple Expo. DS(West)" sheetId="83" r:id="rId31"/>
    <sheet name="Holt's Expo. DS(West)" sheetId="84" r:id="rId32"/>
    <sheet name="Autocorrelation North" sheetId="70" r:id="rId33"/>
    <sheet name="Autocorrelation South" sheetId="71" r:id="rId34"/>
    <sheet name="Autocorrelation East" sheetId="72" r:id="rId35"/>
    <sheet name="Autocorrelation West" sheetId="73" r:id="rId36"/>
    <sheet name=" Runs test North" sheetId="75" r:id="rId37"/>
    <sheet name="Runs test South" sheetId="76" r:id="rId38"/>
    <sheet name="Runs test East" sheetId="77" r:id="rId39"/>
    <sheet name="Runs test West" sheetId="78" r:id="rId40"/>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0" hidden="1">'Problem 4 a(1)'!$J$1:$K$118</definedName>
    <definedName name="East_Trend">'Problem 4 a(1)'!#REF!</definedName>
    <definedName name="PalisadeReportWorksheetCreatedBy" localSheetId="36" hidden="1">"StatTools"</definedName>
    <definedName name="PalisadeReportWorksheetCreatedBy" localSheetId="34" hidden="1">"StatTools"</definedName>
    <definedName name="PalisadeReportWorksheetCreatedBy" localSheetId="32" hidden="1">"StatTools"</definedName>
    <definedName name="PalisadeReportWorksheetCreatedBy" localSheetId="33" hidden="1">"StatTools"</definedName>
    <definedName name="PalisadeReportWorksheetCreatedBy" localSheetId="35" hidden="1">"StatTools"</definedName>
    <definedName name="PalisadeReportWorksheetCreatedBy" localSheetId="9" hidden="1">"StatTools"</definedName>
    <definedName name="PalisadeReportWorksheetCreatedBy" localSheetId="17" hidden="1">"StatTools"</definedName>
    <definedName name="PalisadeReportWorksheetCreatedBy" localSheetId="13" hidden="1">"StatTools"</definedName>
    <definedName name="PalisadeReportWorksheetCreatedBy" localSheetId="31" hidden="1">"StatTools"</definedName>
    <definedName name="PalisadeReportWorksheetCreatedBy" localSheetId="16" hidden="1">"StatTools"</definedName>
    <definedName name="PalisadeReportWorksheetCreatedBy" localSheetId="29" hidden="1">"StatTools"</definedName>
    <definedName name="PalisadeReportWorksheetCreatedBy" localSheetId="11" hidden="1">"StatTools"</definedName>
    <definedName name="PalisadeReportWorksheetCreatedBy" localSheetId="15" hidden="1">"StatTools"</definedName>
    <definedName name="PalisadeReportWorksheetCreatedBy" localSheetId="8" hidden="1">"StatTools"</definedName>
    <definedName name="PalisadeReportWorksheetCreatedBy" localSheetId="38" hidden="1">"StatTools"</definedName>
    <definedName name="PalisadeReportWorksheetCreatedBy" localSheetId="37" hidden="1">"StatTools"</definedName>
    <definedName name="PalisadeReportWorksheetCreatedBy" localSheetId="39" hidden="1">"StatTools"</definedName>
    <definedName name="PalisadeReportWorksheetCreatedBy" localSheetId="30" hidden="1">"StatTools"</definedName>
    <definedName name="PalisadeReportWorksheetCreatedBy" localSheetId="12" hidden="1">"StatTools"</definedName>
    <definedName name="PalisadeReportWorksheetCreatedBy" localSheetId="19" hidden="1">"StatTools"</definedName>
    <definedName name="PalisadeReportWorksheetCreatedBy" localSheetId="6" hidden="1">"StatTools"</definedName>
    <definedName name="PalisadeReportWorksheetCreatedBy" localSheetId="4" hidden="1">"StatTools"</definedName>
    <definedName name="PalisadeReportWorksheetCreatedBy" localSheetId="5" hidden="1">"StatTools"</definedName>
    <definedName name="PalisadeReportWorksheetCreatedBy" localSheetId="7" hidden="1">"StatTools"</definedName>
    <definedName name="PalisadeReportWorksheetCreatedBy" localSheetId="14" hidden="1">"StatTools"</definedName>
    <definedName name="PalisadeReportWorksheetCreatedBy" localSheetId="18" hidden="1">"StatTools"</definedName>
    <definedName name="PalisadeReportWorksheetCreatedBy" localSheetId="20" hidden="1">"StatTools"</definedName>
    <definedName name="PalisadeReportWorksheetCreatedBy" localSheetId="10" hidden="1">"StatTools"</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definedName>
    <definedName name="RiskNumSimulations" hidden="1">3</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South_Trend">'Problem 4 a(1)'!#REF!</definedName>
    <definedName name="ST_East">'Problem 4 a(1)'!$B$2:$B$118</definedName>
    <definedName name="ST_North">'Problem 4 a(1)'!$H$2:$H$118</definedName>
    <definedName name="ST_ResidualNorth">'Ressiduals for each region'!$C$2:$C$118</definedName>
    <definedName name="ST_ResidualSouth">'Ressiduals for each region'!$B$2:$B$118</definedName>
    <definedName name="ST_ResidualWest">'Ressiduals for each region'!$D$2:$D$118</definedName>
    <definedName name="ST_RessidualEast">'Ressiduals for each region'!$A$2:$A$118</definedName>
    <definedName name="ST_South">'Problem 4 a(1)'!$E$2:$E$118</definedName>
    <definedName name="ST_TimePeriod">'Problem 4 a(1)'!$A$2:$A$118</definedName>
    <definedName name="ST_TimePeriod_10">'Problem 4 a(1)'!$G$2:$G$118</definedName>
    <definedName name="ST_TimePeriod_14">'Problem 4 a(1)'!$J$2:$J$118</definedName>
    <definedName name="ST_TimePeriod_7">'Problem 4 a(1)'!$D$2:$D$118</definedName>
    <definedName name="ST_West">'Problem 4 a(1)'!$K$2:$K$118</definedName>
    <definedName name="StatToolsHeader" localSheetId="36">' Runs test North'!$1:$5</definedName>
    <definedName name="StatToolsHeader" localSheetId="34">'Autocorrelation East'!$1:$5</definedName>
    <definedName name="StatToolsHeader" localSheetId="32">'Autocorrelation North'!$1:$5</definedName>
    <definedName name="StatToolsHeader" localSheetId="33">'Autocorrelation South'!$1:$5</definedName>
    <definedName name="StatToolsHeader" localSheetId="35">'Autocorrelation West'!$1:$5</definedName>
    <definedName name="StatToolsHeader" localSheetId="9">'Expo.Smoothing Ds(East) a(3)'!$1:$5</definedName>
    <definedName name="StatToolsHeader" localSheetId="17">'Holt''s EXpo DS(South)'!$1:$5</definedName>
    <definedName name="StatToolsHeader" localSheetId="13">'Holt''s Expo. Ds (East)'!$1:$5</definedName>
    <definedName name="StatToolsHeader" localSheetId="31">'Holt''s Expo. DS(West)'!$1:$5</definedName>
    <definedName name="StatToolsHeader" localSheetId="16">'Moving average DS(south)'!$1:$5</definedName>
    <definedName name="StatToolsHeader" localSheetId="29">'Moving average DS(WEST)'!$1:$5</definedName>
    <definedName name="StatToolsHeader" localSheetId="11">'Moving average(East)'!$1:$5</definedName>
    <definedName name="StatToolsHeader" localSheetId="15">'Moving averages  DS(North)'!$1:$5</definedName>
    <definedName name="StatToolsHeader" localSheetId="8">'Moving Averages Ds(East) a(3)'!$1:$5</definedName>
    <definedName name="StatToolsHeader" localSheetId="38">'Runs test East'!$1:$5</definedName>
    <definedName name="StatToolsHeader" localSheetId="37">'Runs test South'!$1:$5</definedName>
    <definedName name="StatToolsHeader" localSheetId="39">'Runs test West'!$1:$5</definedName>
    <definedName name="StatToolsHeader" localSheetId="30">'Simple Expo. DS(West)'!$1:$5</definedName>
    <definedName name="StatToolsHeader" localSheetId="12">'Simple Expo.(East)'!$1:$5</definedName>
    <definedName name="StatToolsHeader" localSheetId="19">'Simple Expo.(South)'!$1:$5</definedName>
    <definedName name="StatToolsHeader" localSheetId="6">'Time series east a(1)'!$1:$5</definedName>
    <definedName name="StatToolsHeader" localSheetId="4">'Time Series North a(1)'!$1:$5</definedName>
    <definedName name="StatToolsHeader" localSheetId="5">'Time Series South a(1)'!$1:$5</definedName>
    <definedName name="StatToolsHeader" localSheetId="7">'Time Series West a(1)'!$1:$5</definedName>
    <definedName name="StatToolsHeader" localSheetId="14">'Winter''s Forecaset(North) a(3)'!$1:$5</definedName>
    <definedName name="StatToolsHeader" localSheetId="18">'Winter''s Forecast(South) a(3)'!$1:$5</definedName>
    <definedName name="StatToolsHeader" localSheetId="20">'Winter''s Forecast(West) a(3)'!$1:$5</definedName>
    <definedName name="StatToolsHeader" localSheetId="10">'Winters(East)'!$1:$5</definedName>
    <definedName name="STWBD_StatToolsAutocorrelation_CreateChart" hidden="1">"TRUE"</definedName>
    <definedName name="STWBD_StatToolsAutocorrelation_HasDefaultInfo" hidden="1">"TRUE"</definedName>
    <definedName name="STWBD_StatToolsAutocorrelation_NumLags" hidden="1">"-1"</definedName>
    <definedName name="STWBD_StatToolsAutocorrelation_VariableList" hidden="1">1</definedName>
    <definedName name="STWBD_StatToolsAutocorrelation_VariableList_1" hidden="1">"U_x0001_VG195BA6B6C219AED_x0001_"</definedName>
    <definedName name="STWBD_StatToolsAutocorrelation_VarSelectorDefaultDataSet" hidden="1">"DG1E9F5B1E"</definedName>
    <definedName name="STWBD_StatToolsForecast_Deseasonalize" hidden="1">"FALSE"</definedName>
    <definedName name="STWBD_StatToolsForecast_ForecastMethod" hidden="1">" 2"</definedName>
    <definedName name="STWBD_StatToolsForecast_GraphDeseasonalizedForecastErrors" hidden="1">"FALSE"</definedName>
    <definedName name="STWBD_StatToolsForecast_GraphDeseasonalizedForecastOverlay" hidden="1">"FALSE"</definedName>
    <definedName name="STWBD_StatToolsForecast_GraphDeseasonalizedOriginalSeries" hidden="1">"FALSE"</definedName>
    <definedName name="STWBD_StatToolsForecast_GraphForecastErrors" hidden="1">"TRUE"</definedName>
    <definedName name="STWBD_StatToolsForecast_GraphForecastOverlay" hidden="1">"TRUE"</definedName>
    <definedName name="STWBD_StatToolsForecast_GraphOriginalSeries" hidden="1">"TRUE"</definedName>
    <definedName name="STWBD_StatToolsForecast_HasDefaultInfo" hidden="1">"TRUE"</definedName>
    <definedName name="STWBD_StatToolsForecast_Level" hidden="1">" .1"</definedName>
    <definedName name="STWBD_StatToolsForecast_NumberOfForecasts" hidden="1">" 8"</definedName>
    <definedName name="STWBD_StatToolsForecast_NumberOfHoldOuts" hidden="1">" 0"</definedName>
    <definedName name="STWBD_StatToolsForecast_NumberOfSeasons" hidden="1">" 12"</definedName>
    <definedName name="STWBD_StatToolsForecast_OptimizeParameters" hidden="1">"TRUE"</definedName>
    <definedName name="STWBD_StatToolsForecast_Seasonality" hidden="1">" 0"</definedName>
    <definedName name="STWBD_StatToolsForecast_SeasonalPeriod" hidden="1">" 2"</definedName>
    <definedName name="STWBD_StatToolsForecast_Span" hidden="1">" 0"</definedName>
    <definedName name="STWBD_StatToolsForecast_StartingDay" hidden="1">" 1"</definedName>
    <definedName name="STWBD_StatToolsForecast_StartingIndex" hidden="1">" 8"</definedName>
    <definedName name="STWBD_StatToolsForecast_StartingMonth" hidden="1">" 8"</definedName>
    <definedName name="STWBD_StatToolsForecast_StartingQuarter" hidden="1">" 1"</definedName>
    <definedName name="STWBD_StatToolsForecast_StartingWeek" hidden="1">" 1"</definedName>
    <definedName name="STWBD_StatToolsForecast_StartingYear" hidden="1">" 2013"</definedName>
    <definedName name="STWBD_StatToolsForecast_Trend" hidden="1">" .1"</definedName>
    <definedName name="STWBD_StatToolsForecast_UseSeasonLabels" hidden="1">"TRUE"</definedName>
    <definedName name="STWBD_StatToolsForecast_Variable" hidden="1">"U_x0001_VG271449BB373A0E94_x0001_"</definedName>
    <definedName name="STWBD_StatToolsForecast_VarSelectorDefaultDataSet" hidden="1">"DG1A945530"</definedName>
    <definedName name="STWBD_StatToolsRunsTest_CutOffType" hidden="1">" 2"</definedName>
    <definedName name="STWBD_StatToolsRunsTest_CutOffValue" hidden="1">" 0"</definedName>
    <definedName name="STWBD_StatToolsRunsTest_HasDefaultInfo" hidden="1">"TRUE"</definedName>
    <definedName name="STWBD_StatToolsRunsTest_VariableList" hidden="1">1</definedName>
    <definedName name="STWBD_StatToolsRunsTest_VariableList_1" hidden="1">"U_x0001_VG195BA6B6C219AED_x0001_"</definedName>
    <definedName name="STWBD_StatToolsRunsTest_VarSelectorDefaultDataSet" hidden="1">"DG1E9F5B1E"</definedName>
    <definedName name="STWBD_StatToolsTimeSeriesGraph_DefaultUseLabelVariable" hidden="1">"TRUE"</definedName>
    <definedName name="STWBD_StatToolsTimeSeriesGraph_HasDefaultInfo" hidden="1">"TRUE"</definedName>
    <definedName name="STWBD_StatToolsTimeSeriesGraph_LabelVariable" hidden="1">"U_x0001_VG52779581FDCDD76_x0001_"</definedName>
    <definedName name="STWBD_StatToolsTimeSeriesGraph_SingleGraph" hidden="1">"TRUE"</definedName>
    <definedName name="STWBD_StatToolsTimeSeriesGraph_TwoVerticalAxes" hidden="1">"FALSE"</definedName>
    <definedName name="STWBD_StatToolsTimeSeriesGraph_VariableList" hidden="1">1</definedName>
    <definedName name="STWBD_StatToolsTimeSeriesGraph_VariableList_1" hidden="1">"U_x0001_VG1EB8F2BD33775850_x0001_"</definedName>
    <definedName name="STWBD_StatToolsTimeSeriesGraph_VarSelectorDefaultDataSet" hidden="1">"DG2CCBF83C"</definedName>
  </definedNames>
  <calcPr calcId="162913"/>
  <pivotCaches>
    <pivotCache cacheId="1" r:id="rId4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62" l="1"/>
  <c r="B9" i="67"/>
  <c r="B9" i="66"/>
  <c r="B9" i="65"/>
  <c r="B9" i="64"/>
  <c r="B9" i="63"/>
  <c r="B9" i="68"/>
  <c r="B9" i="61"/>
  <c r="C84" i="89"/>
  <c r="D85" i="89" s="1"/>
  <c r="C83" i="89"/>
  <c r="D84" i="89" s="1"/>
  <c r="E84" i="89" s="1"/>
  <c r="B199" i="89"/>
  <c r="B198" i="89"/>
  <c r="B197" i="89"/>
  <c r="B196" i="89"/>
  <c r="B195" i="89"/>
  <c r="B194" i="89"/>
  <c r="B193" i="89"/>
  <c r="B192" i="89"/>
  <c r="B191" i="89"/>
  <c r="B190" i="89"/>
  <c r="B189" i="89"/>
  <c r="B188" i="89"/>
  <c r="B187" i="89"/>
  <c r="B186" i="89"/>
  <c r="B185" i="89"/>
  <c r="B184" i="89"/>
  <c r="B183" i="89"/>
  <c r="B182" i="89"/>
  <c r="B181" i="89"/>
  <c r="B180" i="89"/>
  <c r="B179" i="89"/>
  <c r="B178" i="89"/>
  <c r="B177" i="89"/>
  <c r="B176" i="89"/>
  <c r="B175" i="89"/>
  <c r="B174" i="89"/>
  <c r="B173" i="89"/>
  <c r="B172" i="89"/>
  <c r="B171" i="89"/>
  <c r="B170" i="89"/>
  <c r="B169" i="89"/>
  <c r="B168" i="89"/>
  <c r="B167" i="89"/>
  <c r="B166" i="89"/>
  <c r="B165" i="89"/>
  <c r="B164" i="89"/>
  <c r="B163" i="89"/>
  <c r="B162" i="89"/>
  <c r="B161" i="89"/>
  <c r="B160" i="89"/>
  <c r="B159" i="89"/>
  <c r="B158" i="89"/>
  <c r="B157" i="89"/>
  <c r="B156" i="89"/>
  <c r="B155" i="89"/>
  <c r="B154" i="89"/>
  <c r="B153" i="89"/>
  <c r="B152" i="89"/>
  <c r="B151" i="89"/>
  <c r="B150" i="89"/>
  <c r="B149" i="89"/>
  <c r="B148" i="89"/>
  <c r="B147" i="89"/>
  <c r="B146" i="89"/>
  <c r="B145" i="89"/>
  <c r="B144" i="89"/>
  <c r="B143" i="89"/>
  <c r="B142" i="89"/>
  <c r="B141" i="89"/>
  <c r="B140" i="89"/>
  <c r="B139" i="89"/>
  <c r="B138" i="89"/>
  <c r="B137" i="89"/>
  <c r="B136" i="89"/>
  <c r="B135" i="89"/>
  <c r="B134" i="89"/>
  <c r="B133" i="89"/>
  <c r="B132" i="89"/>
  <c r="B131" i="89"/>
  <c r="B130" i="89"/>
  <c r="B129" i="89"/>
  <c r="B128" i="89"/>
  <c r="B127" i="89"/>
  <c r="B126" i="89"/>
  <c r="B125" i="89"/>
  <c r="B124" i="89"/>
  <c r="B123" i="89"/>
  <c r="B122" i="89"/>
  <c r="B121" i="89"/>
  <c r="B120" i="89"/>
  <c r="B119" i="89"/>
  <c r="B118" i="89"/>
  <c r="B117" i="89"/>
  <c r="B116" i="89"/>
  <c r="B115" i="89"/>
  <c r="B114" i="89"/>
  <c r="B113" i="89"/>
  <c r="B112" i="89"/>
  <c r="B111" i="89"/>
  <c r="B110" i="89"/>
  <c r="B109" i="89"/>
  <c r="B108" i="89"/>
  <c r="B107" i="89"/>
  <c r="B106" i="89"/>
  <c r="B105" i="89"/>
  <c r="B104" i="89"/>
  <c r="B103" i="89"/>
  <c r="B102" i="89"/>
  <c r="B101" i="89"/>
  <c r="B100" i="89"/>
  <c r="B99" i="89"/>
  <c r="B98" i="89"/>
  <c r="B97" i="89"/>
  <c r="B96" i="89"/>
  <c r="B95" i="89"/>
  <c r="B94" i="89"/>
  <c r="B93" i="89"/>
  <c r="B92" i="89"/>
  <c r="B91" i="89"/>
  <c r="B90" i="89"/>
  <c r="B89" i="89"/>
  <c r="B88" i="89"/>
  <c r="B87" i="89"/>
  <c r="B86" i="89"/>
  <c r="B85" i="89"/>
  <c r="B84" i="89"/>
  <c r="B83" i="89"/>
  <c r="B199" i="88"/>
  <c r="B198" i="88"/>
  <c r="B197" i="88"/>
  <c r="B196" i="88"/>
  <c r="B195" i="88"/>
  <c r="B194" i="88"/>
  <c r="B193" i="88"/>
  <c r="B192" i="88"/>
  <c r="B191" i="88"/>
  <c r="B190" i="88"/>
  <c r="B189" i="88"/>
  <c r="B188" i="88"/>
  <c r="B187" i="88"/>
  <c r="B186" i="88"/>
  <c r="B185" i="88"/>
  <c r="B184" i="88"/>
  <c r="B183" i="88"/>
  <c r="B182" i="88"/>
  <c r="B181" i="88"/>
  <c r="B180" i="88"/>
  <c r="B179" i="88"/>
  <c r="B178" i="88"/>
  <c r="B177" i="88"/>
  <c r="B176" i="88"/>
  <c r="B175" i="88"/>
  <c r="B174" i="88"/>
  <c r="B173" i="88"/>
  <c r="B172" i="88"/>
  <c r="B171" i="88"/>
  <c r="B170" i="88"/>
  <c r="B169" i="88"/>
  <c r="B168" i="88"/>
  <c r="B167" i="88"/>
  <c r="B166" i="88"/>
  <c r="B165" i="88"/>
  <c r="B164" i="88"/>
  <c r="B163" i="88"/>
  <c r="B162" i="88"/>
  <c r="B161" i="88"/>
  <c r="B160" i="88"/>
  <c r="B159" i="88"/>
  <c r="B158" i="88"/>
  <c r="B157" i="88"/>
  <c r="B156" i="88"/>
  <c r="B155" i="88"/>
  <c r="B154" i="88"/>
  <c r="B153" i="88"/>
  <c r="B152" i="88"/>
  <c r="B151" i="88"/>
  <c r="B150" i="88"/>
  <c r="B149" i="88"/>
  <c r="B148" i="88"/>
  <c r="B147" i="88"/>
  <c r="B146" i="88"/>
  <c r="B145" i="88"/>
  <c r="B144" i="88"/>
  <c r="B143" i="88"/>
  <c r="B142" i="88"/>
  <c r="B141" i="88"/>
  <c r="B140" i="88"/>
  <c r="B139" i="88"/>
  <c r="B138" i="88"/>
  <c r="B137" i="88"/>
  <c r="B136" i="88"/>
  <c r="B135" i="88"/>
  <c r="B134" i="88"/>
  <c r="B133" i="88"/>
  <c r="B132" i="88"/>
  <c r="B131" i="88"/>
  <c r="B130" i="88"/>
  <c r="B129" i="88"/>
  <c r="B128" i="88"/>
  <c r="B127" i="88"/>
  <c r="B126" i="88"/>
  <c r="B125" i="88"/>
  <c r="B124" i="88"/>
  <c r="B123" i="88"/>
  <c r="B122" i="88"/>
  <c r="B121" i="88"/>
  <c r="B120" i="88"/>
  <c r="B119" i="88"/>
  <c r="B118" i="88"/>
  <c r="B117" i="88"/>
  <c r="B116" i="88"/>
  <c r="B115" i="88"/>
  <c r="B114" i="88"/>
  <c r="B113" i="88"/>
  <c r="B112" i="88"/>
  <c r="B111" i="88"/>
  <c r="B110" i="88"/>
  <c r="B109" i="88"/>
  <c r="B108" i="88"/>
  <c r="B107" i="88"/>
  <c r="B106" i="88"/>
  <c r="B105" i="88"/>
  <c r="B104" i="88"/>
  <c r="B103" i="88"/>
  <c r="B102" i="88"/>
  <c r="B101" i="88"/>
  <c r="B100" i="88"/>
  <c r="B99" i="88"/>
  <c r="B98" i="88"/>
  <c r="B97" i="88"/>
  <c r="B96" i="88"/>
  <c r="B95" i="88"/>
  <c r="B94" i="88"/>
  <c r="B93" i="88"/>
  <c r="B92" i="88"/>
  <c r="B91" i="88"/>
  <c r="B90" i="88"/>
  <c r="B89" i="88"/>
  <c r="B88" i="88"/>
  <c r="B87" i="88"/>
  <c r="B86" i="88"/>
  <c r="B85" i="88"/>
  <c r="B84" i="88"/>
  <c r="B83" i="88"/>
  <c r="D253" i="87"/>
  <c r="D241" i="87"/>
  <c r="D229" i="87"/>
  <c r="D217" i="87"/>
  <c r="D213" i="87"/>
  <c r="D205" i="87"/>
  <c r="D201" i="87"/>
  <c r="D193" i="87"/>
  <c r="D189" i="87"/>
  <c r="D181" i="87"/>
  <c r="D177" i="87"/>
  <c r="D169" i="87"/>
  <c r="D165" i="87"/>
  <c r="D157" i="87"/>
  <c r="D153" i="87"/>
  <c r="B263" i="87"/>
  <c r="D263" i="87" s="1"/>
  <c r="B262" i="87"/>
  <c r="D262" i="87" s="1"/>
  <c r="B261" i="87"/>
  <c r="D261" i="87" s="1"/>
  <c r="B260" i="87"/>
  <c r="D260" i="87" s="1"/>
  <c r="B259" i="87"/>
  <c r="D259" i="87" s="1"/>
  <c r="B258" i="87"/>
  <c r="B257" i="87"/>
  <c r="B256" i="87"/>
  <c r="B255" i="87"/>
  <c r="B254" i="87"/>
  <c r="B253" i="87"/>
  <c r="B252" i="87"/>
  <c r="D252" i="87" s="1"/>
  <c r="B251" i="87"/>
  <c r="D251" i="87" s="1"/>
  <c r="B250" i="87"/>
  <c r="D250" i="87" s="1"/>
  <c r="B249" i="87"/>
  <c r="D249" i="87" s="1"/>
  <c r="B248" i="87"/>
  <c r="D248" i="87" s="1"/>
  <c r="B247" i="87"/>
  <c r="D247" i="87" s="1"/>
  <c r="B246" i="87"/>
  <c r="B245" i="87"/>
  <c r="B244" i="87"/>
  <c r="B243" i="87"/>
  <c r="B242" i="87"/>
  <c r="B241" i="87"/>
  <c r="B240" i="87"/>
  <c r="D240" i="87" s="1"/>
  <c r="B239" i="87"/>
  <c r="D239" i="87" s="1"/>
  <c r="B238" i="87"/>
  <c r="D238" i="87" s="1"/>
  <c r="B237" i="87"/>
  <c r="D237" i="87" s="1"/>
  <c r="B236" i="87"/>
  <c r="D236" i="87" s="1"/>
  <c r="B235" i="87"/>
  <c r="D235" i="87" s="1"/>
  <c r="B234" i="87"/>
  <c r="B233" i="87"/>
  <c r="B232" i="87"/>
  <c r="B231" i="87"/>
  <c r="B230" i="87"/>
  <c r="B229" i="87"/>
  <c r="B228" i="87"/>
  <c r="D228" i="87" s="1"/>
  <c r="B227" i="87"/>
  <c r="D227" i="87" s="1"/>
  <c r="B226" i="87"/>
  <c r="D226" i="87" s="1"/>
  <c r="B225" i="87"/>
  <c r="D225" i="87" s="1"/>
  <c r="B224" i="87"/>
  <c r="D224" i="87" s="1"/>
  <c r="B223" i="87"/>
  <c r="D223" i="87" s="1"/>
  <c r="B222" i="87"/>
  <c r="B221" i="87"/>
  <c r="B220" i="87"/>
  <c r="B219" i="87"/>
  <c r="B218" i="87"/>
  <c r="B217" i="87"/>
  <c r="B216" i="87"/>
  <c r="D216" i="87" s="1"/>
  <c r="B215" i="87"/>
  <c r="D215" i="87" s="1"/>
  <c r="B214" i="87"/>
  <c r="D214" i="87" s="1"/>
  <c r="B213" i="87"/>
  <c r="B212" i="87"/>
  <c r="D212" i="87" s="1"/>
  <c r="B211" i="87"/>
  <c r="D211" i="87" s="1"/>
  <c r="B210" i="87"/>
  <c r="B209" i="87"/>
  <c r="B208" i="87"/>
  <c r="B207" i="87"/>
  <c r="B206" i="87"/>
  <c r="B205" i="87"/>
  <c r="B204" i="87"/>
  <c r="D204" i="87" s="1"/>
  <c r="B203" i="87"/>
  <c r="D203" i="87" s="1"/>
  <c r="B202" i="87"/>
  <c r="D202" i="87" s="1"/>
  <c r="B201" i="87"/>
  <c r="B200" i="87"/>
  <c r="D200" i="87" s="1"/>
  <c r="B199" i="87"/>
  <c r="D199" i="87" s="1"/>
  <c r="B198" i="87"/>
  <c r="B197" i="87"/>
  <c r="B196" i="87"/>
  <c r="B195" i="87"/>
  <c r="B194" i="87"/>
  <c r="B193" i="87"/>
  <c r="B192" i="87"/>
  <c r="D192" i="87" s="1"/>
  <c r="B191" i="87"/>
  <c r="D191" i="87" s="1"/>
  <c r="B190" i="87"/>
  <c r="D190" i="87" s="1"/>
  <c r="B189" i="87"/>
  <c r="B188" i="87"/>
  <c r="D188" i="87" s="1"/>
  <c r="B187" i="87"/>
  <c r="D187" i="87" s="1"/>
  <c r="B186" i="87"/>
  <c r="B185" i="87"/>
  <c r="B184" i="87"/>
  <c r="B183" i="87"/>
  <c r="B182" i="87"/>
  <c r="B181" i="87"/>
  <c r="B180" i="87"/>
  <c r="D180" i="87" s="1"/>
  <c r="B179" i="87"/>
  <c r="D179" i="87" s="1"/>
  <c r="B178" i="87"/>
  <c r="D178" i="87" s="1"/>
  <c r="B177" i="87"/>
  <c r="B176" i="87"/>
  <c r="D176" i="87" s="1"/>
  <c r="B175" i="87"/>
  <c r="D175" i="87" s="1"/>
  <c r="B174" i="87"/>
  <c r="B173" i="87"/>
  <c r="B172" i="87"/>
  <c r="B171" i="87"/>
  <c r="B170" i="87"/>
  <c r="B169" i="87"/>
  <c r="B168" i="87"/>
  <c r="D168" i="87" s="1"/>
  <c r="B167" i="87"/>
  <c r="D167" i="87" s="1"/>
  <c r="B166" i="87"/>
  <c r="D166" i="87" s="1"/>
  <c r="B165" i="87"/>
  <c r="B164" i="87"/>
  <c r="D164" i="87" s="1"/>
  <c r="B163" i="87"/>
  <c r="D163" i="87" s="1"/>
  <c r="B162" i="87"/>
  <c r="B161" i="87"/>
  <c r="B160" i="87"/>
  <c r="B159" i="87"/>
  <c r="B158" i="87"/>
  <c r="B157" i="87"/>
  <c r="B156" i="87"/>
  <c r="D156" i="87" s="1"/>
  <c r="B155" i="87"/>
  <c r="D155" i="87" s="1"/>
  <c r="B154" i="87"/>
  <c r="D154" i="87" s="1"/>
  <c r="B153" i="87"/>
  <c r="B152" i="87"/>
  <c r="D152" i="87" s="1"/>
  <c r="B151" i="87"/>
  <c r="D151" i="87" s="1"/>
  <c r="B150" i="87"/>
  <c r="B149" i="87"/>
  <c r="B148" i="87"/>
  <c r="B147" i="87"/>
  <c r="D147" i="87" s="1"/>
  <c r="E147" i="87" s="1"/>
  <c r="E146" i="85"/>
  <c r="F147" i="85" s="1"/>
  <c r="H147" i="85" s="1"/>
  <c r="D262" i="85"/>
  <c r="D256" i="85"/>
  <c r="D255" i="85"/>
  <c r="D254" i="85"/>
  <c r="D251" i="85"/>
  <c r="D250" i="85"/>
  <c r="D244" i="85"/>
  <c r="D243" i="85"/>
  <c r="D242" i="85"/>
  <c r="D239" i="85"/>
  <c r="D238" i="85"/>
  <c r="D232" i="85"/>
  <c r="D231" i="85"/>
  <c r="D230" i="85"/>
  <c r="D227" i="85"/>
  <c r="D226" i="85"/>
  <c r="D220" i="85"/>
  <c r="D219" i="85"/>
  <c r="D218" i="85"/>
  <c r="D215" i="85"/>
  <c r="D214" i="85"/>
  <c r="D208" i="85"/>
  <c r="D207" i="85"/>
  <c r="D206" i="85"/>
  <c r="D203" i="85"/>
  <c r="D202" i="85"/>
  <c r="D196" i="85"/>
  <c r="D195" i="85"/>
  <c r="D194" i="85"/>
  <c r="D191" i="85"/>
  <c r="D190" i="85"/>
  <c r="D184" i="85"/>
  <c r="D183" i="85"/>
  <c r="D182" i="85"/>
  <c r="D179" i="85"/>
  <c r="D178" i="85"/>
  <c r="D172" i="85"/>
  <c r="D171" i="85"/>
  <c r="D170" i="85"/>
  <c r="D167" i="85"/>
  <c r="D166" i="85"/>
  <c r="D160" i="85"/>
  <c r="D159" i="85"/>
  <c r="D158" i="85"/>
  <c r="D155" i="85"/>
  <c r="D154" i="85"/>
  <c r="D148" i="85"/>
  <c r="D147" i="85"/>
  <c r="G147" i="85" s="1"/>
  <c r="D146" i="85"/>
  <c r="B262" i="85"/>
  <c r="B261" i="85"/>
  <c r="D261" i="85" s="1"/>
  <c r="B260" i="85"/>
  <c r="D260" i="85" s="1"/>
  <c r="B259" i="85"/>
  <c r="D259" i="85" s="1"/>
  <c r="B258" i="85"/>
  <c r="D258" i="85" s="1"/>
  <c r="B257" i="85"/>
  <c r="B256" i="85"/>
  <c r="B255" i="85"/>
  <c r="B254" i="85"/>
  <c r="B253" i="85"/>
  <c r="D253" i="85" s="1"/>
  <c r="B252" i="85"/>
  <c r="D252" i="85" s="1"/>
  <c r="B251" i="85"/>
  <c r="B250" i="85"/>
  <c r="B249" i="85"/>
  <c r="D249" i="85" s="1"/>
  <c r="B248" i="85"/>
  <c r="D248" i="85" s="1"/>
  <c r="B247" i="85"/>
  <c r="D247" i="85" s="1"/>
  <c r="B246" i="85"/>
  <c r="D246" i="85" s="1"/>
  <c r="B245" i="85"/>
  <c r="B244" i="85"/>
  <c r="B243" i="85"/>
  <c r="B242" i="85"/>
  <c r="B241" i="85"/>
  <c r="D241" i="85" s="1"/>
  <c r="B240" i="85"/>
  <c r="D240" i="85" s="1"/>
  <c r="B239" i="85"/>
  <c r="B238" i="85"/>
  <c r="B237" i="85"/>
  <c r="D237" i="85" s="1"/>
  <c r="B236" i="85"/>
  <c r="D236" i="85" s="1"/>
  <c r="B235" i="85"/>
  <c r="D235" i="85" s="1"/>
  <c r="B234" i="85"/>
  <c r="D234" i="85" s="1"/>
  <c r="B233" i="85"/>
  <c r="B232" i="85"/>
  <c r="B231" i="85"/>
  <c r="B230" i="85"/>
  <c r="B229" i="85"/>
  <c r="D229" i="85" s="1"/>
  <c r="B228" i="85"/>
  <c r="D228" i="85" s="1"/>
  <c r="B227" i="85"/>
  <c r="B226" i="85"/>
  <c r="B225" i="85"/>
  <c r="D225" i="85" s="1"/>
  <c r="B224" i="85"/>
  <c r="D224" i="85" s="1"/>
  <c r="B223" i="85"/>
  <c r="D223" i="85" s="1"/>
  <c r="B222" i="85"/>
  <c r="D222" i="85" s="1"/>
  <c r="B221" i="85"/>
  <c r="B220" i="85"/>
  <c r="B219" i="85"/>
  <c r="B218" i="85"/>
  <c r="B217" i="85"/>
  <c r="D217" i="85" s="1"/>
  <c r="B216" i="85"/>
  <c r="D216" i="85" s="1"/>
  <c r="B215" i="85"/>
  <c r="B214" i="85"/>
  <c r="B213" i="85"/>
  <c r="D213" i="85" s="1"/>
  <c r="B212" i="85"/>
  <c r="D212" i="85" s="1"/>
  <c r="B211" i="85"/>
  <c r="D211" i="85" s="1"/>
  <c r="B210" i="85"/>
  <c r="D210" i="85" s="1"/>
  <c r="B209" i="85"/>
  <c r="B208" i="85"/>
  <c r="B207" i="85"/>
  <c r="B206" i="85"/>
  <c r="B205" i="85"/>
  <c r="D205" i="85" s="1"/>
  <c r="B204" i="85"/>
  <c r="D204" i="85" s="1"/>
  <c r="B203" i="85"/>
  <c r="B202" i="85"/>
  <c r="B201" i="85"/>
  <c r="D201" i="85" s="1"/>
  <c r="B200" i="85"/>
  <c r="D200" i="85" s="1"/>
  <c r="B199" i="85"/>
  <c r="D199" i="85" s="1"/>
  <c r="B198" i="85"/>
  <c r="D198" i="85" s="1"/>
  <c r="B197" i="85"/>
  <c r="B196" i="85"/>
  <c r="B195" i="85"/>
  <c r="B194" i="85"/>
  <c r="B193" i="85"/>
  <c r="D193" i="85" s="1"/>
  <c r="B192" i="85"/>
  <c r="D192" i="85" s="1"/>
  <c r="B191" i="85"/>
  <c r="B190" i="85"/>
  <c r="B189" i="85"/>
  <c r="D189" i="85" s="1"/>
  <c r="B188" i="85"/>
  <c r="D188" i="85" s="1"/>
  <c r="B187" i="85"/>
  <c r="D187" i="85" s="1"/>
  <c r="B186" i="85"/>
  <c r="D186" i="85" s="1"/>
  <c r="B185" i="85"/>
  <c r="B184" i="85"/>
  <c r="B183" i="85"/>
  <c r="B182" i="85"/>
  <c r="B181" i="85"/>
  <c r="D181" i="85" s="1"/>
  <c r="B180" i="85"/>
  <c r="D180" i="85" s="1"/>
  <c r="B179" i="85"/>
  <c r="B178" i="85"/>
  <c r="B177" i="85"/>
  <c r="D177" i="85" s="1"/>
  <c r="B176" i="85"/>
  <c r="D176" i="85" s="1"/>
  <c r="B175" i="85"/>
  <c r="D175" i="85" s="1"/>
  <c r="B174" i="85"/>
  <c r="D174" i="85" s="1"/>
  <c r="B173" i="85"/>
  <c r="B172" i="85"/>
  <c r="B171" i="85"/>
  <c r="B170" i="85"/>
  <c r="B169" i="85"/>
  <c r="D169" i="85" s="1"/>
  <c r="B168" i="85"/>
  <c r="D168" i="85" s="1"/>
  <c r="B167" i="85"/>
  <c r="B166" i="85"/>
  <c r="B165" i="85"/>
  <c r="D165" i="85" s="1"/>
  <c r="B164" i="85"/>
  <c r="D164" i="85" s="1"/>
  <c r="B163" i="85"/>
  <c r="D163" i="85" s="1"/>
  <c r="B162" i="85"/>
  <c r="D162" i="85" s="1"/>
  <c r="B161" i="85"/>
  <c r="B160" i="85"/>
  <c r="B159" i="85"/>
  <c r="B158" i="85"/>
  <c r="B157" i="85"/>
  <c r="D157" i="85" s="1"/>
  <c r="B156" i="85"/>
  <c r="D156" i="85" s="1"/>
  <c r="B155" i="85"/>
  <c r="B154" i="85"/>
  <c r="B153" i="85"/>
  <c r="D153" i="85" s="1"/>
  <c r="B152" i="85"/>
  <c r="D152" i="85" s="1"/>
  <c r="B151" i="85"/>
  <c r="D151" i="85" s="1"/>
  <c r="B150" i="85"/>
  <c r="D150" i="85" s="1"/>
  <c r="B149" i="85"/>
  <c r="B148" i="85"/>
  <c r="B147" i="85"/>
  <c r="I147" i="85" s="1"/>
  <c r="B146" i="85"/>
  <c r="D258" i="84"/>
  <c r="D257" i="84"/>
  <c r="D255" i="84"/>
  <c r="D253" i="84"/>
  <c r="D246" i="84"/>
  <c r="D245" i="84"/>
  <c r="D243" i="84"/>
  <c r="D241" i="84"/>
  <c r="D234" i="84"/>
  <c r="D233" i="84"/>
  <c r="D231" i="84"/>
  <c r="D229" i="84"/>
  <c r="D222" i="84"/>
  <c r="D221" i="84"/>
  <c r="D219" i="84"/>
  <c r="D217" i="84"/>
  <c r="D210" i="84"/>
  <c r="D209" i="84"/>
  <c r="D207" i="84"/>
  <c r="D205" i="84"/>
  <c r="D198" i="84"/>
  <c r="D197" i="84"/>
  <c r="D195" i="84"/>
  <c r="D193" i="84"/>
  <c r="D186" i="84"/>
  <c r="D185" i="84"/>
  <c r="D183" i="84"/>
  <c r="D181" i="84"/>
  <c r="D174" i="84"/>
  <c r="D173" i="84"/>
  <c r="D171" i="84"/>
  <c r="D169" i="84"/>
  <c r="D162" i="84"/>
  <c r="D161" i="84"/>
  <c r="D159" i="84"/>
  <c r="D157" i="84"/>
  <c r="D150" i="84"/>
  <c r="D149" i="84"/>
  <c r="D147" i="84"/>
  <c r="E147" i="84" s="1"/>
  <c r="B263" i="84"/>
  <c r="D263" i="84" s="1"/>
  <c r="B262" i="84"/>
  <c r="B261" i="84"/>
  <c r="D261" i="84" s="1"/>
  <c r="B260" i="84"/>
  <c r="D260" i="84" s="1"/>
  <c r="B259" i="84"/>
  <c r="D259" i="84" s="1"/>
  <c r="B258" i="84"/>
  <c r="B257" i="84"/>
  <c r="B256" i="84"/>
  <c r="B255" i="84"/>
  <c r="B254" i="84"/>
  <c r="B253" i="84"/>
  <c r="B252" i="84"/>
  <c r="D252" i="84" s="1"/>
  <c r="B251" i="84"/>
  <c r="D251" i="84" s="1"/>
  <c r="B250" i="84"/>
  <c r="B249" i="84"/>
  <c r="D249" i="84" s="1"/>
  <c r="B248" i="84"/>
  <c r="D248" i="84" s="1"/>
  <c r="B247" i="84"/>
  <c r="D247" i="84" s="1"/>
  <c r="B246" i="84"/>
  <c r="B245" i="84"/>
  <c r="B244" i="84"/>
  <c r="B243" i="84"/>
  <c r="B242" i="84"/>
  <c r="B241" i="84"/>
  <c r="B240" i="84"/>
  <c r="D240" i="84" s="1"/>
  <c r="B239" i="84"/>
  <c r="D239" i="84" s="1"/>
  <c r="B238" i="84"/>
  <c r="B237" i="84"/>
  <c r="D237" i="84" s="1"/>
  <c r="B236" i="84"/>
  <c r="D236" i="84" s="1"/>
  <c r="B235" i="84"/>
  <c r="D235" i="84" s="1"/>
  <c r="B234" i="84"/>
  <c r="B233" i="84"/>
  <c r="B232" i="84"/>
  <c r="B231" i="84"/>
  <c r="B230" i="84"/>
  <c r="B229" i="84"/>
  <c r="B228" i="84"/>
  <c r="D228" i="84" s="1"/>
  <c r="B227" i="84"/>
  <c r="D227" i="84" s="1"/>
  <c r="B226" i="84"/>
  <c r="B225" i="84"/>
  <c r="D225" i="84" s="1"/>
  <c r="B224" i="84"/>
  <c r="D224" i="84" s="1"/>
  <c r="B223" i="84"/>
  <c r="D223" i="84" s="1"/>
  <c r="B222" i="84"/>
  <c r="B221" i="84"/>
  <c r="B220" i="84"/>
  <c r="B219" i="84"/>
  <c r="B218" i="84"/>
  <c r="B217" i="84"/>
  <c r="B216" i="84"/>
  <c r="D216" i="84" s="1"/>
  <c r="B215" i="84"/>
  <c r="D215" i="84" s="1"/>
  <c r="B214" i="84"/>
  <c r="B213" i="84"/>
  <c r="D213" i="84" s="1"/>
  <c r="B212" i="84"/>
  <c r="D212" i="84" s="1"/>
  <c r="B211" i="84"/>
  <c r="D211" i="84" s="1"/>
  <c r="B210" i="84"/>
  <c r="B209" i="84"/>
  <c r="B208" i="84"/>
  <c r="B207" i="84"/>
  <c r="B206" i="84"/>
  <c r="B205" i="84"/>
  <c r="B204" i="84"/>
  <c r="D204" i="84" s="1"/>
  <c r="B203" i="84"/>
  <c r="D203" i="84" s="1"/>
  <c r="B202" i="84"/>
  <c r="B201" i="84"/>
  <c r="D201" i="84" s="1"/>
  <c r="B200" i="84"/>
  <c r="D200" i="84" s="1"/>
  <c r="B199" i="84"/>
  <c r="D199" i="84" s="1"/>
  <c r="B198" i="84"/>
  <c r="B197" i="84"/>
  <c r="B196" i="84"/>
  <c r="B195" i="84"/>
  <c r="B194" i="84"/>
  <c r="B193" i="84"/>
  <c r="B192" i="84"/>
  <c r="D192" i="84" s="1"/>
  <c r="B191" i="84"/>
  <c r="D191" i="84" s="1"/>
  <c r="B190" i="84"/>
  <c r="B189" i="84"/>
  <c r="D189" i="84" s="1"/>
  <c r="B188" i="84"/>
  <c r="D188" i="84" s="1"/>
  <c r="B187" i="84"/>
  <c r="D187" i="84" s="1"/>
  <c r="B186" i="84"/>
  <c r="B185" i="84"/>
  <c r="B184" i="84"/>
  <c r="B183" i="84"/>
  <c r="B182" i="84"/>
  <c r="B181" i="84"/>
  <c r="B180" i="84"/>
  <c r="D180" i="84" s="1"/>
  <c r="B179" i="84"/>
  <c r="D179" i="84" s="1"/>
  <c r="B178" i="84"/>
  <c r="B177" i="84"/>
  <c r="D177" i="84" s="1"/>
  <c r="B176" i="84"/>
  <c r="D176" i="84" s="1"/>
  <c r="B175" i="84"/>
  <c r="D175" i="84" s="1"/>
  <c r="B174" i="84"/>
  <c r="B173" i="84"/>
  <c r="B172" i="84"/>
  <c r="B171" i="84"/>
  <c r="B170" i="84"/>
  <c r="B169" i="84"/>
  <c r="B168" i="84"/>
  <c r="D168" i="84" s="1"/>
  <c r="B167" i="84"/>
  <c r="D167" i="84" s="1"/>
  <c r="B166" i="84"/>
  <c r="B165" i="84"/>
  <c r="D165" i="84" s="1"/>
  <c r="B164" i="84"/>
  <c r="D164" i="84" s="1"/>
  <c r="B163" i="84"/>
  <c r="D163" i="84" s="1"/>
  <c r="B162" i="84"/>
  <c r="B161" i="84"/>
  <c r="B160" i="84"/>
  <c r="B159" i="84"/>
  <c r="B158" i="84"/>
  <c r="B157" i="84"/>
  <c r="B156" i="84"/>
  <c r="D156" i="84" s="1"/>
  <c r="B155" i="84"/>
  <c r="D155" i="84" s="1"/>
  <c r="B154" i="84"/>
  <c r="B153" i="84"/>
  <c r="D153" i="84" s="1"/>
  <c r="B152" i="84"/>
  <c r="D152" i="84" s="1"/>
  <c r="B151" i="84"/>
  <c r="D151" i="84" s="1"/>
  <c r="B150" i="84"/>
  <c r="B149" i="84"/>
  <c r="B148" i="84"/>
  <c r="B147" i="84"/>
  <c r="D255" i="83"/>
  <c r="D251" i="83"/>
  <c r="D243" i="83"/>
  <c r="D239" i="83"/>
  <c r="D231" i="83"/>
  <c r="D227" i="83"/>
  <c r="D219" i="83"/>
  <c r="D215" i="83"/>
  <c r="D207" i="83"/>
  <c r="D203" i="83"/>
  <c r="D195" i="83"/>
  <c r="D191" i="83"/>
  <c r="D183" i="83"/>
  <c r="D179" i="83"/>
  <c r="D171" i="83"/>
  <c r="D167" i="83"/>
  <c r="D159" i="83"/>
  <c r="D155" i="83"/>
  <c r="D147" i="83"/>
  <c r="B262" i="83"/>
  <c r="D262" i="83" s="1"/>
  <c r="B261" i="83"/>
  <c r="D261" i="83" s="1"/>
  <c r="B260" i="83"/>
  <c r="D260" i="83" s="1"/>
  <c r="B259" i="83"/>
  <c r="D259" i="83" s="1"/>
  <c r="B258" i="83"/>
  <c r="D258" i="83" s="1"/>
  <c r="B257" i="83"/>
  <c r="B256" i="83"/>
  <c r="B255" i="83"/>
  <c r="B254" i="83"/>
  <c r="D254" i="83" s="1"/>
  <c r="B253" i="83"/>
  <c r="D253" i="83" s="1"/>
  <c r="B252" i="83"/>
  <c r="D252" i="83" s="1"/>
  <c r="B251" i="83"/>
  <c r="B250" i="83"/>
  <c r="D250" i="83" s="1"/>
  <c r="B249" i="83"/>
  <c r="D249" i="83" s="1"/>
  <c r="B248" i="83"/>
  <c r="D248" i="83" s="1"/>
  <c r="B247" i="83"/>
  <c r="D247" i="83" s="1"/>
  <c r="B246" i="83"/>
  <c r="D246" i="83" s="1"/>
  <c r="B245" i="83"/>
  <c r="B244" i="83"/>
  <c r="B243" i="83"/>
  <c r="B242" i="83"/>
  <c r="D242" i="83" s="1"/>
  <c r="B241" i="83"/>
  <c r="D241" i="83" s="1"/>
  <c r="B240" i="83"/>
  <c r="D240" i="83" s="1"/>
  <c r="B239" i="83"/>
  <c r="B238" i="83"/>
  <c r="D238" i="83" s="1"/>
  <c r="B237" i="83"/>
  <c r="D237" i="83" s="1"/>
  <c r="B236" i="83"/>
  <c r="D236" i="83" s="1"/>
  <c r="B235" i="83"/>
  <c r="D235" i="83" s="1"/>
  <c r="B234" i="83"/>
  <c r="D234" i="83" s="1"/>
  <c r="B233" i="83"/>
  <c r="B232" i="83"/>
  <c r="B231" i="83"/>
  <c r="B230" i="83"/>
  <c r="D230" i="83" s="1"/>
  <c r="B229" i="83"/>
  <c r="D229" i="83" s="1"/>
  <c r="B228" i="83"/>
  <c r="D228" i="83" s="1"/>
  <c r="B227" i="83"/>
  <c r="B226" i="83"/>
  <c r="D226" i="83" s="1"/>
  <c r="B225" i="83"/>
  <c r="D225" i="83" s="1"/>
  <c r="B224" i="83"/>
  <c r="D224" i="83" s="1"/>
  <c r="B223" i="83"/>
  <c r="D223" i="83" s="1"/>
  <c r="B222" i="83"/>
  <c r="D222" i="83" s="1"/>
  <c r="B221" i="83"/>
  <c r="B220" i="83"/>
  <c r="B219" i="83"/>
  <c r="B218" i="83"/>
  <c r="D218" i="83" s="1"/>
  <c r="B217" i="83"/>
  <c r="D217" i="83" s="1"/>
  <c r="B216" i="83"/>
  <c r="D216" i="83" s="1"/>
  <c r="B215" i="83"/>
  <c r="B214" i="83"/>
  <c r="D214" i="83" s="1"/>
  <c r="B213" i="83"/>
  <c r="D213" i="83" s="1"/>
  <c r="B212" i="83"/>
  <c r="D212" i="83" s="1"/>
  <c r="B211" i="83"/>
  <c r="D211" i="83" s="1"/>
  <c r="B210" i="83"/>
  <c r="D210" i="83" s="1"/>
  <c r="B209" i="83"/>
  <c r="B208" i="83"/>
  <c r="B207" i="83"/>
  <c r="B206" i="83"/>
  <c r="D206" i="83" s="1"/>
  <c r="B205" i="83"/>
  <c r="D205" i="83" s="1"/>
  <c r="B204" i="83"/>
  <c r="D204" i="83" s="1"/>
  <c r="B203" i="83"/>
  <c r="B202" i="83"/>
  <c r="D202" i="83" s="1"/>
  <c r="B201" i="83"/>
  <c r="D201" i="83" s="1"/>
  <c r="B200" i="83"/>
  <c r="D200" i="83" s="1"/>
  <c r="B199" i="83"/>
  <c r="D199" i="83" s="1"/>
  <c r="B198" i="83"/>
  <c r="D198" i="83" s="1"/>
  <c r="B197" i="83"/>
  <c r="B196" i="83"/>
  <c r="B195" i="83"/>
  <c r="B194" i="83"/>
  <c r="D194" i="83" s="1"/>
  <c r="B193" i="83"/>
  <c r="D193" i="83" s="1"/>
  <c r="B192" i="83"/>
  <c r="D192" i="83" s="1"/>
  <c r="B191" i="83"/>
  <c r="B190" i="83"/>
  <c r="D190" i="83" s="1"/>
  <c r="B189" i="83"/>
  <c r="D189" i="83" s="1"/>
  <c r="B188" i="83"/>
  <c r="D188" i="83" s="1"/>
  <c r="B187" i="83"/>
  <c r="D187" i="83" s="1"/>
  <c r="B186" i="83"/>
  <c r="D186" i="83" s="1"/>
  <c r="B185" i="83"/>
  <c r="B184" i="83"/>
  <c r="B183" i="83"/>
  <c r="B182" i="83"/>
  <c r="D182" i="83" s="1"/>
  <c r="B181" i="83"/>
  <c r="D181" i="83" s="1"/>
  <c r="B180" i="83"/>
  <c r="D180" i="83" s="1"/>
  <c r="B179" i="83"/>
  <c r="B178" i="83"/>
  <c r="D178" i="83" s="1"/>
  <c r="B177" i="83"/>
  <c r="D177" i="83" s="1"/>
  <c r="B176" i="83"/>
  <c r="D176" i="83" s="1"/>
  <c r="B175" i="83"/>
  <c r="D175" i="83" s="1"/>
  <c r="B174" i="83"/>
  <c r="D174" i="83" s="1"/>
  <c r="B173" i="83"/>
  <c r="B172" i="83"/>
  <c r="B171" i="83"/>
  <c r="B170" i="83"/>
  <c r="D170" i="83" s="1"/>
  <c r="B169" i="83"/>
  <c r="D169" i="83" s="1"/>
  <c r="B168" i="83"/>
  <c r="D168" i="83" s="1"/>
  <c r="B167" i="83"/>
  <c r="B166" i="83"/>
  <c r="D166" i="83" s="1"/>
  <c r="B165" i="83"/>
  <c r="D165" i="83" s="1"/>
  <c r="B164" i="83"/>
  <c r="D164" i="83" s="1"/>
  <c r="B163" i="83"/>
  <c r="D163" i="83" s="1"/>
  <c r="B162" i="83"/>
  <c r="D162" i="83" s="1"/>
  <c r="B161" i="83"/>
  <c r="B160" i="83"/>
  <c r="B159" i="83"/>
  <c r="B158" i="83"/>
  <c r="D158" i="83" s="1"/>
  <c r="B157" i="83"/>
  <c r="D157" i="83" s="1"/>
  <c r="B156" i="83"/>
  <c r="D156" i="83" s="1"/>
  <c r="B155" i="83"/>
  <c r="B154" i="83"/>
  <c r="D154" i="83" s="1"/>
  <c r="B153" i="83"/>
  <c r="D153" i="83" s="1"/>
  <c r="B152" i="83"/>
  <c r="D152" i="83" s="1"/>
  <c r="B151" i="83"/>
  <c r="D151" i="83" s="1"/>
  <c r="B150" i="83"/>
  <c r="D150" i="83" s="1"/>
  <c r="B149" i="83"/>
  <c r="B148" i="83"/>
  <c r="B147" i="83"/>
  <c r="B146" i="83"/>
  <c r="D146" i="83" s="1"/>
  <c r="E146" i="83" s="1"/>
  <c r="F147" i="83" s="1"/>
  <c r="H147" i="83" s="1"/>
  <c r="D259" i="82"/>
  <c r="D258" i="82"/>
  <c r="D247" i="82"/>
  <c r="D246" i="82"/>
  <c r="D235" i="82"/>
  <c r="D234" i="82"/>
  <c r="D223" i="82"/>
  <c r="D222" i="82"/>
  <c r="D211" i="82"/>
  <c r="D210" i="82"/>
  <c r="D199" i="82"/>
  <c r="D198" i="82"/>
  <c r="D192" i="82"/>
  <c r="D187" i="82"/>
  <c r="D186" i="82"/>
  <c r="D180" i="82"/>
  <c r="D175" i="82"/>
  <c r="D174" i="82"/>
  <c r="D168" i="82"/>
  <c r="D163" i="82"/>
  <c r="D162" i="82"/>
  <c r="D156" i="82"/>
  <c r="D151" i="82"/>
  <c r="D150" i="82"/>
  <c r="B262" i="82"/>
  <c r="B261" i="82"/>
  <c r="B260" i="82"/>
  <c r="B259" i="82"/>
  <c r="B258" i="82"/>
  <c r="B257" i="82"/>
  <c r="B256" i="82"/>
  <c r="B255" i="82"/>
  <c r="B254" i="82"/>
  <c r="B253" i="82"/>
  <c r="B252" i="82"/>
  <c r="B251" i="82"/>
  <c r="B250" i="82"/>
  <c r="B249" i="82"/>
  <c r="B248" i="82"/>
  <c r="B247" i="82"/>
  <c r="B246" i="82"/>
  <c r="B245" i="82"/>
  <c r="B244" i="82"/>
  <c r="B243" i="82"/>
  <c r="B242" i="82"/>
  <c r="B241" i="82"/>
  <c r="B240" i="82"/>
  <c r="B239" i="82"/>
  <c r="B238" i="82"/>
  <c r="B237" i="82"/>
  <c r="B236" i="82"/>
  <c r="B235" i="82"/>
  <c r="B234" i="82"/>
  <c r="B233" i="82"/>
  <c r="B232" i="82"/>
  <c r="B231" i="82"/>
  <c r="B230" i="82"/>
  <c r="B229" i="82"/>
  <c r="B228" i="82"/>
  <c r="B227" i="82"/>
  <c r="B226" i="82"/>
  <c r="B225" i="82"/>
  <c r="B224" i="82"/>
  <c r="B223" i="82"/>
  <c r="B222" i="82"/>
  <c r="B221" i="82"/>
  <c r="B220" i="82"/>
  <c r="B219" i="82"/>
  <c r="B218" i="82"/>
  <c r="B217" i="82"/>
  <c r="B216" i="82"/>
  <c r="B215" i="82"/>
  <c r="B214" i="82"/>
  <c r="B213" i="82"/>
  <c r="B212" i="82"/>
  <c r="B211" i="82"/>
  <c r="B210" i="82"/>
  <c r="B209" i="82"/>
  <c r="B208" i="82"/>
  <c r="B207" i="82"/>
  <c r="B206" i="82"/>
  <c r="B205" i="82"/>
  <c r="B204" i="82"/>
  <c r="B203" i="82"/>
  <c r="B202" i="82"/>
  <c r="B201" i="82"/>
  <c r="B200" i="82"/>
  <c r="B199" i="82"/>
  <c r="B198" i="82"/>
  <c r="B197" i="82"/>
  <c r="B196" i="82"/>
  <c r="B195" i="82"/>
  <c r="B194" i="82"/>
  <c r="B193" i="82"/>
  <c r="B192" i="82"/>
  <c r="B191" i="82"/>
  <c r="B190" i="82"/>
  <c r="B189" i="82"/>
  <c r="B188" i="82"/>
  <c r="B187" i="82"/>
  <c r="B186" i="82"/>
  <c r="B185" i="82"/>
  <c r="B184" i="82"/>
  <c r="B183" i="82"/>
  <c r="B182" i="82"/>
  <c r="B181" i="82"/>
  <c r="B180" i="82"/>
  <c r="B179" i="82"/>
  <c r="B178" i="82"/>
  <c r="B177" i="82"/>
  <c r="B176" i="82"/>
  <c r="B175" i="82"/>
  <c r="B174" i="82"/>
  <c r="B173" i="82"/>
  <c r="B172" i="82"/>
  <c r="B171" i="82"/>
  <c r="B170" i="82"/>
  <c r="B169" i="82"/>
  <c r="B168" i="82"/>
  <c r="B167" i="82"/>
  <c r="B166" i="82"/>
  <c r="B165" i="82"/>
  <c r="B164" i="82"/>
  <c r="B163" i="82"/>
  <c r="B162" i="82"/>
  <c r="B161" i="82"/>
  <c r="B160" i="82"/>
  <c r="B159" i="82"/>
  <c r="B158" i="82"/>
  <c r="B157" i="82"/>
  <c r="B156" i="82"/>
  <c r="B155" i="82"/>
  <c r="B154" i="82"/>
  <c r="B153" i="82"/>
  <c r="B152" i="82"/>
  <c r="B151" i="82"/>
  <c r="B150" i="82"/>
  <c r="B149" i="82"/>
  <c r="D149" i="82" s="1"/>
  <c r="B148" i="82"/>
  <c r="D148" i="82" s="1"/>
  <c r="B147" i="82"/>
  <c r="D147" i="82" s="1"/>
  <c r="B146" i="82"/>
  <c r="D146" i="82" s="1"/>
  <c r="D259" i="81"/>
  <c r="D247" i="81"/>
  <c r="D235" i="81"/>
  <c r="D223" i="81"/>
  <c r="D211" i="81"/>
  <c r="D199" i="81"/>
  <c r="D187" i="81"/>
  <c r="D175" i="81"/>
  <c r="D163" i="81"/>
  <c r="D151" i="81"/>
  <c r="B263" i="81"/>
  <c r="D263" i="81" s="1"/>
  <c r="B262" i="81"/>
  <c r="D262" i="81" s="1"/>
  <c r="B261" i="81"/>
  <c r="D261" i="81" s="1"/>
  <c r="B260" i="81"/>
  <c r="D260" i="81" s="1"/>
  <c r="B259" i="81"/>
  <c r="B258" i="81"/>
  <c r="B257" i="81"/>
  <c r="B256" i="81"/>
  <c r="B255" i="81"/>
  <c r="B254" i="81"/>
  <c r="B253" i="81"/>
  <c r="B252" i="81"/>
  <c r="D252" i="81" s="1"/>
  <c r="B251" i="81"/>
  <c r="D251" i="81" s="1"/>
  <c r="B250" i="81"/>
  <c r="D250" i="81" s="1"/>
  <c r="B249" i="81"/>
  <c r="D249" i="81" s="1"/>
  <c r="B248" i="81"/>
  <c r="D248" i="81" s="1"/>
  <c r="B247" i="81"/>
  <c r="B246" i="81"/>
  <c r="B245" i="81"/>
  <c r="B244" i="81"/>
  <c r="B243" i="81"/>
  <c r="B242" i="81"/>
  <c r="B241" i="81"/>
  <c r="B240" i="81"/>
  <c r="D240" i="81" s="1"/>
  <c r="B239" i="81"/>
  <c r="D239" i="81" s="1"/>
  <c r="B238" i="81"/>
  <c r="D238" i="81" s="1"/>
  <c r="B237" i="81"/>
  <c r="D237" i="81" s="1"/>
  <c r="B236" i="81"/>
  <c r="D236" i="81" s="1"/>
  <c r="B235" i="81"/>
  <c r="B234" i="81"/>
  <c r="B233" i="81"/>
  <c r="B232" i="81"/>
  <c r="B231" i="81"/>
  <c r="B230" i="81"/>
  <c r="B229" i="81"/>
  <c r="B228" i="81"/>
  <c r="D228" i="81" s="1"/>
  <c r="B227" i="81"/>
  <c r="D227" i="81" s="1"/>
  <c r="B226" i="81"/>
  <c r="D226" i="81" s="1"/>
  <c r="B225" i="81"/>
  <c r="D225" i="81" s="1"/>
  <c r="B224" i="81"/>
  <c r="D224" i="81" s="1"/>
  <c r="B223" i="81"/>
  <c r="B222" i="81"/>
  <c r="B221" i="81"/>
  <c r="B220" i="81"/>
  <c r="B219" i="81"/>
  <c r="B218" i="81"/>
  <c r="B217" i="81"/>
  <c r="B216" i="81"/>
  <c r="D216" i="81" s="1"/>
  <c r="B215" i="81"/>
  <c r="D215" i="81" s="1"/>
  <c r="B214" i="81"/>
  <c r="D214" i="81" s="1"/>
  <c r="B213" i="81"/>
  <c r="D213" i="81" s="1"/>
  <c r="B212" i="81"/>
  <c r="D212" i="81" s="1"/>
  <c r="B211" i="81"/>
  <c r="B210" i="81"/>
  <c r="B209" i="81"/>
  <c r="B208" i="81"/>
  <c r="B207" i="81"/>
  <c r="B206" i="81"/>
  <c r="B205" i="81"/>
  <c r="B204" i="81"/>
  <c r="D204" i="81" s="1"/>
  <c r="B203" i="81"/>
  <c r="D203" i="81" s="1"/>
  <c r="B202" i="81"/>
  <c r="D202" i="81" s="1"/>
  <c r="B201" i="81"/>
  <c r="D201" i="81" s="1"/>
  <c r="B200" i="81"/>
  <c r="D200" i="81" s="1"/>
  <c r="B199" i="81"/>
  <c r="B198" i="81"/>
  <c r="B197" i="81"/>
  <c r="B196" i="81"/>
  <c r="B195" i="81"/>
  <c r="B194" i="81"/>
  <c r="B193" i="81"/>
  <c r="B192" i="81"/>
  <c r="D192" i="81" s="1"/>
  <c r="B191" i="81"/>
  <c r="D191" i="81" s="1"/>
  <c r="B190" i="81"/>
  <c r="D190" i="81" s="1"/>
  <c r="B189" i="81"/>
  <c r="D189" i="81" s="1"/>
  <c r="B188" i="81"/>
  <c r="D188" i="81" s="1"/>
  <c r="B187" i="81"/>
  <c r="B186" i="81"/>
  <c r="B185" i="81"/>
  <c r="B184" i="81"/>
  <c r="B183" i="81"/>
  <c r="B182" i="81"/>
  <c r="B181" i="81"/>
  <c r="B180" i="81"/>
  <c r="D180" i="81" s="1"/>
  <c r="B179" i="81"/>
  <c r="D179" i="81" s="1"/>
  <c r="B178" i="81"/>
  <c r="D178" i="81" s="1"/>
  <c r="B177" i="81"/>
  <c r="D177" i="81" s="1"/>
  <c r="B176" i="81"/>
  <c r="D176" i="81" s="1"/>
  <c r="B175" i="81"/>
  <c r="B174" i="81"/>
  <c r="B173" i="81"/>
  <c r="B172" i="81"/>
  <c r="B171" i="81"/>
  <c r="B170" i="81"/>
  <c r="B169" i="81"/>
  <c r="B168" i="81"/>
  <c r="D168" i="81" s="1"/>
  <c r="B167" i="81"/>
  <c r="D167" i="81" s="1"/>
  <c r="B166" i="81"/>
  <c r="D166" i="81" s="1"/>
  <c r="B165" i="81"/>
  <c r="D165" i="81" s="1"/>
  <c r="B164" i="81"/>
  <c r="D164" i="81" s="1"/>
  <c r="B163" i="81"/>
  <c r="B162" i="81"/>
  <c r="B161" i="81"/>
  <c r="B160" i="81"/>
  <c r="B159" i="81"/>
  <c r="B158" i="81"/>
  <c r="B157" i="81"/>
  <c r="B156" i="81"/>
  <c r="D156" i="81" s="1"/>
  <c r="B155" i="81"/>
  <c r="D155" i="81" s="1"/>
  <c r="B154" i="81"/>
  <c r="D154" i="81" s="1"/>
  <c r="B153" i="81"/>
  <c r="D153" i="81" s="1"/>
  <c r="B152" i="81"/>
  <c r="D152" i="81" s="1"/>
  <c r="B151" i="81"/>
  <c r="B150" i="81"/>
  <c r="B149" i="81"/>
  <c r="B148" i="81"/>
  <c r="B147" i="81"/>
  <c r="D147" i="81" s="1"/>
  <c r="E147" i="81" s="1"/>
  <c r="D254" i="80"/>
  <c r="D242" i="80"/>
  <c r="D230" i="80"/>
  <c r="D218" i="80"/>
  <c r="D206" i="80"/>
  <c r="D194" i="80"/>
  <c r="D182" i="80"/>
  <c r="D170" i="80"/>
  <c r="D158" i="80"/>
  <c r="D146" i="80"/>
  <c r="B262" i="80"/>
  <c r="B261" i="80"/>
  <c r="B260" i="80"/>
  <c r="B259" i="80"/>
  <c r="B258" i="80"/>
  <c r="B257" i="80"/>
  <c r="B256" i="80"/>
  <c r="B255" i="80"/>
  <c r="B254" i="80"/>
  <c r="B253" i="80"/>
  <c r="B252" i="80"/>
  <c r="B251" i="80"/>
  <c r="B250" i="80"/>
  <c r="B249" i="80"/>
  <c r="B248" i="80"/>
  <c r="B247" i="80"/>
  <c r="B246" i="80"/>
  <c r="B245" i="80"/>
  <c r="B244" i="80"/>
  <c r="B243" i="80"/>
  <c r="B242" i="80"/>
  <c r="B241" i="80"/>
  <c r="B240" i="80"/>
  <c r="B239" i="80"/>
  <c r="B238" i="80"/>
  <c r="B237" i="80"/>
  <c r="B236" i="80"/>
  <c r="B235" i="80"/>
  <c r="B234" i="80"/>
  <c r="B233" i="80"/>
  <c r="B232" i="80"/>
  <c r="B231" i="80"/>
  <c r="B230" i="80"/>
  <c r="B229" i="80"/>
  <c r="B228" i="80"/>
  <c r="B227" i="80"/>
  <c r="B226" i="80"/>
  <c r="B225" i="80"/>
  <c r="B224" i="80"/>
  <c r="B223" i="80"/>
  <c r="B222" i="80"/>
  <c r="B221" i="80"/>
  <c r="B220" i="80"/>
  <c r="B219" i="80"/>
  <c r="B218" i="80"/>
  <c r="B217" i="80"/>
  <c r="B216" i="80"/>
  <c r="B215" i="80"/>
  <c r="B214" i="80"/>
  <c r="B213" i="80"/>
  <c r="B212" i="80"/>
  <c r="B211" i="80"/>
  <c r="B210" i="80"/>
  <c r="B209" i="80"/>
  <c r="B208" i="80"/>
  <c r="B207" i="80"/>
  <c r="B206" i="80"/>
  <c r="B205" i="80"/>
  <c r="B204" i="80"/>
  <c r="B203" i="80"/>
  <c r="B202" i="80"/>
  <c r="B201" i="80"/>
  <c r="B200" i="80"/>
  <c r="B199" i="80"/>
  <c r="B198" i="80"/>
  <c r="B197" i="80"/>
  <c r="B196" i="80"/>
  <c r="B195" i="80"/>
  <c r="B194" i="80"/>
  <c r="B193" i="80"/>
  <c r="B192" i="80"/>
  <c r="B191" i="80"/>
  <c r="B190" i="80"/>
  <c r="B189" i="80"/>
  <c r="B188" i="80"/>
  <c r="B187" i="80"/>
  <c r="B186" i="80"/>
  <c r="B185" i="80"/>
  <c r="B184" i="80"/>
  <c r="B183" i="80"/>
  <c r="B182" i="80"/>
  <c r="B181" i="80"/>
  <c r="B180" i="80"/>
  <c r="B179" i="80"/>
  <c r="B178" i="80"/>
  <c r="B177" i="80"/>
  <c r="B176" i="80"/>
  <c r="B175" i="80"/>
  <c r="B174" i="80"/>
  <c r="B173" i="80"/>
  <c r="B172" i="80"/>
  <c r="B171" i="80"/>
  <c r="B170" i="80"/>
  <c r="B169" i="80"/>
  <c r="B168" i="80"/>
  <c r="B167" i="80"/>
  <c r="B166" i="80"/>
  <c r="B165" i="80"/>
  <c r="B164" i="80"/>
  <c r="B163" i="80"/>
  <c r="B162" i="80"/>
  <c r="B161" i="80"/>
  <c r="B160" i="80"/>
  <c r="B159" i="80"/>
  <c r="B158" i="80"/>
  <c r="B157" i="80"/>
  <c r="B156" i="80"/>
  <c r="B155" i="80"/>
  <c r="B154" i="80"/>
  <c r="B153" i="80"/>
  <c r="B152" i="80"/>
  <c r="B151" i="80"/>
  <c r="B150" i="80"/>
  <c r="B149" i="80"/>
  <c r="D149" i="80" s="1"/>
  <c r="B148" i="80"/>
  <c r="D148" i="80" s="1"/>
  <c r="B147" i="80"/>
  <c r="D147" i="80" s="1"/>
  <c r="B146" i="80"/>
  <c r="D260" i="79"/>
  <c r="D259" i="79"/>
  <c r="D254" i="79"/>
  <c r="D253" i="79"/>
  <c r="D248" i="79"/>
  <c r="D247" i="79"/>
  <c r="D242" i="79"/>
  <c r="D241" i="79"/>
  <c r="D236" i="79"/>
  <c r="D235" i="79"/>
  <c r="D230" i="79"/>
  <c r="D229" i="79"/>
  <c r="D224" i="79"/>
  <c r="D223" i="79"/>
  <c r="D218" i="79"/>
  <c r="D217" i="79"/>
  <c r="D212" i="79"/>
  <c r="D211" i="79"/>
  <c r="D206" i="79"/>
  <c r="D205" i="79"/>
  <c r="D200" i="79"/>
  <c r="D199" i="79"/>
  <c r="D194" i="79"/>
  <c r="D193" i="79"/>
  <c r="D188" i="79"/>
  <c r="D187" i="79"/>
  <c r="D182" i="79"/>
  <c r="D181" i="79"/>
  <c r="D176" i="79"/>
  <c r="D175" i="79"/>
  <c r="D170" i="79"/>
  <c r="D169" i="79"/>
  <c r="D164" i="79"/>
  <c r="D163" i="79"/>
  <c r="D158" i="79"/>
  <c r="D157" i="79"/>
  <c r="D152" i="79"/>
  <c r="D151" i="79"/>
  <c r="D146" i="79"/>
  <c r="B262" i="79"/>
  <c r="B261" i="79"/>
  <c r="B260" i="79"/>
  <c r="B259" i="79"/>
  <c r="B258" i="79"/>
  <c r="B257" i="79"/>
  <c r="B256" i="79"/>
  <c r="B255" i="79"/>
  <c r="B254" i="79"/>
  <c r="B253" i="79"/>
  <c r="B252" i="79"/>
  <c r="B251" i="79"/>
  <c r="B250" i="79"/>
  <c r="B249" i="79"/>
  <c r="B248" i="79"/>
  <c r="B247" i="79"/>
  <c r="B246" i="79"/>
  <c r="B245" i="79"/>
  <c r="B244" i="79"/>
  <c r="B243" i="79"/>
  <c r="B242" i="79"/>
  <c r="B241" i="79"/>
  <c r="B240" i="79"/>
  <c r="B239" i="79"/>
  <c r="B238" i="79"/>
  <c r="D238" i="79" s="1"/>
  <c r="B237" i="79"/>
  <c r="B236" i="79"/>
  <c r="B235" i="79"/>
  <c r="B234" i="79"/>
  <c r="B233" i="79"/>
  <c r="B232" i="79"/>
  <c r="B231" i="79"/>
  <c r="B230" i="79"/>
  <c r="B229" i="79"/>
  <c r="B228" i="79"/>
  <c r="B227" i="79"/>
  <c r="B226" i="79"/>
  <c r="B225" i="79"/>
  <c r="B224" i="79"/>
  <c r="B223" i="79"/>
  <c r="B222" i="79"/>
  <c r="B221" i="79"/>
  <c r="B220" i="79"/>
  <c r="B219" i="79"/>
  <c r="B218" i="79"/>
  <c r="B217" i="79"/>
  <c r="B216" i="79"/>
  <c r="B215" i="79"/>
  <c r="B214" i="79"/>
  <c r="D214" i="79" s="1"/>
  <c r="B213" i="79"/>
  <c r="B212" i="79"/>
  <c r="B211" i="79"/>
  <c r="B210" i="79"/>
  <c r="B209" i="79"/>
  <c r="B208" i="79"/>
  <c r="D208" i="79" s="1"/>
  <c r="B207" i="79"/>
  <c r="B206" i="79"/>
  <c r="B205" i="79"/>
  <c r="B204" i="79"/>
  <c r="B203" i="79"/>
  <c r="B202" i="79"/>
  <c r="D202" i="79" s="1"/>
  <c r="B201" i="79"/>
  <c r="B200" i="79"/>
  <c r="B199" i="79"/>
  <c r="B198" i="79"/>
  <c r="B197" i="79"/>
  <c r="B196" i="79"/>
  <c r="B195" i="79"/>
  <c r="B194" i="79"/>
  <c r="B193" i="79"/>
  <c r="B192" i="79"/>
  <c r="B191" i="79"/>
  <c r="B190" i="79"/>
  <c r="B189" i="79"/>
  <c r="B188" i="79"/>
  <c r="B187" i="79"/>
  <c r="B186" i="79"/>
  <c r="B185" i="79"/>
  <c r="B184" i="79"/>
  <c r="B183" i="79"/>
  <c r="B182" i="79"/>
  <c r="B181" i="79"/>
  <c r="B180" i="79"/>
  <c r="B179" i="79"/>
  <c r="B178" i="79"/>
  <c r="D178" i="79" s="1"/>
  <c r="B177" i="79"/>
  <c r="B176" i="79"/>
  <c r="B175" i="79"/>
  <c r="B174" i="79"/>
  <c r="B173" i="79"/>
  <c r="B172" i="79"/>
  <c r="B171" i="79"/>
  <c r="B170" i="79"/>
  <c r="B169" i="79"/>
  <c r="B168" i="79"/>
  <c r="B167" i="79"/>
  <c r="B166" i="79"/>
  <c r="B165" i="79"/>
  <c r="B164" i="79"/>
  <c r="B163" i="79"/>
  <c r="B162" i="79"/>
  <c r="B161" i="79"/>
  <c r="B160" i="79"/>
  <c r="B159" i="79"/>
  <c r="B158" i="79"/>
  <c r="B157" i="79"/>
  <c r="B156" i="79"/>
  <c r="B155" i="79"/>
  <c r="B154" i="79"/>
  <c r="B153" i="79"/>
  <c r="B152" i="79"/>
  <c r="B151" i="79"/>
  <c r="B150" i="79"/>
  <c r="B149" i="79"/>
  <c r="D149" i="79" s="1"/>
  <c r="B148" i="79"/>
  <c r="D148" i="79" s="1"/>
  <c r="B147" i="79"/>
  <c r="D147" i="79" s="1"/>
  <c r="B146" i="79"/>
  <c r="C192" i="88"/>
  <c r="C180" i="88"/>
  <c r="C168" i="88"/>
  <c r="C156" i="88"/>
  <c r="C144" i="88"/>
  <c r="C132" i="88"/>
  <c r="C120" i="88"/>
  <c r="C108" i="88"/>
  <c r="C96" i="88"/>
  <c r="C151" i="88"/>
  <c r="C115" i="88"/>
  <c r="C121" i="88"/>
  <c r="C191" i="88"/>
  <c r="C179" i="88"/>
  <c r="C167" i="88"/>
  <c r="C155" i="88"/>
  <c r="C143" i="88"/>
  <c r="C131" i="88"/>
  <c r="C119" i="88"/>
  <c r="C107" i="88"/>
  <c r="C95" i="88"/>
  <c r="C163" i="88"/>
  <c r="C91" i="88"/>
  <c r="C133" i="88"/>
  <c r="C190" i="88"/>
  <c r="C178" i="88"/>
  <c r="C166" i="88"/>
  <c r="C154" i="88"/>
  <c r="C142" i="88"/>
  <c r="C130" i="88"/>
  <c r="C118" i="88"/>
  <c r="C106" i="88"/>
  <c r="C94" i="88"/>
  <c r="C139" i="88"/>
  <c r="C103" i="88"/>
  <c r="C145" i="88"/>
  <c r="C189" i="88"/>
  <c r="C177" i="88"/>
  <c r="C165" i="88"/>
  <c r="C153" i="88"/>
  <c r="C141" i="88"/>
  <c r="C129" i="88"/>
  <c r="C117" i="88"/>
  <c r="C105" i="88"/>
  <c r="C93" i="88"/>
  <c r="C175" i="88"/>
  <c r="C97" i="88"/>
  <c r="C200" i="88"/>
  <c r="C201" i="88" s="1"/>
  <c r="C188" i="88"/>
  <c r="C176" i="88"/>
  <c r="C164" i="88"/>
  <c r="C152" i="88"/>
  <c r="C140" i="88"/>
  <c r="C128" i="88"/>
  <c r="C116" i="88"/>
  <c r="C104" i="88"/>
  <c r="C92" i="88"/>
  <c r="C187" i="88"/>
  <c r="C127" i="88"/>
  <c r="C109" i="88"/>
  <c r="C199" i="88"/>
  <c r="C198" i="88"/>
  <c r="C186" i="88"/>
  <c r="C174" i="88"/>
  <c r="C162" i="88"/>
  <c r="C150" i="88"/>
  <c r="C138" i="88"/>
  <c r="C126" i="88"/>
  <c r="C114" i="88"/>
  <c r="C102" i="88"/>
  <c r="C90" i="88"/>
  <c r="C170" i="88"/>
  <c r="C110" i="88"/>
  <c r="C157" i="88"/>
  <c r="C197" i="88"/>
  <c r="C185" i="88"/>
  <c r="C173" i="88"/>
  <c r="C161" i="88"/>
  <c r="C149" i="88"/>
  <c r="C137" i="88"/>
  <c r="C125" i="88"/>
  <c r="C113" i="88"/>
  <c r="C101" i="88"/>
  <c r="C89" i="88"/>
  <c r="C158" i="88"/>
  <c r="C122" i="88"/>
  <c r="C181" i="88"/>
  <c r="C196" i="88"/>
  <c r="C184" i="88"/>
  <c r="C172" i="88"/>
  <c r="C160" i="88"/>
  <c r="C148" i="88"/>
  <c r="C136" i="88"/>
  <c r="C124" i="88"/>
  <c r="C112" i="88"/>
  <c r="C100" i="88"/>
  <c r="C88" i="88"/>
  <c r="C182" i="88"/>
  <c r="C134" i="88"/>
  <c r="C169" i="88"/>
  <c r="C195" i="88"/>
  <c r="C183" i="88"/>
  <c r="C171" i="88"/>
  <c r="C159" i="88"/>
  <c r="C147" i="88"/>
  <c r="C135" i="88"/>
  <c r="C123" i="88"/>
  <c r="C111" i="88"/>
  <c r="C99" i="88"/>
  <c r="C87" i="88"/>
  <c r="C194" i="88"/>
  <c r="C146" i="88"/>
  <c r="C98" i="88"/>
  <c r="C193" i="88"/>
  <c r="E152" i="82"/>
  <c r="E151" i="82"/>
  <c r="E150" i="82"/>
  <c r="E150" i="80"/>
  <c r="E150" i="79"/>
  <c r="B9" i="78"/>
  <c r="B12" i="78"/>
  <c r="B10" i="78"/>
  <c r="B12" i="77"/>
  <c r="B9" i="77"/>
  <c r="B10" i="77"/>
  <c r="B10" i="76"/>
  <c r="B12" i="76"/>
  <c r="B9" i="76"/>
  <c r="B12" i="75"/>
  <c r="B10" i="75"/>
  <c r="B9" i="75"/>
  <c r="B59" i="73"/>
  <c r="B47" i="73"/>
  <c r="B35" i="73"/>
  <c r="B46" i="73"/>
  <c r="B34" i="73"/>
  <c r="B58" i="73"/>
  <c r="B57" i="73"/>
  <c r="B45" i="73"/>
  <c r="B33" i="73"/>
  <c r="B55" i="73"/>
  <c r="B56" i="73"/>
  <c r="B44" i="73"/>
  <c r="B32" i="73"/>
  <c r="B43" i="73"/>
  <c r="B31" i="73"/>
  <c r="B54" i="73"/>
  <c r="B42" i="73"/>
  <c r="B40" i="73"/>
  <c r="B53" i="73"/>
  <c r="B41" i="73"/>
  <c r="B29" i="73"/>
  <c r="B52" i="73"/>
  <c r="B51" i="73"/>
  <c r="B39" i="73"/>
  <c r="B49" i="73"/>
  <c r="B50" i="73"/>
  <c r="B38" i="73"/>
  <c r="B37" i="73"/>
  <c r="B48" i="73"/>
  <c r="B36" i="73"/>
  <c r="B57" i="72"/>
  <c r="B45" i="72"/>
  <c r="B33" i="72"/>
  <c r="B43" i="72"/>
  <c r="B29" i="72"/>
  <c r="B56" i="72"/>
  <c r="B44" i="72"/>
  <c r="B32" i="72"/>
  <c r="B55" i="72"/>
  <c r="B31" i="72"/>
  <c r="B46" i="72"/>
  <c r="B54" i="72"/>
  <c r="B42" i="72"/>
  <c r="B53" i="72"/>
  <c r="B41" i="72"/>
  <c r="B47" i="72"/>
  <c r="B52" i="72"/>
  <c r="B40" i="72"/>
  <c r="B38" i="72"/>
  <c r="B49" i="72"/>
  <c r="B58" i="72"/>
  <c r="B51" i="72"/>
  <c r="B39" i="72"/>
  <c r="B50" i="72"/>
  <c r="B37" i="72"/>
  <c r="B35" i="72"/>
  <c r="B48" i="72"/>
  <c r="B36" i="72"/>
  <c r="B59" i="72"/>
  <c r="B34" i="72"/>
  <c r="B59" i="71"/>
  <c r="B47" i="71"/>
  <c r="B35" i="71"/>
  <c r="B58" i="71"/>
  <c r="B46" i="71"/>
  <c r="B34" i="71"/>
  <c r="B37" i="71"/>
  <c r="B57" i="71"/>
  <c r="B45" i="71"/>
  <c r="B33" i="71"/>
  <c r="B31" i="71"/>
  <c r="B56" i="71"/>
  <c r="B44" i="71"/>
  <c r="B32" i="71"/>
  <c r="B43" i="71"/>
  <c r="B36" i="71"/>
  <c r="B55" i="71"/>
  <c r="B54" i="71"/>
  <c r="B42" i="71"/>
  <c r="B53" i="71"/>
  <c r="B41" i="71"/>
  <c r="B29" i="71"/>
  <c r="B39" i="71"/>
  <c r="B52" i="71"/>
  <c r="B40" i="71"/>
  <c r="B49" i="71"/>
  <c r="B51" i="71"/>
  <c r="B50" i="71"/>
  <c r="B38" i="71"/>
  <c r="B48" i="71"/>
  <c r="B59" i="70"/>
  <c r="B58" i="70"/>
  <c r="B57" i="70"/>
  <c r="B45" i="70"/>
  <c r="B33" i="70"/>
  <c r="B31" i="70"/>
  <c r="B56" i="70"/>
  <c r="B55" i="70"/>
  <c r="B54" i="70"/>
  <c r="B42" i="70"/>
  <c r="B41" i="70"/>
  <c r="B29" i="70"/>
  <c r="B40" i="70"/>
  <c r="B39" i="70"/>
  <c r="B38" i="70"/>
  <c r="B37" i="70"/>
  <c r="B32" i="70"/>
  <c r="B53" i="70"/>
  <c r="B52" i="70"/>
  <c r="B51" i="70"/>
  <c r="B50" i="70"/>
  <c r="B49" i="70"/>
  <c r="B48" i="70"/>
  <c r="B36" i="70"/>
  <c r="B47" i="70"/>
  <c r="B35" i="70"/>
  <c r="B46" i="70"/>
  <c r="B34" i="70"/>
  <c r="B44" i="70"/>
  <c r="B43" i="70"/>
  <c r="E85" i="89" l="1"/>
  <c r="C85" i="89"/>
  <c r="D86" i="89" s="1"/>
  <c r="E86" i="89" s="1"/>
  <c r="D169" i="88"/>
  <c r="D181" i="88"/>
  <c r="D157" i="88"/>
  <c r="D109" i="88"/>
  <c r="D97" i="88"/>
  <c r="D145" i="88"/>
  <c r="D133" i="88"/>
  <c r="D121" i="88"/>
  <c r="D92" i="88"/>
  <c r="D116" i="88"/>
  <c r="D140" i="88"/>
  <c r="D164" i="88"/>
  <c r="D188" i="88"/>
  <c r="D93" i="88"/>
  <c r="D105" i="88"/>
  <c r="D117" i="88"/>
  <c r="D129" i="88"/>
  <c r="D141" i="88"/>
  <c r="D153" i="88"/>
  <c r="D165" i="88"/>
  <c r="D177" i="88"/>
  <c r="D189" i="88"/>
  <c r="D104" i="88"/>
  <c r="D128" i="88"/>
  <c r="D152" i="88"/>
  <c r="D176" i="88"/>
  <c r="D94" i="88"/>
  <c r="D106" i="88"/>
  <c r="D118" i="88"/>
  <c r="D130" i="88"/>
  <c r="D142" i="88"/>
  <c r="D154" i="88"/>
  <c r="D166" i="88"/>
  <c r="D178" i="88"/>
  <c r="D190" i="88"/>
  <c r="D95" i="88"/>
  <c r="D119" i="88"/>
  <c r="D143" i="88"/>
  <c r="D167" i="88"/>
  <c r="D179" i="88"/>
  <c r="D96" i="88"/>
  <c r="D108" i="88"/>
  <c r="D120" i="88"/>
  <c r="D132" i="88"/>
  <c r="D144" i="88"/>
  <c r="D156" i="88"/>
  <c r="D168" i="88"/>
  <c r="D180" i="88"/>
  <c r="D192" i="88"/>
  <c r="D107" i="88"/>
  <c r="D131" i="88"/>
  <c r="D155" i="88"/>
  <c r="D191" i="88"/>
  <c r="D193" i="88"/>
  <c r="D110" i="88"/>
  <c r="D134" i="88"/>
  <c r="D158" i="88"/>
  <c r="D194" i="88"/>
  <c r="D87" i="88"/>
  <c r="D99" i="88"/>
  <c r="D111" i="88"/>
  <c r="D123" i="88"/>
  <c r="D135" i="88"/>
  <c r="D147" i="88"/>
  <c r="D159" i="88"/>
  <c r="D171" i="88"/>
  <c r="D183" i="88"/>
  <c r="D195" i="88"/>
  <c r="D98" i="88"/>
  <c r="D122" i="88"/>
  <c r="D146" i="88"/>
  <c r="D170" i="88"/>
  <c r="D182" i="88"/>
  <c r="D88" i="88"/>
  <c r="D100" i="88"/>
  <c r="D112" i="88"/>
  <c r="D124" i="88"/>
  <c r="D136" i="88"/>
  <c r="D148" i="88"/>
  <c r="D160" i="88"/>
  <c r="D172" i="88"/>
  <c r="D184" i="88"/>
  <c r="D196" i="88"/>
  <c r="D101" i="88"/>
  <c r="D125" i="88"/>
  <c r="D149" i="88"/>
  <c r="D173" i="88"/>
  <c r="D185" i="88"/>
  <c r="D90" i="88"/>
  <c r="D102" i="88"/>
  <c r="D114" i="88"/>
  <c r="D126" i="88"/>
  <c r="D138" i="88"/>
  <c r="D150" i="88"/>
  <c r="D162" i="88"/>
  <c r="D174" i="88"/>
  <c r="D186" i="88"/>
  <c r="D198" i="88"/>
  <c r="D89" i="88"/>
  <c r="D113" i="88"/>
  <c r="D137" i="88"/>
  <c r="D161" i="88"/>
  <c r="D197" i="88"/>
  <c r="D91" i="88"/>
  <c r="D103" i="88"/>
  <c r="D115" i="88"/>
  <c r="D127" i="88"/>
  <c r="D139" i="88"/>
  <c r="D151" i="88"/>
  <c r="D163" i="88"/>
  <c r="D175" i="88"/>
  <c r="D187" i="88"/>
  <c r="D199" i="88"/>
  <c r="F147" i="87"/>
  <c r="G148" i="87"/>
  <c r="I148" i="87" s="1"/>
  <c r="J148" i="87" s="1"/>
  <c r="D158" i="87"/>
  <c r="D170" i="87"/>
  <c r="D182" i="87"/>
  <c r="D194" i="87"/>
  <c r="D206" i="87"/>
  <c r="D218" i="87"/>
  <c r="D230" i="87"/>
  <c r="D242" i="87"/>
  <c r="D254" i="87"/>
  <c r="D159" i="87"/>
  <c r="D171" i="87"/>
  <c r="D183" i="87"/>
  <c r="D195" i="87"/>
  <c r="D207" i="87"/>
  <c r="D219" i="87"/>
  <c r="D231" i="87"/>
  <c r="D243" i="87"/>
  <c r="D255" i="87"/>
  <c r="D148" i="87"/>
  <c r="D160" i="87"/>
  <c r="D172" i="87"/>
  <c r="D184" i="87"/>
  <c r="D196" i="87"/>
  <c r="D208" i="87"/>
  <c r="D220" i="87"/>
  <c r="D232" i="87"/>
  <c r="D244" i="87"/>
  <c r="D256" i="87"/>
  <c r="D149" i="87"/>
  <c r="D161" i="87"/>
  <c r="D173" i="87"/>
  <c r="D185" i="87"/>
  <c r="D197" i="87"/>
  <c r="D209" i="87"/>
  <c r="D221" i="87"/>
  <c r="D233" i="87"/>
  <c r="D245" i="87"/>
  <c r="D257" i="87"/>
  <c r="D150" i="87"/>
  <c r="D162" i="87"/>
  <c r="D174" i="87"/>
  <c r="D186" i="87"/>
  <c r="D198" i="87"/>
  <c r="D210" i="87"/>
  <c r="D222" i="87"/>
  <c r="D234" i="87"/>
  <c r="D246" i="87"/>
  <c r="D258" i="87"/>
  <c r="D149" i="85"/>
  <c r="D161" i="85"/>
  <c r="D173" i="85"/>
  <c r="D185" i="85"/>
  <c r="D197" i="85"/>
  <c r="D209" i="85"/>
  <c r="D221" i="85"/>
  <c r="D233" i="85"/>
  <c r="D245" i="85"/>
  <c r="D257" i="85"/>
  <c r="E147" i="85"/>
  <c r="F148" i="85" s="1"/>
  <c r="H148" i="85" s="1"/>
  <c r="I148" i="85" s="1"/>
  <c r="G148" i="84"/>
  <c r="I148" i="84" s="1"/>
  <c r="J148" i="84" s="1"/>
  <c r="D154" i="84"/>
  <c r="D166" i="84"/>
  <c r="D178" i="84"/>
  <c r="D190" i="84"/>
  <c r="D202" i="84"/>
  <c r="D214" i="84"/>
  <c r="D226" i="84"/>
  <c r="D238" i="84"/>
  <c r="D250" i="84"/>
  <c r="D262" i="84"/>
  <c r="F147" i="84"/>
  <c r="D158" i="84"/>
  <c r="D170" i="84"/>
  <c r="D182" i="84"/>
  <c r="D194" i="84"/>
  <c r="D206" i="84"/>
  <c r="D218" i="84"/>
  <c r="D230" i="84"/>
  <c r="D242" i="84"/>
  <c r="D254" i="84"/>
  <c r="D148" i="84"/>
  <c r="D160" i="84"/>
  <c r="D172" i="84"/>
  <c r="D184" i="84"/>
  <c r="D196" i="84"/>
  <c r="D208" i="84"/>
  <c r="D220" i="84"/>
  <c r="D232" i="84"/>
  <c r="D244" i="84"/>
  <c r="D256" i="84"/>
  <c r="G147" i="83"/>
  <c r="I147" i="83"/>
  <c r="D148" i="83"/>
  <c r="D160" i="83"/>
  <c r="D172" i="83"/>
  <c r="D184" i="83"/>
  <c r="D196" i="83"/>
  <c r="D208" i="83"/>
  <c r="D220" i="83"/>
  <c r="D232" i="83"/>
  <c r="D244" i="83"/>
  <c r="D256" i="83"/>
  <c r="D149" i="83"/>
  <c r="D161" i="83"/>
  <c r="D173" i="83"/>
  <c r="D185" i="83"/>
  <c r="D197" i="83"/>
  <c r="D209" i="83"/>
  <c r="D221" i="83"/>
  <c r="D233" i="83"/>
  <c r="D245" i="83"/>
  <c r="D257" i="83"/>
  <c r="E147" i="83"/>
  <c r="F148" i="83" s="1"/>
  <c r="H148" i="83" s="1"/>
  <c r="I148" i="83" s="1"/>
  <c r="G150" i="82"/>
  <c r="H150" i="82" s="1"/>
  <c r="G151" i="82"/>
  <c r="H151" i="82" s="1"/>
  <c r="G152" i="82"/>
  <c r="F151" i="82"/>
  <c r="H152" i="82"/>
  <c r="F150" i="82"/>
  <c r="D152" i="82"/>
  <c r="D164" i="82"/>
  <c r="D176" i="82"/>
  <c r="D188" i="82"/>
  <c r="D200" i="82"/>
  <c r="D212" i="82"/>
  <c r="D224" i="82"/>
  <c r="D236" i="82"/>
  <c r="D248" i="82"/>
  <c r="D260" i="82"/>
  <c r="D153" i="82"/>
  <c r="D165" i="82"/>
  <c r="D177" i="82"/>
  <c r="D189" i="82"/>
  <c r="D201" i="82"/>
  <c r="D213" i="82"/>
  <c r="D225" i="82"/>
  <c r="D237" i="82"/>
  <c r="D249" i="82"/>
  <c r="D261" i="82"/>
  <c r="D154" i="82"/>
  <c r="D166" i="82"/>
  <c r="D178" i="82"/>
  <c r="D190" i="82"/>
  <c r="D202" i="82"/>
  <c r="D214" i="82"/>
  <c r="D226" i="82"/>
  <c r="D238" i="82"/>
  <c r="D250" i="82"/>
  <c r="D262" i="82"/>
  <c r="D155" i="82"/>
  <c r="D167" i="82"/>
  <c r="D179" i="82"/>
  <c r="D191" i="82"/>
  <c r="D203" i="82"/>
  <c r="D215" i="82"/>
  <c r="D227" i="82"/>
  <c r="D239" i="82"/>
  <c r="D251" i="82"/>
  <c r="D204" i="82"/>
  <c r="D216" i="82"/>
  <c r="D228" i="82"/>
  <c r="D240" i="82"/>
  <c r="D252" i="82"/>
  <c r="D157" i="82"/>
  <c r="D169" i="82"/>
  <c r="D181" i="82"/>
  <c r="D193" i="82"/>
  <c r="D205" i="82"/>
  <c r="D217" i="82"/>
  <c r="D229" i="82"/>
  <c r="D241" i="82"/>
  <c r="D253" i="82"/>
  <c r="D158" i="82"/>
  <c r="D170" i="82"/>
  <c r="D182" i="82"/>
  <c r="D194" i="82"/>
  <c r="D206" i="82"/>
  <c r="D218" i="82"/>
  <c r="D230" i="82"/>
  <c r="D242" i="82"/>
  <c r="D254" i="82"/>
  <c r="D159" i="82"/>
  <c r="D171" i="82"/>
  <c r="D183" i="82"/>
  <c r="D195" i="82"/>
  <c r="D207" i="82"/>
  <c r="D219" i="82"/>
  <c r="D231" i="82"/>
  <c r="D243" i="82"/>
  <c r="D255" i="82"/>
  <c r="D160" i="82"/>
  <c r="D172" i="82"/>
  <c r="D184" i="82"/>
  <c r="D196" i="82"/>
  <c r="D208" i="82"/>
  <c r="D220" i="82"/>
  <c r="D232" i="82"/>
  <c r="D244" i="82"/>
  <c r="D256" i="82"/>
  <c r="D161" i="82"/>
  <c r="D173" i="82"/>
  <c r="D185" i="82"/>
  <c r="D197" i="82"/>
  <c r="D209" i="82"/>
  <c r="D221" i="82"/>
  <c r="D233" i="82"/>
  <c r="D245" i="82"/>
  <c r="D257" i="82"/>
  <c r="F147" i="81"/>
  <c r="G148" i="81" s="1"/>
  <c r="I148" i="81" s="1"/>
  <c r="J148" i="81" s="1"/>
  <c r="D157" i="81"/>
  <c r="D169" i="81"/>
  <c r="D181" i="81"/>
  <c r="D193" i="81"/>
  <c r="D205" i="81"/>
  <c r="D217" i="81"/>
  <c r="D229" i="81"/>
  <c r="D241" i="81"/>
  <c r="D253" i="81"/>
  <c r="D158" i="81"/>
  <c r="D170" i="81"/>
  <c r="D182" i="81"/>
  <c r="D194" i="81"/>
  <c r="D206" i="81"/>
  <c r="D218" i="81"/>
  <c r="D230" i="81"/>
  <c r="D242" i="81"/>
  <c r="D254" i="81"/>
  <c r="D159" i="81"/>
  <c r="D171" i="81"/>
  <c r="D183" i="81"/>
  <c r="D195" i="81"/>
  <c r="D207" i="81"/>
  <c r="D219" i="81"/>
  <c r="D231" i="81"/>
  <c r="D243" i="81"/>
  <c r="D255" i="81"/>
  <c r="D148" i="81"/>
  <c r="D160" i="81"/>
  <c r="D172" i="81"/>
  <c r="D184" i="81"/>
  <c r="D196" i="81"/>
  <c r="D208" i="81"/>
  <c r="D220" i="81"/>
  <c r="D232" i="81"/>
  <c r="D244" i="81"/>
  <c r="D256" i="81"/>
  <c r="D149" i="81"/>
  <c r="D161" i="81"/>
  <c r="D173" i="81"/>
  <c r="D185" i="81"/>
  <c r="D197" i="81"/>
  <c r="D209" i="81"/>
  <c r="D221" i="81"/>
  <c r="D233" i="81"/>
  <c r="D245" i="81"/>
  <c r="D257" i="81"/>
  <c r="D150" i="81"/>
  <c r="D162" i="81"/>
  <c r="D174" i="81"/>
  <c r="D186" i="81"/>
  <c r="D198" i="81"/>
  <c r="D210" i="81"/>
  <c r="D222" i="81"/>
  <c r="D234" i="81"/>
  <c r="D246" i="81"/>
  <c r="D258" i="81"/>
  <c r="G150" i="80"/>
  <c r="H150" i="80" s="1"/>
  <c r="D150" i="80"/>
  <c r="D162" i="80"/>
  <c r="D174" i="80"/>
  <c r="D186" i="80"/>
  <c r="D198" i="80"/>
  <c r="D210" i="80"/>
  <c r="D222" i="80"/>
  <c r="D234" i="80"/>
  <c r="D246" i="80"/>
  <c r="D258" i="80"/>
  <c r="D151" i="80"/>
  <c r="D163" i="80"/>
  <c r="D175" i="80"/>
  <c r="D187" i="80"/>
  <c r="D199" i="80"/>
  <c r="D211" i="80"/>
  <c r="D223" i="80"/>
  <c r="D235" i="80"/>
  <c r="D247" i="80"/>
  <c r="D259" i="80"/>
  <c r="D152" i="80"/>
  <c r="D164" i="80"/>
  <c r="D176" i="80"/>
  <c r="D188" i="80"/>
  <c r="D200" i="80"/>
  <c r="D212" i="80"/>
  <c r="D224" i="80"/>
  <c r="D236" i="80"/>
  <c r="D248" i="80"/>
  <c r="D260" i="80"/>
  <c r="D153" i="80"/>
  <c r="D165" i="80"/>
  <c r="D177" i="80"/>
  <c r="D189" i="80"/>
  <c r="D201" i="80"/>
  <c r="D213" i="80"/>
  <c r="D225" i="80"/>
  <c r="D237" i="80"/>
  <c r="D249" i="80"/>
  <c r="D261" i="80"/>
  <c r="D154" i="80"/>
  <c r="D166" i="80"/>
  <c r="D178" i="80"/>
  <c r="D190" i="80"/>
  <c r="D202" i="80"/>
  <c r="D214" i="80"/>
  <c r="D226" i="80"/>
  <c r="D238" i="80"/>
  <c r="D250" i="80"/>
  <c r="D262" i="80"/>
  <c r="D155" i="80"/>
  <c r="D167" i="80"/>
  <c r="D179" i="80"/>
  <c r="D191" i="80"/>
  <c r="D203" i="80"/>
  <c r="D215" i="80"/>
  <c r="D227" i="80"/>
  <c r="D239" i="80"/>
  <c r="D251" i="80"/>
  <c r="D156" i="80"/>
  <c r="D168" i="80"/>
  <c r="D180" i="80"/>
  <c r="D192" i="80"/>
  <c r="D204" i="80"/>
  <c r="D216" i="80"/>
  <c r="D228" i="80"/>
  <c r="D240" i="80"/>
  <c r="D252" i="80"/>
  <c r="D157" i="80"/>
  <c r="D169" i="80"/>
  <c r="D181" i="80"/>
  <c r="D193" i="80"/>
  <c r="D205" i="80"/>
  <c r="D217" i="80"/>
  <c r="D229" i="80"/>
  <c r="D241" i="80"/>
  <c r="D253" i="80"/>
  <c r="D159" i="80"/>
  <c r="D171" i="80"/>
  <c r="D183" i="80"/>
  <c r="D195" i="80"/>
  <c r="D207" i="80"/>
  <c r="D219" i="80"/>
  <c r="D231" i="80"/>
  <c r="D243" i="80"/>
  <c r="D255" i="80"/>
  <c r="D160" i="80"/>
  <c r="D172" i="80"/>
  <c r="D184" i="80"/>
  <c r="D196" i="80"/>
  <c r="D208" i="80"/>
  <c r="D220" i="80"/>
  <c r="D232" i="80"/>
  <c r="D244" i="80"/>
  <c r="D256" i="80"/>
  <c r="D161" i="80"/>
  <c r="D173" i="80"/>
  <c r="D185" i="80"/>
  <c r="D197" i="80"/>
  <c r="D209" i="80"/>
  <c r="D221" i="80"/>
  <c r="D233" i="80"/>
  <c r="D245" i="80"/>
  <c r="D257" i="80"/>
  <c r="G150" i="79"/>
  <c r="H150" i="79"/>
  <c r="D160" i="79"/>
  <c r="D172" i="79"/>
  <c r="D196" i="79"/>
  <c r="D220" i="79"/>
  <c r="D244" i="79"/>
  <c r="D256" i="79"/>
  <c r="D150" i="79"/>
  <c r="D162" i="79"/>
  <c r="D174" i="79"/>
  <c r="D186" i="79"/>
  <c r="D198" i="79"/>
  <c r="D210" i="79"/>
  <c r="D222" i="79"/>
  <c r="D234" i="79"/>
  <c r="D246" i="79"/>
  <c r="D258" i="79"/>
  <c r="D153" i="79"/>
  <c r="D165" i="79"/>
  <c r="D177" i="79"/>
  <c r="D189" i="79"/>
  <c r="D201" i="79"/>
  <c r="D213" i="79"/>
  <c r="D225" i="79"/>
  <c r="D237" i="79"/>
  <c r="D249" i="79"/>
  <c r="D261" i="79"/>
  <c r="D166" i="79"/>
  <c r="D154" i="79"/>
  <c r="D226" i="79"/>
  <c r="D262" i="79"/>
  <c r="D155" i="79"/>
  <c r="D167" i="79"/>
  <c r="D179" i="79"/>
  <c r="D191" i="79"/>
  <c r="D203" i="79"/>
  <c r="D215" i="79"/>
  <c r="D227" i="79"/>
  <c r="D239" i="79"/>
  <c r="D251" i="79"/>
  <c r="D190" i="79"/>
  <c r="D250" i="79"/>
  <c r="D156" i="79"/>
  <c r="D168" i="79"/>
  <c r="D180" i="79"/>
  <c r="D192" i="79"/>
  <c r="D204" i="79"/>
  <c r="D216" i="79"/>
  <c r="D228" i="79"/>
  <c r="D240" i="79"/>
  <c r="D252" i="79"/>
  <c r="D159" i="79"/>
  <c r="D171" i="79"/>
  <c r="D183" i="79"/>
  <c r="D195" i="79"/>
  <c r="D207" i="79"/>
  <c r="D219" i="79"/>
  <c r="D231" i="79"/>
  <c r="D243" i="79"/>
  <c r="D255" i="79"/>
  <c r="D184" i="79"/>
  <c r="D232" i="79"/>
  <c r="D161" i="79"/>
  <c r="D173" i="79"/>
  <c r="D185" i="79"/>
  <c r="D197" i="79"/>
  <c r="D209" i="79"/>
  <c r="D221" i="79"/>
  <c r="D233" i="79"/>
  <c r="D245" i="79"/>
  <c r="D257" i="79"/>
  <c r="B11" i="78"/>
  <c r="B15" i="78" s="1"/>
  <c r="B15" i="77"/>
  <c r="B11" i="77"/>
  <c r="B14" i="77" s="1"/>
  <c r="B16" i="77" s="1"/>
  <c r="B14" i="76"/>
  <c r="B16" i="76" s="1"/>
  <c r="B11" i="76"/>
  <c r="B15" i="76"/>
  <c r="B14" i="75"/>
  <c r="B11" i="75"/>
  <c r="B15" i="75" s="1"/>
  <c r="B16" i="75" s="1"/>
  <c r="B30" i="73"/>
  <c r="B30" i="72"/>
  <c r="B30" i="71"/>
  <c r="B30" i="70"/>
  <c r="B13" i="68"/>
  <c r="B7" i="68"/>
  <c r="B3" i="68"/>
  <c r="B13" i="67"/>
  <c r="B7" i="67"/>
  <c r="B3" i="67"/>
  <c r="B16" i="66"/>
  <c r="B13" i="66"/>
  <c r="B7" i="66"/>
  <c r="B3" i="66"/>
  <c r="B16" i="65"/>
  <c r="B13" i="65"/>
  <c r="B7" i="65"/>
  <c r="B3" i="65"/>
  <c r="B13" i="64"/>
  <c r="B7" i="64"/>
  <c r="B3" i="64"/>
  <c r="B13" i="63"/>
  <c r="B7" i="63"/>
  <c r="B3" i="63"/>
  <c r="B16" i="62"/>
  <c r="B13" i="62"/>
  <c r="B7" i="62"/>
  <c r="B3" i="62"/>
  <c r="B16" i="61"/>
  <c r="B13" i="61"/>
  <c r="B7" i="61"/>
  <c r="B3" i="61"/>
  <c r="B9" i="2"/>
  <c r="B201" i="42"/>
  <c r="B200" i="42"/>
  <c r="B199" i="42"/>
  <c r="B198" i="42"/>
  <c r="B197" i="42"/>
  <c r="B196" i="42"/>
  <c r="B195" i="42"/>
  <c r="B194" i="42"/>
  <c r="B193" i="42"/>
  <c r="B192" i="42"/>
  <c r="B191" i="42"/>
  <c r="B190" i="42"/>
  <c r="B189" i="42"/>
  <c r="B188" i="42"/>
  <c r="B187" i="42"/>
  <c r="B186" i="42"/>
  <c r="B185" i="42"/>
  <c r="B184" i="42"/>
  <c r="B183" i="42"/>
  <c r="B182" i="42"/>
  <c r="B181" i="42"/>
  <c r="B180" i="42"/>
  <c r="B179" i="42"/>
  <c r="B178" i="42"/>
  <c r="B177" i="42"/>
  <c r="B176" i="42"/>
  <c r="B175" i="42"/>
  <c r="B174" i="42"/>
  <c r="B173" i="42"/>
  <c r="B172" i="42"/>
  <c r="B171" i="42"/>
  <c r="B170" i="42"/>
  <c r="B169" i="42"/>
  <c r="B168" i="42"/>
  <c r="B167" i="42"/>
  <c r="B166" i="42"/>
  <c r="B165" i="42"/>
  <c r="B164" i="42"/>
  <c r="B163" i="42"/>
  <c r="B162" i="42"/>
  <c r="B161" i="42"/>
  <c r="B160" i="42"/>
  <c r="B159" i="42"/>
  <c r="B158" i="42"/>
  <c r="B157" i="42"/>
  <c r="B156" i="42"/>
  <c r="B155" i="42"/>
  <c r="B154" i="42"/>
  <c r="B153" i="42"/>
  <c r="B152" i="42"/>
  <c r="B151" i="42"/>
  <c r="B150" i="42"/>
  <c r="B149" i="42"/>
  <c r="B148" i="42"/>
  <c r="B147" i="42"/>
  <c r="B146" i="42"/>
  <c r="B145" i="42"/>
  <c r="B144" i="42"/>
  <c r="B143" i="42"/>
  <c r="B142" i="42"/>
  <c r="B141" i="42"/>
  <c r="B140" i="42"/>
  <c r="B139" i="42"/>
  <c r="B138" i="42"/>
  <c r="B137" i="42"/>
  <c r="B136" i="42"/>
  <c r="B135" i="42"/>
  <c r="B134" i="42"/>
  <c r="B133" i="42"/>
  <c r="B132" i="42"/>
  <c r="B131" i="42"/>
  <c r="B130" i="42"/>
  <c r="B129" i="42"/>
  <c r="B128" i="42"/>
  <c r="B127" i="42"/>
  <c r="B126" i="42"/>
  <c r="B125" i="42"/>
  <c r="B124" i="42"/>
  <c r="B123" i="42"/>
  <c r="B122" i="42"/>
  <c r="B121" i="42"/>
  <c r="B120" i="42"/>
  <c r="B119" i="42"/>
  <c r="B118" i="42"/>
  <c r="B117" i="42"/>
  <c r="B116" i="42"/>
  <c r="B115" i="42"/>
  <c r="B114" i="42"/>
  <c r="B113" i="42"/>
  <c r="B112" i="42"/>
  <c r="B111" i="42"/>
  <c r="B110" i="42"/>
  <c r="B109" i="42"/>
  <c r="B108" i="42"/>
  <c r="B107" i="42"/>
  <c r="B106" i="42"/>
  <c r="B105" i="42"/>
  <c r="B104" i="42"/>
  <c r="B103" i="42"/>
  <c r="B102" i="42"/>
  <c r="B101" i="42"/>
  <c r="B100" i="42"/>
  <c r="B99" i="42"/>
  <c r="B98" i="42"/>
  <c r="B97" i="42"/>
  <c r="B96" i="42"/>
  <c r="B95" i="42"/>
  <c r="B94" i="42"/>
  <c r="B93" i="42"/>
  <c r="B92" i="42"/>
  <c r="B91" i="42"/>
  <c r="B90" i="42"/>
  <c r="B89" i="42"/>
  <c r="B88" i="42"/>
  <c r="B87" i="42"/>
  <c r="B86" i="42"/>
  <c r="B85" i="42"/>
  <c r="E202" i="82"/>
  <c r="E203" i="82"/>
  <c r="E187" i="82"/>
  <c r="E224" i="82"/>
  <c r="E261" i="82"/>
  <c r="E214" i="82"/>
  <c r="E215" i="82"/>
  <c r="E199" i="82"/>
  <c r="E236" i="82"/>
  <c r="E226" i="82"/>
  <c r="E227" i="82"/>
  <c r="E159" i="82"/>
  <c r="E211" i="82"/>
  <c r="E248" i="82"/>
  <c r="E249" i="82"/>
  <c r="E238" i="82"/>
  <c r="E239" i="82"/>
  <c r="E171" i="82"/>
  <c r="E223" i="82"/>
  <c r="E260" i="82"/>
  <c r="E163" i="82"/>
  <c r="E175" i="82"/>
  <c r="E250" i="82"/>
  <c r="E251" i="82"/>
  <c r="E158" i="82"/>
  <c r="E183" i="82"/>
  <c r="E160" i="82"/>
  <c r="E235" i="82"/>
  <c r="E165" i="82"/>
  <c r="E178" i="82"/>
  <c r="E179" i="82"/>
  <c r="E190" i="82"/>
  <c r="E191" i="82"/>
  <c r="E262" i="82"/>
  <c r="E263" i="82"/>
  <c r="E170" i="82"/>
  <c r="E195" i="82"/>
  <c r="E172" i="82"/>
  <c r="E247" i="82"/>
  <c r="E177" i="82"/>
  <c r="E237" i="82"/>
  <c r="E157" i="82"/>
  <c r="E182" i="82"/>
  <c r="E184" i="82"/>
  <c r="E259" i="82"/>
  <c r="E189" i="82"/>
  <c r="E212" i="82"/>
  <c r="E169" i="82"/>
  <c r="E194" i="82"/>
  <c r="E196" i="82"/>
  <c r="E164" i="82"/>
  <c r="E201" i="82"/>
  <c r="E200" i="82"/>
  <c r="E153" i="82"/>
  <c r="E154" i="82"/>
  <c r="E155" i="82"/>
  <c r="E181" i="82"/>
  <c r="E176" i="82"/>
  <c r="E213" i="82"/>
  <c r="E166" i="82"/>
  <c r="E167" i="82"/>
  <c r="E193" i="82"/>
  <c r="E188" i="82"/>
  <c r="E225" i="82"/>
  <c r="E243" i="80"/>
  <c r="E173" i="80"/>
  <c r="E210" i="80"/>
  <c r="E255" i="80"/>
  <c r="E185" i="80"/>
  <c r="E222" i="80"/>
  <c r="E246" i="80"/>
  <c r="E160" i="80"/>
  <c r="E197" i="80"/>
  <c r="E234" i="80"/>
  <c r="E151" i="80"/>
  <c r="E152" i="80"/>
  <c r="E153" i="80"/>
  <c r="E172" i="80"/>
  <c r="E209" i="80"/>
  <c r="E184" i="80"/>
  <c r="E221" i="80"/>
  <c r="E258" i="80"/>
  <c r="E159" i="80"/>
  <c r="E196" i="80"/>
  <c r="E233" i="80"/>
  <c r="E171" i="80"/>
  <c r="E208" i="80"/>
  <c r="E245" i="80"/>
  <c r="E183" i="80"/>
  <c r="E220" i="80"/>
  <c r="E257" i="80"/>
  <c r="E195" i="80"/>
  <c r="E232" i="80"/>
  <c r="E162" i="80"/>
  <c r="E207" i="80"/>
  <c r="E244" i="80"/>
  <c r="E174" i="80"/>
  <c r="E219" i="80"/>
  <c r="E256" i="80"/>
  <c r="E186" i="80"/>
  <c r="E231" i="80"/>
  <c r="E161" i="80"/>
  <c r="E198" i="80"/>
  <c r="E214" i="79"/>
  <c r="E239" i="79"/>
  <c r="E241" i="79"/>
  <c r="E240" i="79"/>
  <c r="E171" i="79"/>
  <c r="E184" i="79"/>
  <c r="E221" i="79"/>
  <c r="E222" i="79"/>
  <c r="E225" i="79"/>
  <c r="E226" i="79"/>
  <c r="E182" i="79"/>
  <c r="E183" i="79"/>
  <c r="E234" i="79"/>
  <c r="E233" i="79"/>
  <c r="E232" i="79"/>
  <c r="E176" i="79"/>
  <c r="E238" i="79"/>
  <c r="E263" i="79"/>
  <c r="E264" i="79"/>
  <c r="E195" i="79"/>
  <c r="E208" i="79"/>
  <c r="E245" i="79"/>
  <c r="E246" i="79"/>
  <c r="E249" i="79"/>
  <c r="E200" i="79"/>
  <c r="E250" i="79"/>
  <c r="E170" i="79"/>
  <c r="E207" i="79"/>
  <c r="E206" i="79"/>
  <c r="E220" i="79"/>
  <c r="E258" i="79"/>
  <c r="E257" i="79"/>
  <c r="E261" i="79"/>
  <c r="E262" i="79"/>
  <c r="E188" i="79"/>
  <c r="E248" i="79"/>
  <c r="E155" i="79"/>
  <c r="E156" i="79"/>
  <c r="E231" i="79"/>
  <c r="E244" i="79"/>
  <c r="E236" i="79"/>
  <c r="E179" i="79"/>
  <c r="E181" i="79"/>
  <c r="E180" i="79"/>
  <c r="E255" i="79"/>
  <c r="E161" i="79"/>
  <c r="E162" i="79"/>
  <c r="E197" i="79"/>
  <c r="E198" i="79"/>
  <c r="E260" i="79"/>
  <c r="E167" i="79"/>
  <c r="E168" i="79"/>
  <c r="E243" i="79"/>
  <c r="E242" i="79"/>
  <c r="E256" i="79"/>
  <c r="E151" i="79"/>
  <c r="E152" i="79"/>
  <c r="E153" i="79"/>
  <c r="E154" i="79"/>
  <c r="E158" i="79"/>
  <c r="E165" i="79"/>
  <c r="E217" i="79"/>
  <c r="E215" i="79"/>
  <c r="E216" i="79"/>
  <c r="E201" i="79"/>
  <c r="E166" i="79"/>
  <c r="E191" i="79"/>
  <c r="E192" i="79"/>
  <c r="E230" i="79"/>
  <c r="E194" i="79"/>
  <c r="E174" i="79"/>
  <c r="E173" i="79"/>
  <c r="E177" i="79"/>
  <c r="E178" i="79"/>
  <c r="E203" i="79"/>
  <c r="E205" i="79"/>
  <c r="E204" i="79"/>
  <c r="E254" i="79"/>
  <c r="E185" i="79"/>
  <c r="E186" i="79"/>
  <c r="E189" i="79"/>
  <c r="E190" i="79"/>
  <c r="E160" i="79"/>
  <c r="E202" i="79"/>
  <c r="E227" i="79"/>
  <c r="E228" i="79"/>
  <c r="E159" i="79"/>
  <c r="E172" i="79"/>
  <c r="E210" i="79"/>
  <c r="E209" i="79"/>
  <c r="E211" i="79"/>
  <c r="E212" i="79"/>
  <c r="E213" i="79"/>
  <c r="E164" i="79"/>
  <c r="E251" i="79"/>
  <c r="E252" i="79"/>
  <c r="E196" i="79"/>
  <c r="E237" i="79"/>
  <c r="E224" i="79"/>
  <c r="E219" i="79"/>
  <c r="E218" i="79"/>
  <c r="B17" i="77"/>
  <c r="B17" i="76"/>
  <c r="B17" i="75"/>
  <c r="C86" i="89" l="1"/>
  <c r="H148" i="87"/>
  <c r="E148" i="87"/>
  <c r="E148" i="85"/>
  <c r="F149" i="85" s="1"/>
  <c r="H149" i="85" s="1"/>
  <c r="I149" i="85" s="1"/>
  <c r="G148" i="85"/>
  <c r="H148" i="84"/>
  <c r="E148" i="84"/>
  <c r="G148" i="83"/>
  <c r="E148" i="83"/>
  <c r="F149" i="83" s="1"/>
  <c r="H149" i="83" s="1"/>
  <c r="I149" i="83" s="1"/>
  <c r="G225" i="82"/>
  <c r="H225" i="82" s="1"/>
  <c r="G188" i="82"/>
  <c r="H188" i="82" s="1"/>
  <c r="G193" i="82"/>
  <c r="H193" i="82" s="1"/>
  <c r="G167" i="82"/>
  <c r="H167" i="82" s="1"/>
  <c r="G166" i="82"/>
  <c r="H166" i="82" s="1"/>
  <c r="G213" i="82"/>
  <c r="H213" i="82" s="1"/>
  <c r="G176" i="82"/>
  <c r="H176" i="82" s="1"/>
  <c r="G181" i="82"/>
  <c r="H181" i="82" s="1"/>
  <c r="G155" i="82"/>
  <c r="H155" i="82" s="1"/>
  <c r="G154" i="82"/>
  <c r="H154" i="82" s="1"/>
  <c r="G153" i="82"/>
  <c r="H153" i="82" s="1"/>
  <c r="G200" i="82"/>
  <c r="H200" i="82" s="1"/>
  <c r="G201" i="82"/>
  <c r="H201" i="82" s="1"/>
  <c r="G164" i="82"/>
  <c r="H164" i="82" s="1"/>
  <c r="G196" i="82"/>
  <c r="H196" i="82" s="1"/>
  <c r="G194" i="82"/>
  <c r="H194" i="82" s="1"/>
  <c r="G169" i="82"/>
  <c r="H169" i="82" s="1"/>
  <c r="G212" i="82"/>
  <c r="H212" i="82" s="1"/>
  <c r="G189" i="82"/>
  <c r="H189" i="82" s="1"/>
  <c r="G259" i="82"/>
  <c r="H259" i="82" s="1"/>
  <c r="F259" i="82"/>
  <c r="G184" i="82"/>
  <c r="H184" i="82" s="1"/>
  <c r="G182" i="82"/>
  <c r="H182" i="82" s="1"/>
  <c r="G157" i="82"/>
  <c r="H157" i="82" s="1"/>
  <c r="G237" i="82"/>
  <c r="H237" i="82" s="1"/>
  <c r="G177" i="82"/>
  <c r="H177" i="82" s="1"/>
  <c r="G247" i="82"/>
  <c r="H247" i="82" s="1"/>
  <c r="F247" i="82"/>
  <c r="G172" i="82"/>
  <c r="H172" i="82" s="1"/>
  <c r="G195" i="82"/>
  <c r="H195" i="82" s="1"/>
  <c r="G170" i="82"/>
  <c r="H170" i="82" s="1"/>
  <c r="G263" i="82"/>
  <c r="G262" i="82"/>
  <c r="H262" i="82" s="1"/>
  <c r="G191" i="82"/>
  <c r="H191" i="82" s="1"/>
  <c r="G190" i="82"/>
  <c r="H190" i="82" s="1"/>
  <c r="G179" i="82"/>
  <c r="H179" i="82" s="1"/>
  <c r="G178" i="82"/>
  <c r="H178" i="82" s="1"/>
  <c r="G165" i="82"/>
  <c r="H165" i="82" s="1"/>
  <c r="G235" i="82"/>
  <c r="H235" i="82" s="1"/>
  <c r="F235" i="82"/>
  <c r="G160" i="82"/>
  <c r="H160" i="82" s="1"/>
  <c r="G183" i="82"/>
  <c r="H183" i="82" s="1"/>
  <c r="G158" i="82"/>
  <c r="H158" i="82" s="1"/>
  <c r="G251" i="82"/>
  <c r="H251" i="82" s="1"/>
  <c r="G250" i="82"/>
  <c r="H250" i="82" s="1"/>
  <c r="G175" i="82"/>
  <c r="H175" i="82" s="1"/>
  <c r="F175" i="82"/>
  <c r="G163" i="82"/>
  <c r="H163" i="82" s="1"/>
  <c r="F163" i="82"/>
  <c r="G260" i="82"/>
  <c r="H260" i="82" s="1"/>
  <c r="G223" i="82"/>
  <c r="H223" i="82" s="1"/>
  <c r="F223" i="82"/>
  <c r="G171" i="82"/>
  <c r="H171" i="82" s="1"/>
  <c r="G239" i="82"/>
  <c r="H239" i="82" s="1"/>
  <c r="G238" i="82"/>
  <c r="H238" i="82" s="1"/>
  <c r="G249" i="82"/>
  <c r="H249" i="82" s="1"/>
  <c r="G248" i="82"/>
  <c r="H248" i="82" s="1"/>
  <c r="G211" i="82"/>
  <c r="H211" i="82" s="1"/>
  <c r="F211" i="82"/>
  <c r="G159" i="82"/>
  <c r="H159" i="82" s="1"/>
  <c r="G227" i="82"/>
  <c r="H227" i="82" s="1"/>
  <c r="G226" i="82"/>
  <c r="H226" i="82" s="1"/>
  <c r="G236" i="82"/>
  <c r="H236" i="82" s="1"/>
  <c r="G199" i="82"/>
  <c r="H199" i="82" s="1"/>
  <c r="F199" i="82"/>
  <c r="G215" i="82"/>
  <c r="H215" i="82" s="1"/>
  <c r="G214" i="82"/>
  <c r="H214" i="82" s="1"/>
  <c r="G261" i="82"/>
  <c r="H261" i="82" s="1"/>
  <c r="G224" i="82"/>
  <c r="H224" i="82" s="1"/>
  <c r="G187" i="82"/>
  <c r="H187" i="82" s="1"/>
  <c r="F187" i="82"/>
  <c r="G203" i="82"/>
  <c r="H203" i="82" s="1"/>
  <c r="G202" i="82"/>
  <c r="H202" i="82" s="1"/>
  <c r="F184" i="82"/>
  <c r="F239" i="82"/>
  <c r="F214" i="82"/>
  <c r="F189" i="82"/>
  <c r="F164" i="82"/>
  <c r="F172" i="82"/>
  <c r="F227" i="82"/>
  <c r="F202" i="82"/>
  <c r="F177" i="82"/>
  <c r="F152" i="82"/>
  <c r="F238" i="82"/>
  <c r="F196" i="82"/>
  <c r="F160" i="82"/>
  <c r="F193" i="82"/>
  <c r="F215" i="82"/>
  <c r="F190" i="82"/>
  <c r="F165" i="82"/>
  <c r="F181" i="82"/>
  <c r="F203" i="82"/>
  <c r="F178" i="82"/>
  <c r="F153" i="82"/>
  <c r="F201" i="82"/>
  <c r="F169" i="82"/>
  <c r="F191" i="82"/>
  <c r="F166" i="82"/>
  <c r="F260" i="82"/>
  <c r="F188" i="82"/>
  <c r="F176" i="82"/>
  <c r="F194" i="82"/>
  <c r="F157" i="82"/>
  <c r="F179" i="82"/>
  <c r="F154" i="82"/>
  <c r="F248" i="82"/>
  <c r="F171" i="82"/>
  <c r="F159" i="82"/>
  <c r="F182" i="82"/>
  <c r="F167" i="82"/>
  <c r="F261" i="82"/>
  <c r="F236" i="82"/>
  <c r="F226" i="82"/>
  <c r="F170" i="82"/>
  <c r="F155" i="82"/>
  <c r="F249" i="82"/>
  <c r="F224" i="82"/>
  <c r="F213" i="82"/>
  <c r="F195" i="82"/>
  <c r="F158" i="82"/>
  <c r="F262" i="82"/>
  <c r="F237" i="82"/>
  <c r="F212" i="82"/>
  <c r="F251" i="82"/>
  <c r="F183" i="82"/>
  <c r="F250" i="82"/>
  <c r="F225" i="82"/>
  <c r="F200" i="82"/>
  <c r="H148" i="81"/>
  <c r="E148" i="81"/>
  <c r="G198" i="80"/>
  <c r="H198" i="80" s="1"/>
  <c r="G161" i="80"/>
  <c r="H161" i="80" s="1"/>
  <c r="G231" i="80"/>
  <c r="H231" i="80" s="1"/>
  <c r="G186" i="80"/>
  <c r="H186" i="80" s="1"/>
  <c r="G256" i="80"/>
  <c r="H256" i="80" s="1"/>
  <c r="G219" i="80"/>
  <c r="H219" i="80" s="1"/>
  <c r="G174" i="80"/>
  <c r="H174" i="80" s="1"/>
  <c r="G244" i="80"/>
  <c r="H244" i="80" s="1"/>
  <c r="G207" i="80"/>
  <c r="H207" i="80" s="1"/>
  <c r="G162" i="80"/>
  <c r="H162" i="80" s="1"/>
  <c r="G232" i="80"/>
  <c r="H232" i="80" s="1"/>
  <c r="G195" i="80"/>
  <c r="H195" i="80" s="1"/>
  <c r="G257" i="80"/>
  <c r="H257" i="80" s="1"/>
  <c r="G220" i="80"/>
  <c r="H220" i="80" s="1"/>
  <c r="G183" i="80"/>
  <c r="H183" i="80" s="1"/>
  <c r="G245" i="80"/>
  <c r="H245" i="80" s="1"/>
  <c r="G208" i="80"/>
  <c r="H208" i="80" s="1"/>
  <c r="G171" i="80"/>
  <c r="H171" i="80" s="1"/>
  <c r="G233" i="80"/>
  <c r="H233" i="80" s="1"/>
  <c r="G196" i="80"/>
  <c r="H196" i="80" s="1"/>
  <c r="G159" i="80"/>
  <c r="H159" i="80" s="1"/>
  <c r="G258" i="80"/>
  <c r="H258" i="80" s="1"/>
  <c r="G221" i="80"/>
  <c r="H221" i="80" s="1"/>
  <c r="G184" i="80"/>
  <c r="H184" i="80" s="1"/>
  <c r="G209" i="80"/>
  <c r="H209" i="80" s="1"/>
  <c r="G172" i="80"/>
  <c r="H172" i="80" s="1"/>
  <c r="G153" i="80"/>
  <c r="H153" i="80" s="1"/>
  <c r="G152" i="80"/>
  <c r="H152" i="80" s="1"/>
  <c r="G151" i="80"/>
  <c r="H151" i="80" s="1"/>
  <c r="G234" i="80"/>
  <c r="H234" i="80" s="1"/>
  <c r="G197" i="80"/>
  <c r="H197" i="80" s="1"/>
  <c r="G160" i="80"/>
  <c r="H160" i="80" s="1"/>
  <c r="G246" i="80"/>
  <c r="H246" i="80" s="1"/>
  <c r="G222" i="80"/>
  <c r="H222" i="80" s="1"/>
  <c r="G185" i="80"/>
  <c r="H185" i="80" s="1"/>
  <c r="G255" i="80"/>
  <c r="H255" i="80" s="1"/>
  <c r="G210" i="80"/>
  <c r="H210" i="80" s="1"/>
  <c r="G173" i="80"/>
  <c r="H173" i="80" s="1"/>
  <c r="G243" i="80"/>
  <c r="H243" i="80" s="1"/>
  <c r="F232" i="80"/>
  <c r="F195" i="80"/>
  <c r="F152" i="80"/>
  <c r="F246" i="80"/>
  <c r="F257" i="80"/>
  <c r="F220" i="80"/>
  <c r="F183" i="80"/>
  <c r="F234" i="80"/>
  <c r="F208" i="80"/>
  <c r="F171" i="80"/>
  <c r="F222" i="80"/>
  <c r="F233" i="80"/>
  <c r="F196" i="80"/>
  <c r="F159" i="80"/>
  <c r="F210" i="80"/>
  <c r="F245" i="80"/>
  <c r="F221" i="80"/>
  <c r="F184" i="80"/>
  <c r="F198" i="80"/>
  <c r="F209" i="80"/>
  <c r="F172" i="80"/>
  <c r="F186" i="80"/>
  <c r="F197" i="80"/>
  <c r="F160" i="80"/>
  <c r="F174" i="80"/>
  <c r="F153" i="80"/>
  <c r="F185" i="80"/>
  <c r="F255" i="80"/>
  <c r="F162" i="80"/>
  <c r="F150" i="80"/>
  <c r="F173" i="80"/>
  <c r="F161" i="80"/>
  <c r="F231" i="80"/>
  <c r="F243" i="80"/>
  <c r="F256" i="80"/>
  <c r="F219" i="80"/>
  <c r="F151" i="80"/>
  <c r="F244" i="80"/>
  <c r="F207" i="80"/>
  <c r="F258" i="80"/>
  <c r="G218" i="79"/>
  <c r="H218" i="79" s="1"/>
  <c r="F218" i="79"/>
  <c r="G219" i="79"/>
  <c r="H219" i="79" s="1"/>
  <c r="G224" i="79"/>
  <c r="H224" i="79" s="1"/>
  <c r="F224" i="79"/>
  <c r="G237" i="79"/>
  <c r="H237" i="79" s="1"/>
  <c r="G196" i="79"/>
  <c r="H196" i="79" s="1"/>
  <c r="G252" i="79"/>
  <c r="H252" i="79" s="1"/>
  <c r="G251" i="79"/>
  <c r="H251" i="79" s="1"/>
  <c r="G164" i="79"/>
  <c r="H164" i="79" s="1"/>
  <c r="F164" i="79"/>
  <c r="G213" i="79"/>
  <c r="H213" i="79" s="1"/>
  <c r="G212" i="79"/>
  <c r="H212" i="79" s="1"/>
  <c r="F212" i="79"/>
  <c r="G211" i="79"/>
  <c r="H211" i="79" s="1"/>
  <c r="F211" i="79"/>
  <c r="G209" i="79"/>
  <c r="H209" i="79" s="1"/>
  <c r="G210" i="79"/>
  <c r="H210" i="79" s="1"/>
  <c r="G172" i="79"/>
  <c r="H172" i="79" s="1"/>
  <c r="G159" i="79"/>
  <c r="H159" i="79" s="1"/>
  <c r="G228" i="79"/>
  <c r="H228" i="79" s="1"/>
  <c r="G227" i="79"/>
  <c r="H227" i="79" s="1"/>
  <c r="G202" i="79"/>
  <c r="H202" i="79" s="1"/>
  <c r="F202" i="79"/>
  <c r="G160" i="79"/>
  <c r="H160" i="79" s="1"/>
  <c r="G190" i="79"/>
  <c r="H190" i="79" s="1"/>
  <c r="G189" i="79"/>
  <c r="H189" i="79" s="1"/>
  <c r="G186" i="79"/>
  <c r="H186" i="79" s="1"/>
  <c r="G185" i="79"/>
  <c r="H185" i="79" s="1"/>
  <c r="G254" i="79"/>
  <c r="H254" i="79" s="1"/>
  <c r="F254" i="79"/>
  <c r="G204" i="79"/>
  <c r="H204" i="79" s="1"/>
  <c r="G205" i="79"/>
  <c r="H205" i="79" s="1"/>
  <c r="F205" i="79"/>
  <c r="G203" i="79"/>
  <c r="H203" i="79" s="1"/>
  <c r="G178" i="79"/>
  <c r="H178" i="79" s="1"/>
  <c r="F178" i="79"/>
  <c r="G177" i="79"/>
  <c r="H177" i="79" s="1"/>
  <c r="G173" i="79"/>
  <c r="H173" i="79" s="1"/>
  <c r="G174" i="79"/>
  <c r="H174" i="79" s="1"/>
  <c r="G194" i="79"/>
  <c r="H194" i="79" s="1"/>
  <c r="F194" i="79"/>
  <c r="G230" i="79"/>
  <c r="H230" i="79" s="1"/>
  <c r="F230" i="79"/>
  <c r="G192" i="79"/>
  <c r="H192" i="79" s="1"/>
  <c r="G191" i="79"/>
  <c r="H191" i="79" s="1"/>
  <c r="G166" i="79"/>
  <c r="H166" i="79" s="1"/>
  <c r="G201" i="79"/>
  <c r="H201" i="79" s="1"/>
  <c r="G216" i="79"/>
  <c r="H216" i="79" s="1"/>
  <c r="G215" i="79"/>
  <c r="H215" i="79" s="1"/>
  <c r="G217" i="79"/>
  <c r="H217" i="79" s="1"/>
  <c r="F217" i="79"/>
  <c r="G165" i="79"/>
  <c r="H165" i="79" s="1"/>
  <c r="G158" i="79"/>
  <c r="H158" i="79" s="1"/>
  <c r="F158" i="79"/>
  <c r="G154" i="79"/>
  <c r="H154" i="79" s="1"/>
  <c r="G153" i="79"/>
  <c r="H153" i="79" s="1"/>
  <c r="G152" i="79"/>
  <c r="H152" i="79" s="1"/>
  <c r="F152" i="79"/>
  <c r="G151" i="79"/>
  <c r="H151" i="79" s="1"/>
  <c r="F151" i="79"/>
  <c r="G256" i="79"/>
  <c r="H256" i="79" s="1"/>
  <c r="G242" i="79"/>
  <c r="H242" i="79" s="1"/>
  <c r="F242" i="79"/>
  <c r="G243" i="79"/>
  <c r="H243" i="79" s="1"/>
  <c r="G168" i="79"/>
  <c r="H168" i="79" s="1"/>
  <c r="G167" i="79"/>
  <c r="H167" i="79" s="1"/>
  <c r="G260" i="79"/>
  <c r="H260" i="79" s="1"/>
  <c r="F260" i="79"/>
  <c r="G198" i="79"/>
  <c r="H198" i="79" s="1"/>
  <c r="G197" i="79"/>
  <c r="H197" i="79" s="1"/>
  <c r="G162" i="79"/>
  <c r="H162" i="79" s="1"/>
  <c r="G161" i="79"/>
  <c r="H161" i="79" s="1"/>
  <c r="G255" i="79"/>
  <c r="H255" i="79" s="1"/>
  <c r="G180" i="79"/>
  <c r="H180" i="79" s="1"/>
  <c r="G181" i="79"/>
  <c r="H181" i="79" s="1"/>
  <c r="F181" i="79"/>
  <c r="G179" i="79"/>
  <c r="H179" i="79" s="1"/>
  <c r="G236" i="79"/>
  <c r="H236" i="79" s="1"/>
  <c r="F236" i="79"/>
  <c r="G244" i="79"/>
  <c r="H244" i="79" s="1"/>
  <c r="G231" i="79"/>
  <c r="H231" i="79" s="1"/>
  <c r="G156" i="79"/>
  <c r="H156" i="79" s="1"/>
  <c r="G155" i="79"/>
  <c r="H155" i="79" s="1"/>
  <c r="G248" i="79"/>
  <c r="H248" i="79" s="1"/>
  <c r="F248" i="79"/>
  <c r="F188" i="79"/>
  <c r="G188" i="79"/>
  <c r="H188" i="79" s="1"/>
  <c r="G262" i="79"/>
  <c r="H262" i="79" s="1"/>
  <c r="G261" i="79"/>
  <c r="H261" i="79" s="1"/>
  <c r="G257" i="79"/>
  <c r="H257" i="79" s="1"/>
  <c r="G258" i="79"/>
  <c r="H258" i="79" s="1"/>
  <c r="G220" i="79"/>
  <c r="H220" i="79" s="1"/>
  <c r="G206" i="79"/>
  <c r="H206" i="79" s="1"/>
  <c r="F206" i="79"/>
  <c r="G207" i="79"/>
  <c r="H207" i="79" s="1"/>
  <c r="G170" i="79"/>
  <c r="H170" i="79" s="1"/>
  <c r="F170" i="79"/>
  <c r="G250" i="79"/>
  <c r="H250" i="79" s="1"/>
  <c r="G200" i="79"/>
  <c r="H200" i="79" s="1"/>
  <c r="F200" i="79"/>
  <c r="G249" i="79"/>
  <c r="H249" i="79" s="1"/>
  <c r="G246" i="79"/>
  <c r="H246" i="79" s="1"/>
  <c r="G245" i="79"/>
  <c r="H245" i="79" s="1"/>
  <c r="G208" i="79"/>
  <c r="H208" i="79" s="1"/>
  <c r="F208" i="79"/>
  <c r="G195" i="79"/>
  <c r="H195" i="79" s="1"/>
  <c r="G264" i="79"/>
  <c r="G263" i="79"/>
  <c r="G238" i="79"/>
  <c r="H238" i="79" s="1"/>
  <c r="F238" i="79"/>
  <c r="F176" i="79"/>
  <c r="G176" i="79"/>
  <c r="H176" i="79" s="1"/>
  <c r="G232" i="79"/>
  <c r="H232" i="79" s="1"/>
  <c r="G233" i="79"/>
  <c r="H233" i="79" s="1"/>
  <c r="G234" i="79"/>
  <c r="H234" i="79" s="1"/>
  <c r="G183" i="79"/>
  <c r="H183" i="79" s="1"/>
  <c r="G182" i="79"/>
  <c r="H182" i="79" s="1"/>
  <c r="F182" i="79"/>
  <c r="G226" i="79"/>
  <c r="H226" i="79" s="1"/>
  <c r="G225" i="79"/>
  <c r="H225" i="79" s="1"/>
  <c r="G222" i="79"/>
  <c r="H222" i="79" s="1"/>
  <c r="G221" i="79"/>
  <c r="H221" i="79" s="1"/>
  <c r="G184" i="79"/>
  <c r="H184" i="79" s="1"/>
  <c r="G171" i="79"/>
  <c r="H171" i="79" s="1"/>
  <c r="G240" i="79"/>
  <c r="H240" i="79" s="1"/>
  <c r="G241" i="79"/>
  <c r="H241" i="79" s="1"/>
  <c r="F241" i="79"/>
  <c r="G239" i="79"/>
  <c r="H239" i="79" s="1"/>
  <c r="G214" i="79"/>
  <c r="H214" i="79" s="1"/>
  <c r="F214" i="79"/>
  <c r="F215" i="79"/>
  <c r="F220" i="79"/>
  <c r="F233" i="79"/>
  <c r="F192" i="79"/>
  <c r="F249" i="79"/>
  <c r="F160" i="79"/>
  <c r="F209" i="79"/>
  <c r="F207" i="79"/>
  <c r="F168" i="79"/>
  <c r="F155" i="79"/>
  <c r="F225" i="79"/>
  <c r="F198" i="79"/>
  <c r="F156" i="79"/>
  <c r="F186" i="79"/>
  <c r="F185" i="79"/>
  <c r="F183" i="79"/>
  <c r="F250" i="79"/>
  <c r="F262" i="79"/>
  <c r="F201" i="79"/>
  <c r="F174" i="79"/>
  <c r="F173" i="79"/>
  <c r="F171" i="79"/>
  <c r="F190" i="79"/>
  <c r="F226" i="79"/>
  <c r="F189" i="79"/>
  <c r="F162" i="79"/>
  <c r="F197" i="79"/>
  <c r="F213" i="79"/>
  <c r="F161" i="79"/>
  <c r="F154" i="79"/>
  <c r="F150" i="79"/>
  <c r="F252" i="79"/>
  <c r="F239" i="79"/>
  <c r="F165" i="79"/>
  <c r="F256" i="79"/>
  <c r="F195" i="79"/>
  <c r="F159" i="79"/>
  <c r="F251" i="79"/>
  <c r="F177" i="79"/>
  <c r="F232" i="79"/>
  <c r="F240" i="79"/>
  <c r="F227" i="79"/>
  <c r="F153" i="79"/>
  <c r="F244" i="79"/>
  <c r="F184" i="79"/>
  <c r="F258" i="79"/>
  <c r="F257" i="79"/>
  <c r="F255" i="79"/>
  <c r="F216" i="79"/>
  <c r="F203" i="79"/>
  <c r="F166" i="79"/>
  <c r="F246" i="79"/>
  <c r="F196" i="79"/>
  <c r="F245" i="79"/>
  <c r="F243" i="79"/>
  <c r="F204" i="79"/>
  <c r="F191" i="79"/>
  <c r="F261" i="79"/>
  <c r="F234" i="79"/>
  <c r="F172" i="79"/>
  <c r="F228" i="79"/>
  <c r="F231" i="79"/>
  <c r="F179" i="79"/>
  <c r="F222" i="79"/>
  <c r="F221" i="79"/>
  <c r="F219" i="79"/>
  <c r="F180" i="79"/>
  <c r="F167" i="79"/>
  <c r="F237" i="79"/>
  <c r="F210" i="79"/>
  <c r="B14" i="78"/>
  <c r="B16" i="78" s="1"/>
  <c r="D85" i="42"/>
  <c r="C86" i="42" s="1"/>
  <c r="C85" i="42"/>
  <c r="E85" i="42" s="1"/>
  <c r="B14" i="88"/>
  <c r="B17" i="78"/>
  <c r="D87" i="89" l="1"/>
  <c r="E87" i="89" s="1"/>
  <c r="C87" i="89"/>
  <c r="F148" i="87"/>
  <c r="E149" i="87" s="1"/>
  <c r="E149" i="85"/>
  <c r="E150" i="85" s="1"/>
  <c r="G149" i="85"/>
  <c r="F148" i="84"/>
  <c r="E149" i="84" s="1"/>
  <c r="G149" i="83"/>
  <c r="E149" i="83"/>
  <c r="F148" i="81"/>
  <c r="G149" i="81" s="1"/>
  <c r="D86" i="42"/>
  <c r="F87" i="42" s="1"/>
  <c r="G87" i="42" s="1"/>
  <c r="E86" i="42"/>
  <c r="F86" i="42"/>
  <c r="G86" i="42" s="1"/>
  <c r="D88" i="89" l="1"/>
  <c r="E88" i="89" s="1"/>
  <c r="C88" i="89"/>
  <c r="G149" i="87"/>
  <c r="F149" i="87"/>
  <c r="G150" i="87" s="1"/>
  <c r="F150" i="85"/>
  <c r="H150" i="85" s="1"/>
  <c r="I150" i="85" s="1"/>
  <c r="F151" i="85"/>
  <c r="E151" i="85"/>
  <c r="F149" i="84"/>
  <c r="G150" i="84" s="1"/>
  <c r="G149" i="84"/>
  <c r="F150" i="83"/>
  <c r="E150" i="83"/>
  <c r="E149" i="81"/>
  <c r="I149" i="81"/>
  <c r="J149" i="81" s="1"/>
  <c r="H149" i="81"/>
  <c r="F149" i="81"/>
  <c r="G150" i="81" s="1"/>
  <c r="C87" i="42"/>
  <c r="D87" i="42" s="1"/>
  <c r="F88" i="42" s="1"/>
  <c r="G88" i="42" s="1"/>
  <c r="C89" i="89" l="1"/>
  <c r="D89" i="89"/>
  <c r="E89" i="89" s="1"/>
  <c r="E150" i="87"/>
  <c r="F150" i="87" s="1"/>
  <c r="G151" i="87" s="1"/>
  <c r="I150" i="87"/>
  <c r="J150" i="87" s="1"/>
  <c r="H150" i="87"/>
  <c r="I149" i="87"/>
  <c r="J149" i="87" s="1"/>
  <c r="H149" i="87"/>
  <c r="G150" i="85"/>
  <c r="F152" i="85"/>
  <c r="E152" i="85"/>
  <c r="H151" i="85"/>
  <c r="I151" i="85" s="1"/>
  <c r="G151" i="85"/>
  <c r="E150" i="84"/>
  <c r="I149" i="84"/>
  <c r="J149" i="84" s="1"/>
  <c r="H149" i="84"/>
  <c r="F150" i="84"/>
  <c r="G151" i="84" s="1"/>
  <c r="I150" i="84"/>
  <c r="J150" i="84" s="1"/>
  <c r="H150" i="84"/>
  <c r="F151" i="83"/>
  <c r="E151" i="83"/>
  <c r="H150" i="83"/>
  <c r="I150" i="83" s="1"/>
  <c r="G150" i="83"/>
  <c r="E150" i="81"/>
  <c r="I150" i="81"/>
  <c r="J150" i="81" s="1"/>
  <c r="H150" i="81"/>
  <c r="F150" i="81"/>
  <c r="G151" i="81" s="1"/>
  <c r="E87" i="42"/>
  <c r="C88" i="42"/>
  <c r="D88" i="42" s="1"/>
  <c r="F89" i="42" s="1"/>
  <c r="G89" i="42" s="1"/>
  <c r="D90" i="89" l="1"/>
  <c r="E90" i="89" s="1"/>
  <c r="C90" i="89"/>
  <c r="E151" i="87"/>
  <c r="I151" i="87"/>
  <c r="J151" i="87" s="1"/>
  <c r="H151" i="87"/>
  <c r="F151" i="87"/>
  <c r="G152" i="87" s="1"/>
  <c r="F153" i="85"/>
  <c r="E153" i="85"/>
  <c r="H152" i="85"/>
  <c r="I152" i="85" s="1"/>
  <c r="G152" i="85"/>
  <c r="E151" i="84"/>
  <c r="I151" i="84"/>
  <c r="J151" i="84" s="1"/>
  <c r="H151" i="84"/>
  <c r="F151" i="84"/>
  <c r="G152" i="84" s="1"/>
  <c r="F152" i="83"/>
  <c r="E152" i="83"/>
  <c r="H151" i="83"/>
  <c r="I151" i="83" s="1"/>
  <c r="G151" i="83"/>
  <c r="E151" i="81"/>
  <c r="F151" i="81" s="1"/>
  <c r="G152" i="81" s="1"/>
  <c r="I151" i="81"/>
  <c r="J151" i="81" s="1"/>
  <c r="H151" i="81"/>
  <c r="E88" i="42"/>
  <c r="C89" i="42"/>
  <c r="D91" i="89" l="1"/>
  <c r="E91" i="89" s="1"/>
  <c r="C91" i="89"/>
  <c r="I152" i="87"/>
  <c r="J152" i="87" s="1"/>
  <c r="H152" i="87"/>
  <c r="E152" i="87"/>
  <c r="F154" i="85"/>
  <c r="E154" i="85"/>
  <c r="H153" i="85"/>
  <c r="I153" i="85" s="1"/>
  <c r="G153" i="85"/>
  <c r="E152" i="84"/>
  <c r="I152" i="84"/>
  <c r="J152" i="84" s="1"/>
  <c r="H152" i="84"/>
  <c r="F152" i="84"/>
  <c r="G153" i="84" s="1"/>
  <c r="F153" i="83"/>
  <c r="E153" i="83"/>
  <c r="H152" i="83"/>
  <c r="I152" i="83" s="1"/>
  <c r="G152" i="83"/>
  <c r="I152" i="81"/>
  <c r="J152" i="81" s="1"/>
  <c r="H152" i="81"/>
  <c r="E152" i="81"/>
  <c r="D89" i="42"/>
  <c r="F90" i="42" s="1"/>
  <c r="G90" i="42" s="1"/>
  <c r="E89" i="42"/>
  <c r="D92" i="89" l="1"/>
  <c r="E92" i="89" s="1"/>
  <c r="C92" i="89"/>
  <c r="F152" i="87"/>
  <c r="G153" i="87" s="1"/>
  <c r="F155" i="85"/>
  <c r="E155" i="85"/>
  <c r="H154" i="85"/>
  <c r="I154" i="85" s="1"/>
  <c r="G154" i="85"/>
  <c r="I153" i="84"/>
  <c r="J153" i="84" s="1"/>
  <c r="H153" i="84"/>
  <c r="E153" i="84"/>
  <c r="F154" i="83"/>
  <c r="E154" i="83"/>
  <c r="H153" i="83"/>
  <c r="I153" i="83" s="1"/>
  <c r="G153" i="83"/>
  <c r="F152" i="81"/>
  <c r="G153" i="81" s="1"/>
  <c r="C90" i="42"/>
  <c r="D93" i="89" l="1"/>
  <c r="E93" i="89" s="1"/>
  <c r="C93" i="89"/>
  <c r="I153" i="87"/>
  <c r="J153" i="87" s="1"/>
  <c r="H153" i="87"/>
  <c r="E153" i="87"/>
  <c r="F156" i="85"/>
  <c r="E156" i="85"/>
  <c r="H155" i="85"/>
  <c r="I155" i="85" s="1"/>
  <c r="G155" i="85"/>
  <c r="F153" i="84"/>
  <c r="G154" i="84" s="1"/>
  <c r="F155" i="83"/>
  <c r="E155" i="83"/>
  <c r="H154" i="83"/>
  <c r="I154" i="83" s="1"/>
  <c r="G154" i="83"/>
  <c r="E153" i="81"/>
  <c r="I153" i="81"/>
  <c r="J153" i="81" s="1"/>
  <c r="H153" i="81"/>
  <c r="F153" i="81"/>
  <c r="E154" i="81" s="1"/>
  <c r="D90" i="42"/>
  <c r="F91" i="42" s="1"/>
  <c r="G91" i="42" s="1"/>
  <c r="E90" i="42"/>
  <c r="D94" i="89" l="1"/>
  <c r="E94" i="89" s="1"/>
  <c r="C94" i="89"/>
  <c r="F153" i="87"/>
  <c r="G154" i="87" s="1"/>
  <c r="F157" i="85"/>
  <c r="E157" i="85"/>
  <c r="H156" i="85"/>
  <c r="I156" i="85" s="1"/>
  <c r="G156" i="85"/>
  <c r="I154" i="84"/>
  <c r="J154" i="84" s="1"/>
  <c r="H154" i="84"/>
  <c r="E154" i="84"/>
  <c r="F156" i="83"/>
  <c r="E156" i="83"/>
  <c r="H155" i="83"/>
  <c r="I155" i="83" s="1"/>
  <c r="G155" i="83"/>
  <c r="F154" i="81"/>
  <c r="G155" i="81" s="1"/>
  <c r="G154" i="81"/>
  <c r="C91" i="42"/>
  <c r="D91" i="42" s="1"/>
  <c r="C95" i="89" l="1"/>
  <c r="D95" i="89"/>
  <c r="E95" i="89" s="1"/>
  <c r="E154" i="87"/>
  <c r="I154" i="87"/>
  <c r="J154" i="87" s="1"/>
  <c r="H154" i="87"/>
  <c r="F154" i="87"/>
  <c r="E155" i="87" s="1"/>
  <c r="E158" i="85"/>
  <c r="F158" i="85"/>
  <c r="H157" i="85"/>
  <c r="I157" i="85" s="1"/>
  <c r="G157" i="85"/>
  <c r="F154" i="84"/>
  <c r="G155" i="84" s="1"/>
  <c r="F157" i="83"/>
  <c r="E157" i="83"/>
  <c r="H156" i="83"/>
  <c r="I156" i="83" s="1"/>
  <c r="G156" i="83"/>
  <c r="E155" i="81"/>
  <c r="F155" i="81" s="1"/>
  <c r="I155" i="81"/>
  <c r="J155" i="81" s="1"/>
  <c r="H155" i="81"/>
  <c r="I154" i="81"/>
  <c r="J154" i="81" s="1"/>
  <c r="H154" i="81"/>
  <c r="E91" i="42"/>
  <c r="F92" i="42"/>
  <c r="G92" i="42" s="1"/>
  <c r="C92" i="42"/>
  <c r="D92" i="42" s="1"/>
  <c r="F93" i="42" s="1"/>
  <c r="G93" i="42" s="1"/>
  <c r="D96" i="89" l="1"/>
  <c r="E96" i="89" s="1"/>
  <c r="C96" i="89"/>
  <c r="F155" i="87"/>
  <c r="G156" i="87" s="1"/>
  <c r="G155" i="87"/>
  <c r="H158" i="85"/>
  <c r="I158" i="85" s="1"/>
  <c r="G158" i="85"/>
  <c r="F159" i="85"/>
  <c r="E159" i="85"/>
  <c r="E155" i="84"/>
  <c r="F155" i="84" s="1"/>
  <c r="G156" i="84" s="1"/>
  <c r="I155" i="84"/>
  <c r="J155" i="84" s="1"/>
  <c r="H155" i="84"/>
  <c r="F158" i="83"/>
  <c r="E158" i="83"/>
  <c r="H157" i="83"/>
  <c r="I157" i="83" s="1"/>
  <c r="G157" i="83"/>
  <c r="G156" i="81"/>
  <c r="E156" i="81"/>
  <c r="F156" i="81" s="1"/>
  <c r="G157" i="81" s="1"/>
  <c r="I156" i="81"/>
  <c r="J156" i="81" s="1"/>
  <c r="H156" i="81"/>
  <c r="E92" i="42"/>
  <c r="C93" i="42"/>
  <c r="D93" i="42" s="1"/>
  <c r="D97" i="89" l="1"/>
  <c r="E97" i="89" s="1"/>
  <c r="C97" i="89"/>
  <c r="E156" i="87"/>
  <c r="F156" i="87" s="1"/>
  <c r="G157" i="87" s="1"/>
  <c r="I156" i="87"/>
  <c r="J156" i="87" s="1"/>
  <c r="H156" i="87"/>
  <c r="I155" i="87"/>
  <c r="J155" i="87" s="1"/>
  <c r="H155" i="87"/>
  <c r="H159" i="85"/>
  <c r="I159" i="85" s="1"/>
  <c r="G159" i="85"/>
  <c r="F160" i="85"/>
  <c r="E160" i="85"/>
  <c r="E156" i="84"/>
  <c r="F156" i="84" s="1"/>
  <c r="G157" i="84" s="1"/>
  <c r="I156" i="84"/>
  <c r="J156" i="84" s="1"/>
  <c r="H156" i="84"/>
  <c r="F159" i="83"/>
  <c r="E159" i="83"/>
  <c r="H158" i="83"/>
  <c r="I158" i="83" s="1"/>
  <c r="G158" i="83"/>
  <c r="E157" i="81"/>
  <c r="F157" i="81" s="1"/>
  <c r="G158" i="81" s="1"/>
  <c r="I157" i="81"/>
  <c r="J157" i="81" s="1"/>
  <c r="H157" i="81"/>
  <c r="E93" i="42"/>
  <c r="F94" i="42"/>
  <c r="G94" i="42" s="1"/>
  <c r="C94" i="42"/>
  <c r="D94" i="42" s="1"/>
  <c r="F95" i="42" s="1"/>
  <c r="G95" i="42" s="1"/>
  <c r="D98" i="89" l="1"/>
  <c r="E98" i="89" s="1"/>
  <c r="C98" i="89"/>
  <c r="E157" i="87"/>
  <c r="F157" i="87" s="1"/>
  <c r="G158" i="87" s="1"/>
  <c r="I157" i="87"/>
  <c r="J157" i="87" s="1"/>
  <c r="H157" i="87"/>
  <c r="H160" i="85"/>
  <c r="I160" i="85" s="1"/>
  <c r="G160" i="85"/>
  <c r="F161" i="85"/>
  <c r="E161" i="85"/>
  <c r="E157" i="84"/>
  <c r="F157" i="84" s="1"/>
  <c r="G158" i="84" s="1"/>
  <c r="I157" i="84"/>
  <c r="J157" i="84" s="1"/>
  <c r="H157" i="84"/>
  <c r="F160" i="83"/>
  <c r="E160" i="83"/>
  <c r="H159" i="83"/>
  <c r="I159" i="83" s="1"/>
  <c r="G159" i="83"/>
  <c r="E158" i="81"/>
  <c r="F158" i="81" s="1"/>
  <c r="G159" i="81" s="1"/>
  <c r="I158" i="81"/>
  <c r="J158" i="81" s="1"/>
  <c r="H158" i="81"/>
  <c r="E94" i="42"/>
  <c r="C95" i="42"/>
  <c r="D99" i="89" l="1"/>
  <c r="E99" i="89" s="1"/>
  <c r="C99" i="89"/>
  <c r="E158" i="87"/>
  <c r="I158" i="87"/>
  <c r="J158" i="87" s="1"/>
  <c r="H158" i="87"/>
  <c r="F158" i="87"/>
  <c r="G159" i="87" s="1"/>
  <c r="H161" i="85"/>
  <c r="I161" i="85" s="1"/>
  <c r="G161" i="85"/>
  <c r="F162" i="85"/>
  <c r="E162" i="85"/>
  <c r="E158" i="84"/>
  <c r="I158" i="84"/>
  <c r="J158" i="84" s="1"/>
  <c r="H158" i="84"/>
  <c r="F158" i="84"/>
  <c r="G159" i="84" s="1"/>
  <c r="F161" i="83"/>
  <c r="E161" i="83"/>
  <c r="H160" i="83"/>
  <c r="I160" i="83" s="1"/>
  <c r="G160" i="83"/>
  <c r="E159" i="81"/>
  <c r="F159" i="81" s="1"/>
  <c r="G160" i="81" s="1"/>
  <c r="I159" i="81"/>
  <c r="J159" i="81" s="1"/>
  <c r="H159" i="81"/>
  <c r="D95" i="42"/>
  <c r="F96" i="42" s="1"/>
  <c r="G96" i="42" s="1"/>
  <c r="E95" i="42"/>
  <c r="D100" i="89" l="1"/>
  <c r="E100" i="89" s="1"/>
  <c r="C100" i="89"/>
  <c r="I159" i="87"/>
  <c r="J159" i="87" s="1"/>
  <c r="H159" i="87"/>
  <c r="E159" i="87"/>
  <c r="F163" i="85"/>
  <c r="E163" i="85"/>
  <c r="H162" i="85"/>
  <c r="I162" i="85" s="1"/>
  <c r="G162" i="85"/>
  <c r="E159" i="84"/>
  <c r="I159" i="84"/>
  <c r="J159" i="84" s="1"/>
  <c r="H159" i="84"/>
  <c r="F159" i="84"/>
  <c r="G160" i="84" s="1"/>
  <c r="F162" i="83"/>
  <c r="E162" i="83"/>
  <c r="H161" i="83"/>
  <c r="I161" i="83" s="1"/>
  <c r="G161" i="83"/>
  <c r="E160" i="81"/>
  <c r="F160" i="81" s="1"/>
  <c r="G161" i="81" s="1"/>
  <c r="I160" i="81"/>
  <c r="J160" i="81" s="1"/>
  <c r="H160" i="81"/>
  <c r="C96" i="42"/>
  <c r="C101" i="89" l="1"/>
  <c r="D101" i="89"/>
  <c r="E101" i="89" s="1"/>
  <c r="F159" i="87"/>
  <c r="G160" i="87" s="1"/>
  <c r="F164" i="85"/>
  <c r="E164" i="85"/>
  <c r="H163" i="85"/>
  <c r="I163" i="85" s="1"/>
  <c r="G163" i="85"/>
  <c r="I160" i="84"/>
  <c r="J160" i="84" s="1"/>
  <c r="H160" i="84"/>
  <c r="E160" i="84"/>
  <c r="F163" i="83"/>
  <c r="E163" i="83"/>
  <c r="H162" i="83"/>
  <c r="I162" i="83" s="1"/>
  <c r="G162" i="83"/>
  <c r="E161" i="81"/>
  <c r="F161" i="81" s="1"/>
  <c r="G162" i="81" s="1"/>
  <c r="I161" i="81"/>
  <c r="J161" i="81" s="1"/>
  <c r="H161" i="81"/>
  <c r="D96" i="42"/>
  <c r="F97" i="42" s="1"/>
  <c r="G97" i="42" s="1"/>
  <c r="E96" i="42"/>
  <c r="D102" i="89" l="1"/>
  <c r="E102" i="89" s="1"/>
  <c r="C102" i="89"/>
  <c r="E160" i="87"/>
  <c r="I160" i="87"/>
  <c r="J160" i="87" s="1"/>
  <c r="H160" i="87"/>
  <c r="F160" i="87"/>
  <c r="G161" i="87" s="1"/>
  <c r="F165" i="85"/>
  <c r="E165" i="85"/>
  <c r="H164" i="85"/>
  <c r="I164" i="85" s="1"/>
  <c r="G164" i="85"/>
  <c r="F160" i="84"/>
  <c r="G161" i="84" s="1"/>
  <c r="F164" i="83"/>
  <c r="E164" i="83"/>
  <c r="H163" i="83"/>
  <c r="I163" i="83" s="1"/>
  <c r="G163" i="83"/>
  <c r="E162" i="81"/>
  <c r="F162" i="81" s="1"/>
  <c r="G163" i="81" s="1"/>
  <c r="I162" i="81"/>
  <c r="J162" i="81" s="1"/>
  <c r="H162" i="81"/>
  <c r="C97" i="42"/>
  <c r="D97" i="42" s="1"/>
  <c r="F98" i="42" s="1"/>
  <c r="G98" i="42" s="1"/>
  <c r="D103" i="89" l="1"/>
  <c r="E103" i="89" s="1"/>
  <c r="C103" i="89"/>
  <c r="E161" i="87"/>
  <c r="F161" i="87" s="1"/>
  <c r="G162" i="87" s="1"/>
  <c r="I161" i="87"/>
  <c r="J161" i="87" s="1"/>
  <c r="H161" i="87"/>
  <c r="F166" i="85"/>
  <c r="E166" i="85"/>
  <c r="H165" i="85"/>
  <c r="I165" i="85" s="1"/>
  <c r="G165" i="85"/>
  <c r="E161" i="84"/>
  <c r="F161" i="84" s="1"/>
  <c r="G162" i="84" s="1"/>
  <c r="I161" i="84"/>
  <c r="J161" i="84" s="1"/>
  <c r="H161" i="84"/>
  <c r="F165" i="83"/>
  <c r="E165" i="83"/>
  <c r="H164" i="83"/>
  <c r="I164" i="83" s="1"/>
  <c r="G164" i="83"/>
  <c r="E163" i="81"/>
  <c r="F163" i="81" s="1"/>
  <c r="G164" i="81" s="1"/>
  <c r="I163" i="81"/>
  <c r="J163" i="81" s="1"/>
  <c r="H163" i="81"/>
  <c r="E97" i="42"/>
  <c r="C98" i="42"/>
  <c r="D98" i="42" s="1"/>
  <c r="D104" i="89" l="1"/>
  <c r="E104" i="89" s="1"/>
  <c r="C104" i="89"/>
  <c r="I162" i="87"/>
  <c r="J162" i="87" s="1"/>
  <c r="H162" i="87"/>
  <c r="E162" i="87"/>
  <c r="F167" i="85"/>
  <c r="E167" i="85"/>
  <c r="H166" i="85"/>
  <c r="I166" i="85" s="1"/>
  <c r="G166" i="85"/>
  <c r="E162" i="84"/>
  <c r="F162" i="84" s="1"/>
  <c r="G163" i="84" s="1"/>
  <c r="I162" i="84"/>
  <c r="J162" i="84" s="1"/>
  <c r="H162" i="84"/>
  <c r="F166" i="83"/>
  <c r="E166" i="83"/>
  <c r="H165" i="83"/>
  <c r="I165" i="83" s="1"/>
  <c r="G165" i="83"/>
  <c r="I164" i="81"/>
  <c r="J164" i="81" s="1"/>
  <c r="H164" i="81"/>
  <c r="E164" i="81"/>
  <c r="F99" i="42"/>
  <c r="G99" i="42" s="1"/>
  <c r="C99" i="42"/>
  <c r="D99" i="42" s="1"/>
  <c r="F100" i="42" s="1"/>
  <c r="G100" i="42" s="1"/>
  <c r="E98" i="42"/>
  <c r="D105" i="89" l="1"/>
  <c r="E105" i="89" s="1"/>
  <c r="C105" i="89"/>
  <c r="F162" i="87"/>
  <c r="G163" i="87" s="1"/>
  <c r="F168" i="85"/>
  <c r="E168" i="85"/>
  <c r="H167" i="85"/>
  <c r="I167" i="85" s="1"/>
  <c r="G167" i="85"/>
  <c r="E163" i="84"/>
  <c r="F163" i="84" s="1"/>
  <c r="G164" i="84" s="1"/>
  <c r="I163" i="84"/>
  <c r="J163" i="84" s="1"/>
  <c r="H163" i="84"/>
  <c r="F167" i="83"/>
  <c r="E167" i="83"/>
  <c r="H166" i="83"/>
  <c r="I166" i="83" s="1"/>
  <c r="G166" i="83"/>
  <c r="F164" i="81"/>
  <c r="G165" i="81" s="1"/>
  <c r="E99" i="42"/>
  <c r="C100" i="42"/>
  <c r="D100" i="42" s="1"/>
  <c r="F101" i="42" s="1"/>
  <c r="G101" i="42" s="1"/>
  <c r="D106" i="89" l="1"/>
  <c r="E106" i="89" s="1"/>
  <c r="C106" i="89"/>
  <c r="E163" i="87"/>
  <c r="F163" i="87" s="1"/>
  <c r="G164" i="87" s="1"/>
  <c r="I163" i="87"/>
  <c r="J163" i="87" s="1"/>
  <c r="H163" i="87"/>
  <c r="F169" i="85"/>
  <c r="E169" i="85"/>
  <c r="H168" i="85"/>
  <c r="I168" i="85" s="1"/>
  <c r="G168" i="85"/>
  <c r="E164" i="84"/>
  <c r="F164" i="84" s="1"/>
  <c r="G165" i="84" s="1"/>
  <c r="I164" i="84"/>
  <c r="J164" i="84" s="1"/>
  <c r="H164" i="84"/>
  <c r="F168" i="83"/>
  <c r="E168" i="83"/>
  <c r="H167" i="83"/>
  <c r="I167" i="83" s="1"/>
  <c r="G167" i="83"/>
  <c r="I165" i="81"/>
  <c r="J165" i="81" s="1"/>
  <c r="H165" i="81"/>
  <c r="E165" i="81"/>
  <c r="E100" i="42"/>
  <c r="C101" i="42"/>
  <c r="D101" i="42" s="1"/>
  <c r="F102" i="42" s="1"/>
  <c r="G102" i="42" s="1"/>
  <c r="C107" i="89" l="1"/>
  <c r="D107" i="89"/>
  <c r="E107" i="89" s="1"/>
  <c r="E164" i="87"/>
  <c r="I164" i="87"/>
  <c r="J164" i="87" s="1"/>
  <c r="H164" i="87"/>
  <c r="F164" i="87"/>
  <c r="E165" i="87" s="1"/>
  <c r="E170" i="85"/>
  <c r="F170" i="85"/>
  <c r="H169" i="85"/>
  <c r="I169" i="85" s="1"/>
  <c r="G169" i="85"/>
  <c r="E165" i="84"/>
  <c r="I165" i="84"/>
  <c r="J165" i="84" s="1"/>
  <c r="H165" i="84"/>
  <c r="F165" i="84"/>
  <c r="G166" i="84" s="1"/>
  <c r="F169" i="83"/>
  <c r="E169" i="83"/>
  <c r="H168" i="83"/>
  <c r="I168" i="83" s="1"/>
  <c r="G168" i="83"/>
  <c r="F165" i="81"/>
  <c r="G166" i="81" s="1"/>
  <c r="E101" i="42"/>
  <c r="C102" i="42"/>
  <c r="D102" i="42" s="1"/>
  <c r="F103" i="42" s="1"/>
  <c r="G103" i="42" s="1"/>
  <c r="D108" i="89" l="1"/>
  <c r="E108" i="89" s="1"/>
  <c r="C108" i="89"/>
  <c r="F165" i="87"/>
  <c r="G166" i="87" s="1"/>
  <c r="G165" i="87"/>
  <c r="G170" i="85"/>
  <c r="H170" i="85"/>
  <c r="I170" i="85" s="1"/>
  <c r="F171" i="85"/>
  <c r="E171" i="85"/>
  <c r="E166" i="84"/>
  <c r="I166" i="84"/>
  <c r="J166" i="84" s="1"/>
  <c r="H166" i="84"/>
  <c r="F166" i="84"/>
  <c r="G167" i="84" s="1"/>
  <c r="F170" i="83"/>
  <c r="E170" i="83"/>
  <c r="H169" i="83"/>
  <c r="I169" i="83" s="1"/>
  <c r="G169" i="83"/>
  <c r="I166" i="81"/>
  <c r="J166" i="81" s="1"/>
  <c r="H166" i="81"/>
  <c r="E166" i="81"/>
  <c r="E102" i="42"/>
  <c r="C103" i="42"/>
  <c r="D103" i="42" s="1"/>
  <c r="D109" i="89" l="1"/>
  <c r="E109" i="89" s="1"/>
  <c r="C109" i="89"/>
  <c r="I166" i="87"/>
  <c r="J166" i="87" s="1"/>
  <c r="H166" i="87"/>
  <c r="I165" i="87"/>
  <c r="J165" i="87" s="1"/>
  <c r="H165" i="87"/>
  <c r="E166" i="87"/>
  <c r="H171" i="85"/>
  <c r="I171" i="85" s="1"/>
  <c r="G171" i="85"/>
  <c r="F172" i="85"/>
  <c r="E172" i="85"/>
  <c r="E167" i="84"/>
  <c r="F167" i="84" s="1"/>
  <c r="G168" i="84" s="1"/>
  <c r="I167" i="84"/>
  <c r="J167" i="84" s="1"/>
  <c r="H167" i="84"/>
  <c r="F171" i="83"/>
  <c r="E171" i="83"/>
  <c r="H170" i="83"/>
  <c r="I170" i="83" s="1"/>
  <c r="G170" i="83"/>
  <c r="F166" i="81"/>
  <c r="G167" i="81" s="1"/>
  <c r="E103" i="42"/>
  <c r="F104" i="42"/>
  <c r="G104" i="42" s="1"/>
  <c r="C104" i="42"/>
  <c r="D104" i="42" s="1"/>
  <c r="D110" i="89" l="1"/>
  <c r="E110" i="89" s="1"/>
  <c r="C110" i="89"/>
  <c r="F166" i="87"/>
  <c r="G167" i="87" s="1"/>
  <c r="H172" i="85"/>
  <c r="I172" i="85" s="1"/>
  <c r="G172" i="85"/>
  <c r="F173" i="85"/>
  <c r="E173" i="85"/>
  <c r="E168" i="84"/>
  <c r="I168" i="84"/>
  <c r="J168" i="84" s="1"/>
  <c r="H168" i="84"/>
  <c r="F168" i="84"/>
  <c r="G169" i="84" s="1"/>
  <c r="F172" i="83"/>
  <c r="E172" i="83"/>
  <c r="H171" i="83"/>
  <c r="I171" i="83" s="1"/>
  <c r="G171" i="83"/>
  <c r="E167" i="81"/>
  <c r="F167" i="81" s="1"/>
  <c r="G168" i="81" s="1"/>
  <c r="I167" i="81"/>
  <c r="J167" i="81" s="1"/>
  <c r="H167" i="81"/>
  <c r="E104" i="42"/>
  <c r="F105" i="42"/>
  <c r="G105" i="42" s="1"/>
  <c r="C105" i="42"/>
  <c r="D105" i="42" s="1"/>
  <c r="D111" i="89" l="1"/>
  <c r="E111" i="89" s="1"/>
  <c r="C111" i="89"/>
  <c r="E167" i="87"/>
  <c r="I167" i="87"/>
  <c r="J167" i="87" s="1"/>
  <c r="H167" i="87"/>
  <c r="F167" i="87"/>
  <c r="G168" i="87" s="1"/>
  <c r="H173" i="85"/>
  <c r="I173" i="85" s="1"/>
  <c r="G173" i="85"/>
  <c r="F174" i="85"/>
  <c r="E174" i="85"/>
  <c r="E169" i="84"/>
  <c r="F169" i="84" s="1"/>
  <c r="G170" i="84" s="1"/>
  <c r="I169" i="84"/>
  <c r="J169" i="84" s="1"/>
  <c r="H169" i="84"/>
  <c r="F173" i="83"/>
  <c r="E173" i="83"/>
  <c r="H172" i="83"/>
  <c r="I172" i="83" s="1"/>
  <c r="G172" i="83"/>
  <c r="E168" i="81"/>
  <c r="F168" i="81" s="1"/>
  <c r="G169" i="81" s="1"/>
  <c r="I168" i="81"/>
  <c r="J168" i="81" s="1"/>
  <c r="H168" i="81"/>
  <c r="E105" i="42"/>
  <c r="F106" i="42"/>
  <c r="G106" i="42" s="1"/>
  <c r="C106" i="42"/>
  <c r="D106" i="42" s="1"/>
  <c r="D112" i="89" l="1"/>
  <c r="E112" i="89" s="1"/>
  <c r="C112" i="89"/>
  <c r="E168" i="87"/>
  <c r="I168" i="87"/>
  <c r="J168" i="87" s="1"/>
  <c r="H168" i="87"/>
  <c r="F168" i="87"/>
  <c r="G169" i="87" s="1"/>
  <c r="H174" i="85"/>
  <c r="I174" i="85" s="1"/>
  <c r="G174" i="85"/>
  <c r="F175" i="85"/>
  <c r="E175" i="85"/>
  <c r="E170" i="84"/>
  <c r="F170" i="84" s="1"/>
  <c r="G171" i="84" s="1"/>
  <c r="I170" i="84"/>
  <c r="J170" i="84" s="1"/>
  <c r="H170" i="84"/>
  <c r="F174" i="83"/>
  <c r="E174" i="83"/>
  <c r="H173" i="83"/>
  <c r="I173" i="83" s="1"/>
  <c r="G173" i="83"/>
  <c r="E169" i="81"/>
  <c r="F169" i="81" s="1"/>
  <c r="G170" i="81" s="1"/>
  <c r="I169" i="81"/>
  <c r="J169" i="81" s="1"/>
  <c r="H169" i="81"/>
  <c r="F107" i="42"/>
  <c r="G107" i="42" s="1"/>
  <c r="C107" i="42"/>
  <c r="D107" i="42" s="1"/>
  <c r="E106" i="42"/>
  <c r="C113" i="89" l="1"/>
  <c r="D113" i="89"/>
  <c r="E113" i="89" s="1"/>
  <c r="E169" i="87"/>
  <c r="I169" i="87"/>
  <c r="J169" i="87" s="1"/>
  <c r="H169" i="87"/>
  <c r="F169" i="87"/>
  <c r="E170" i="87" s="1"/>
  <c r="H175" i="85"/>
  <c r="I175" i="85" s="1"/>
  <c r="G175" i="85"/>
  <c r="F176" i="85"/>
  <c r="E176" i="85"/>
  <c r="E171" i="84"/>
  <c r="F171" i="84" s="1"/>
  <c r="G172" i="84" s="1"/>
  <c r="I171" i="84"/>
  <c r="J171" i="84" s="1"/>
  <c r="H171" i="84"/>
  <c r="F175" i="83"/>
  <c r="E175" i="83"/>
  <c r="H174" i="83"/>
  <c r="I174" i="83" s="1"/>
  <c r="G174" i="83"/>
  <c r="E170" i="81"/>
  <c r="F170" i="81" s="1"/>
  <c r="G171" i="81" s="1"/>
  <c r="I170" i="81"/>
  <c r="J170" i="81" s="1"/>
  <c r="H170" i="81"/>
  <c r="E107" i="42"/>
  <c r="F108" i="42"/>
  <c r="G108" i="42" s="1"/>
  <c r="C108" i="42"/>
  <c r="D108" i="42" s="1"/>
  <c r="D114" i="89" l="1"/>
  <c r="E114" i="89" s="1"/>
  <c r="C114" i="89"/>
  <c r="G170" i="87"/>
  <c r="I170" i="87" s="1"/>
  <c r="J170" i="87" s="1"/>
  <c r="F170" i="87"/>
  <c r="E171" i="87" s="1"/>
  <c r="F177" i="85"/>
  <c r="E177" i="85"/>
  <c r="H176" i="85"/>
  <c r="I176" i="85" s="1"/>
  <c r="G176" i="85"/>
  <c r="E172" i="84"/>
  <c r="F172" i="84" s="1"/>
  <c r="G173" i="84" s="1"/>
  <c r="I172" i="84"/>
  <c r="J172" i="84" s="1"/>
  <c r="H172" i="84"/>
  <c r="F176" i="83"/>
  <c r="E176" i="83"/>
  <c r="H175" i="83"/>
  <c r="I175" i="83" s="1"/>
  <c r="G175" i="83"/>
  <c r="E171" i="81"/>
  <c r="I171" i="81"/>
  <c r="J171" i="81" s="1"/>
  <c r="H171" i="81"/>
  <c r="F171" i="81"/>
  <c r="G172" i="81" s="1"/>
  <c r="E108" i="42"/>
  <c r="F109" i="42"/>
  <c r="G109" i="42" s="1"/>
  <c r="C109" i="42"/>
  <c r="D109" i="42" s="1"/>
  <c r="D115" i="89" l="1"/>
  <c r="E115" i="89" s="1"/>
  <c r="C115" i="89"/>
  <c r="H170" i="87"/>
  <c r="F171" i="87"/>
  <c r="G172" i="87" s="1"/>
  <c r="G171" i="87"/>
  <c r="F178" i="85"/>
  <c r="E178" i="85"/>
  <c r="H177" i="85"/>
  <c r="I177" i="85" s="1"/>
  <c r="G177" i="85"/>
  <c r="E173" i="84"/>
  <c r="F173" i="84" s="1"/>
  <c r="G174" i="84" s="1"/>
  <c r="I173" i="84"/>
  <c r="J173" i="84" s="1"/>
  <c r="H173" i="84"/>
  <c r="F177" i="83"/>
  <c r="E177" i="83"/>
  <c r="H176" i="83"/>
  <c r="I176" i="83" s="1"/>
  <c r="G176" i="83"/>
  <c r="E172" i="81"/>
  <c r="I172" i="81"/>
  <c r="J172" i="81" s="1"/>
  <c r="H172" i="81"/>
  <c r="F172" i="81"/>
  <c r="G173" i="81" s="1"/>
  <c r="E109" i="42"/>
  <c r="F110" i="42"/>
  <c r="G110" i="42" s="1"/>
  <c r="C110" i="42"/>
  <c r="D110" i="42" s="1"/>
  <c r="D116" i="89" l="1"/>
  <c r="E116" i="89" s="1"/>
  <c r="C116" i="89"/>
  <c r="E172" i="87"/>
  <c r="F172" i="87" s="1"/>
  <c r="G173" i="87" s="1"/>
  <c r="I172" i="87"/>
  <c r="J172" i="87" s="1"/>
  <c r="H172" i="87"/>
  <c r="I171" i="87"/>
  <c r="J171" i="87" s="1"/>
  <c r="H171" i="87"/>
  <c r="F179" i="85"/>
  <c r="E179" i="85"/>
  <c r="H178" i="85"/>
  <c r="I178" i="85" s="1"/>
  <c r="G178" i="85"/>
  <c r="E174" i="84"/>
  <c r="I174" i="84"/>
  <c r="J174" i="84" s="1"/>
  <c r="H174" i="84"/>
  <c r="F174" i="84"/>
  <c r="G175" i="84" s="1"/>
  <c r="F178" i="83"/>
  <c r="E178" i="83"/>
  <c r="H177" i="83"/>
  <c r="I177" i="83" s="1"/>
  <c r="G177" i="83"/>
  <c r="E173" i="81"/>
  <c r="I173" i="81"/>
  <c r="J173" i="81" s="1"/>
  <c r="H173" i="81"/>
  <c r="F173" i="81"/>
  <c r="G174" i="81" s="1"/>
  <c r="E110" i="42"/>
  <c r="F111" i="42"/>
  <c r="G111" i="42" s="1"/>
  <c r="C111" i="42"/>
  <c r="D111" i="42" s="1"/>
  <c r="D117" i="89" l="1"/>
  <c r="E117" i="89" s="1"/>
  <c r="C117" i="89"/>
  <c r="I173" i="87"/>
  <c r="J173" i="87" s="1"/>
  <c r="H173" i="87"/>
  <c r="E173" i="87"/>
  <c r="F180" i="85"/>
  <c r="E180" i="85"/>
  <c r="H179" i="85"/>
  <c r="I179" i="85" s="1"/>
  <c r="G179" i="85"/>
  <c r="E175" i="84"/>
  <c r="I175" i="84"/>
  <c r="J175" i="84" s="1"/>
  <c r="H175" i="84"/>
  <c r="F175" i="84"/>
  <c r="G176" i="84" s="1"/>
  <c r="F179" i="83"/>
  <c r="E179" i="83"/>
  <c r="H178" i="83"/>
  <c r="I178" i="83" s="1"/>
  <c r="G178" i="83"/>
  <c r="E174" i="81"/>
  <c r="I174" i="81"/>
  <c r="J174" i="81" s="1"/>
  <c r="H174" i="81"/>
  <c r="F174" i="81"/>
  <c r="G175" i="81" s="1"/>
  <c r="E111" i="42"/>
  <c r="F112" i="42"/>
  <c r="G112" i="42" s="1"/>
  <c r="C112" i="42"/>
  <c r="D112" i="42" s="1"/>
  <c r="D118" i="89" l="1"/>
  <c r="E118" i="89" s="1"/>
  <c r="C118" i="89"/>
  <c r="F173" i="87"/>
  <c r="G174" i="87" s="1"/>
  <c r="F181" i="85"/>
  <c r="E181" i="85"/>
  <c r="H180" i="85"/>
  <c r="I180" i="85" s="1"/>
  <c r="G180" i="85"/>
  <c r="E176" i="84"/>
  <c r="I176" i="84"/>
  <c r="J176" i="84" s="1"/>
  <c r="H176" i="84"/>
  <c r="F176" i="84"/>
  <c r="G177" i="84" s="1"/>
  <c r="F180" i="83"/>
  <c r="E180" i="83"/>
  <c r="H179" i="83"/>
  <c r="I179" i="83" s="1"/>
  <c r="G179" i="83"/>
  <c r="E175" i="81"/>
  <c r="I175" i="81"/>
  <c r="J175" i="81" s="1"/>
  <c r="H175" i="81"/>
  <c r="F175" i="81"/>
  <c r="G176" i="81" s="1"/>
  <c r="E112" i="42"/>
  <c r="F113" i="42"/>
  <c r="G113" i="42" s="1"/>
  <c r="C113" i="42"/>
  <c r="D113" i="42" s="1"/>
  <c r="C119" i="89" l="1"/>
  <c r="D119" i="89"/>
  <c r="E119" i="89" s="1"/>
  <c r="E174" i="87"/>
  <c r="I174" i="87"/>
  <c r="J174" i="87" s="1"/>
  <c r="H174" i="87"/>
  <c r="F174" i="87"/>
  <c r="G175" i="87" s="1"/>
  <c r="E182" i="85"/>
  <c r="F182" i="85"/>
  <c r="H181" i="85"/>
  <c r="I181" i="85" s="1"/>
  <c r="G181" i="85"/>
  <c r="I177" i="84"/>
  <c r="J177" i="84" s="1"/>
  <c r="H177" i="84"/>
  <c r="E177" i="84"/>
  <c r="F181" i="83"/>
  <c r="E181" i="83"/>
  <c r="H180" i="83"/>
  <c r="I180" i="83" s="1"/>
  <c r="G180" i="83"/>
  <c r="E176" i="81"/>
  <c r="I176" i="81"/>
  <c r="J176" i="81" s="1"/>
  <c r="H176" i="81"/>
  <c r="F176" i="81"/>
  <c r="E177" i="81" s="1"/>
  <c r="E113" i="42"/>
  <c r="F114" i="42"/>
  <c r="G114" i="42" s="1"/>
  <c r="C114" i="42"/>
  <c r="D114" i="42" s="1"/>
  <c r="D120" i="89" l="1"/>
  <c r="E120" i="89" s="1"/>
  <c r="C120" i="89"/>
  <c r="E175" i="87"/>
  <c r="I175" i="87"/>
  <c r="J175" i="87" s="1"/>
  <c r="H175" i="87"/>
  <c r="F175" i="87"/>
  <c r="E176" i="87" s="1"/>
  <c r="G182" i="85"/>
  <c r="H182" i="85"/>
  <c r="I182" i="85" s="1"/>
  <c r="F183" i="85"/>
  <c r="E183" i="85"/>
  <c r="F177" i="84"/>
  <c r="G178" i="84" s="1"/>
  <c r="F182" i="83"/>
  <c r="E182" i="83"/>
  <c r="H181" i="83"/>
  <c r="I181" i="83" s="1"/>
  <c r="G181" i="83"/>
  <c r="F177" i="81"/>
  <c r="G178" i="81" s="1"/>
  <c r="G177" i="81"/>
  <c r="E114" i="42"/>
  <c r="F115" i="42"/>
  <c r="G115" i="42" s="1"/>
  <c r="C115" i="42"/>
  <c r="D115" i="42" s="1"/>
  <c r="D121" i="89" l="1"/>
  <c r="E121" i="89" s="1"/>
  <c r="C121" i="89"/>
  <c r="F176" i="87"/>
  <c r="G177" i="87" s="1"/>
  <c r="G176" i="87"/>
  <c r="H183" i="85"/>
  <c r="I183" i="85" s="1"/>
  <c r="G183" i="85"/>
  <c r="F184" i="85"/>
  <c r="E184" i="85"/>
  <c r="I178" i="84"/>
  <c r="J178" i="84" s="1"/>
  <c r="H178" i="84"/>
  <c r="E178" i="84"/>
  <c r="F183" i="83"/>
  <c r="E183" i="83"/>
  <c r="H182" i="83"/>
  <c r="I182" i="83" s="1"/>
  <c r="G182" i="83"/>
  <c r="I178" i="81"/>
  <c r="J178" i="81" s="1"/>
  <c r="H178" i="81"/>
  <c r="I177" i="81"/>
  <c r="J177" i="81" s="1"/>
  <c r="H177" i="81"/>
  <c r="E178" i="81"/>
  <c r="E115" i="42"/>
  <c r="F116" i="42"/>
  <c r="G116" i="42" s="1"/>
  <c r="C116" i="42"/>
  <c r="D116" i="42" s="1"/>
  <c r="D122" i="89" l="1"/>
  <c r="E122" i="89" s="1"/>
  <c r="C122" i="89"/>
  <c r="E177" i="87"/>
  <c r="I177" i="87"/>
  <c r="J177" i="87" s="1"/>
  <c r="H177" i="87"/>
  <c r="I176" i="87"/>
  <c r="J176" i="87" s="1"/>
  <c r="H176" i="87"/>
  <c r="F177" i="87"/>
  <c r="G178" i="87" s="1"/>
  <c r="F185" i="85"/>
  <c r="E185" i="85"/>
  <c r="H184" i="85"/>
  <c r="I184" i="85" s="1"/>
  <c r="G184" i="85"/>
  <c r="F178" i="84"/>
  <c r="G179" i="84" s="1"/>
  <c r="F184" i="83"/>
  <c r="E184" i="83"/>
  <c r="H183" i="83"/>
  <c r="I183" i="83" s="1"/>
  <c r="G183" i="83"/>
  <c r="F178" i="81"/>
  <c r="G179" i="81" s="1"/>
  <c r="E116" i="42"/>
  <c r="F117" i="42"/>
  <c r="G117" i="42" s="1"/>
  <c r="C117" i="42"/>
  <c r="D117" i="42" s="1"/>
  <c r="D123" i="89" l="1"/>
  <c r="E123" i="89" s="1"/>
  <c r="C123" i="89"/>
  <c r="E178" i="87"/>
  <c r="I178" i="87"/>
  <c r="J178" i="87" s="1"/>
  <c r="H178" i="87"/>
  <c r="F178" i="87"/>
  <c r="G179" i="87" s="1"/>
  <c r="F186" i="85"/>
  <c r="E186" i="85"/>
  <c r="H185" i="85"/>
  <c r="I185" i="85" s="1"/>
  <c r="G185" i="85"/>
  <c r="E179" i="84"/>
  <c r="F179" i="84" s="1"/>
  <c r="G180" i="84" s="1"/>
  <c r="I179" i="84"/>
  <c r="J179" i="84" s="1"/>
  <c r="H179" i="84"/>
  <c r="F185" i="83"/>
  <c r="E185" i="83"/>
  <c r="H184" i="83"/>
  <c r="I184" i="83" s="1"/>
  <c r="G184" i="83"/>
  <c r="E179" i="81"/>
  <c r="F179" i="81" s="1"/>
  <c r="G180" i="81" s="1"/>
  <c r="I179" i="81"/>
  <c r="J179" i="81" s="1"/>
  <c r="H179" i="81"/>
  <c r="E117" i="42"/>
  <c r="F118" i="42"/>
  <c r="G118" i="42" s="1"/>
  <c r="C118" i="42"/>
  <c r="D118" i="42" s="1"/>
  <c r="F119" i="42" s="1"/>
  <c r="G119" i="42" s="1"/>
  <c r="D124" i="89" l="1"/>
  <c r="E124" i="89" s="1"/>
  <c r="C124" i="89"/>
  <c r="E179" i="87"/>
  <c r="I179" i="87"/>
  <c r="J179" i="87" s="1"/>
  <c r="H179" i="87"/>
  <c r="F179" i="87"/>
  <c r="E180" i="87" s="1"/>
  <c r="F187" i="85"/>
  <c r="E187" i="85"/>
  <c r="H186" i="85"/>
  <c r="I186" i="85" s="1"/>
  <c r="G186" i="85"/>
  <c r="I180" i="84"/>
  <c r="J180" i="84" s="1"/>
  <c r="H180" i="84"/>
  <c r="E180" i="84"/>
  <c r="F186" i="83"/>
  <c r="E186" i="83"/>
  <c r="H185" i="83"/>
  <c r="I185" i="83" s="1"/>
  <c r="G185" i="83"/>
  <c r="E180" i="81"/>
  <c r="F180" i="81" s="1"/>
  <c r="G181" i="81" s="1"/>
  <c r="I180" i="81"/>
  <c r="J180" i="81" s="1"/>
  <c r="H180" i="81"/>
  <c r="E118" i="42"/>
  <c r="C119" i="42"/>
  <c r="D119" i="42" s="1"/>
  <c r="C125" i="89" l="1"/>
  <c r="D125" i="89"/>
  <c r="E125" i="89" s="1"/>
  <c r="F180" i="87"/>
  <c r="G181" i="87" s="1"/>
  <c r="E181" i="87"/>
  <c r="G180" i="87"/>
  <c r="F188" i="85"/>
  <c r="E188" i="85"/>
  <c r="H187" i="85"/>
  <c r="I187" i="85" s="1"/>
  <c r="G187" i="85"/>
  <c r="F180" i="84"/>
  <c r="G181" i="84" s="1"/>
  <c r="F187" i="83"/>
  <c r="E187" i="83"/>
  <c r="H186" i="83"/>
  <c r="I186" i="83" s="1"/>
  <c r="G186" i="83"/>
  <c r="E181" i="81"/>
  <c r="F181" i="81" s="1"/>
  <c r="G182" i="81" s="1"/>
  <c r="I181" i="81"/>
  <c r="J181" i="81" s="1"/>
  <c r="H181" i="81"/>
  <c r="E119" i="42"/>
  <c r="F120" i="42"/>
  <c r="G120" i="42" s="1"/>
  <c r="C120" i="42"/>
  <c r="D120" i="42" s="1"/>
  <c r="D126" i="89" l="1"/>
  <c r="E126" i="89" s="1"/>
  <c r="C126" i="89"/>
  <c r="F181" i="87"/>
  <c r="G182" i="87" s="1"/>
  <c r="I181" i="87"/>
  <c r="J181" i="87" s="1"/>
  <c r="H181" i="87"/>
  <c r="I180" i="87"/>
  <c r="J180" i="87" s="1"/>
  <c r="H180" i="87"/>
  <c r="F189" i="85"/>
  <c r="E189" i="85"/>
  <c r="H188" i="85"/>
  <c r="I188" i="85" s="1"/>
  <c r="G188" i="85"/>
  <c r="E181" i="84"/>
  <c r="I181" i="84"/>
  <c r="J181" i="84" s="1"/>
  <c r="H181" i="84"/>
  <c r="F181" i="84"/>
  <c r="G182" i="84" s="1"/>
  <c r="F188" i="83"/>
  <c r="E188" i="83"/>
  <c r="H187" i="83"/>
  <c r="I187" i="83" s="1"/>
  <c r="G187" i="83"/>
  <c r="E182" i="81"/>
  <c r="I182" i="81"/>
  <c r="J182" i="81" s="1"/>
  <c r="H182" i="81"/>
  <c r="F182" i="81"/>
  <c r="G183" i="81" s="1"/>
  <c r="E120" i="42"/>
  <c r="F121" i="42"/>
  <c r="G121" i="42" s="1"/>
  <c r="C121" i="42"/>
  <c r="D121" i="42" s="1"/>
  <c r="D127" i="89" l="1"/>
  <c r="E127" i="89" s="1"/>
  <c r="C127" i="89"/>
  <c r="E182" i="87"/>
  <c r="F182" i="87" s="1"/>
  <c r="I182" i="87"/>
  <c r="J182" i="87" s="1"/>
  <c r="H182" i="87"/>
  <c r="F190" i="85"/>
  <c r="E190" i="85"/>
  <c r="H189" i="85"/>
  <c r="I189" i="85" s="1"/>
  <c r="G189" i="85"/>
  <c r="E182" i="84"/>
  <c r="F182" i="84" s="1"/>
  <c r="G183" i="84" s="1"/>
  <c r="I182" i="84"/>
  <c r="J182" i="84" s="1"/>
  <c r="H182" i="84"/>
  <c r="F189" i="83"/>
  <c r="E189" i="83"/>
  <c r="H188" i="83"/>
  <c r="I188" i="83" s="1"/>
  <c r="G188" i="83"/>
  <c r="I183" i="81"/>
  <c r="J183" i="81" s="1"/>
  <c r="H183" i="81"/>
  <c r="E183" i="81"/>
  <c r="E121" i="42"/>
  <c r="F122" i="42"/>
  <c r="G122" i="42" s="1"/>
  <c r="C122" i="42"/>
  <c r="D122" i="42" s="1"/>
  <c r="D128" i="89" l="1"/>
  <c r="E128" i="89" s="1"/>
  <c r="C128" i="89"/>
  <c r="E183" i="87"/>
  <c r="G183" i="87"/>
  <c r="F183" i="87"/>
  <c r="G184" i="87" s="1"/>
  <c r="I183" i="87"/>
  <c r="J183" i="87" s="1"/>
  <c r="H183" i="87"/>
  <c r="F191" i="85"/>
  <c r="E191" i="85"/>
  <c r="H190" i="85"/>
  <c r="I190" i="85" s="1"/>
  <c r="G190" i="85"/>
  <c r="I183" i="84"/>
  <c r="J183" i="84" s="1"/>
  <c r="H183" i="84"/>
  <c r="E183" i="84"/>
  <c r="F190" i="83"/>
  <c r="E190" i="83"/>
  <c r="H189" i="83"/>
  <c r="I189" i="83" s="1"/>
  <c r="G189" i="83"/>
  <c r="F183" i="81"/>
  <c r="G184" i="81" s="1"/>
  <c r="E122" i="42"/>
  <c r="F123" i="42"/>
  <c r="G123" i="42" s="1"/>
  <c r="C123" i="42"/>
  <c r="D123" i="42" s="1"/>
  <c r="D129" i="89" l="1"/>
  <c r="E129" i="89" s="1"/>
  <c r="C129" i="89"/>
  <c r="E184" i="87"/>
  <c r="F184" i="87" s="1"/>
  <c r="G185" i="87" s="1"/>
  <c r="I184" i="87"/>
  <c r="J184" i="87" s="1"/>
  <c r="H184" i="87"/>
  <c r="F192" i="85"/>
  <c r="E192" i="85"/>
  <c r="H191" i="85"/>
  <c r="I191" i="85" s="1"/>
  <c r="G191" i="85"/>
  <c r="F183" i="84"/>
  <c r="G184" i="84" s="1"/>
  <c r="F191" i="83"/>
  <c r="E191" i="83"/>
  <c r="H190" i="83"/>
  <c r="I190" i="83" s="1"/>
  <c r="G190" i="83"/>
  <c r="E184" i="81"/>
  <c r="I184" i="81"/>
  <c r="J184" i="81" s="1"/>
  <c r="H184" i="81"/>
  <c r="F184" i="81"/>
  <c r="G185" i="81" s="1"/>
  <c r="E123" i="42"/>
  <c r="F124" i="42"/>
  <c r="G124" i="42" s="1"/>
  <c r="C124" i="42"/>
  <c r="D124" i="42" s="1"/>
  <c r="D130" i="89" l="1"/>
  <c r="E130" i="89" s="1"/>
  <c r="C130" i="89"/>
  <c r="E185" i="87"/>
  <c r="F185" i="87" s="1"/>
  <c r="G186" i="87" s="1"/>
  <c r="I185" i="87"/>
  <c r="J185" i="87" s="1"/>
  <c r="H185" i="87"/>
  <c r="F193" i="85"/>
  <c r="E193" i="85"/>
  <c r="H192" i="85"/>
  <c r="I192" i="85" s="1"/>
  <c r="G192" i="85"/>
  <c r="E184" i="84"/>
  <c r="I184" i="84"/>
  <c r="J184" i="84" s="1"/>
  <c r="H184" i="84"/>
  <c r="F184" i="84"/>
  <c r="G185" i="84" s="1"/>
  <c r="F192" i="83"/>
  <c r="E192" i="83"/>
  <c r="H191" i="83"/>
  <c r="I191" i="83" s="1"/>
  <c r="G191" i="83"/>
  <c r="I185" i="81"/>
  <c r="J185" i="81" s="1"/>
  <c r="H185" i="81"/>
  <c r="E185" i="81"/>
  <c r="E124" i="42"/>
  <c r="F125" i="42"/>
  <c r="G125" i="42" s="1"/>
  <c r="C125" i="42"/>
  <c r="D125" i="42" s="1"/>
  <c r="C131" i="89" l="1"/>
  <c r="D131" i="89"/>
  <c r="E131" i="89" s="1"/>
  <c r="E186" i="87"/>
  <c r="F186" i="87" s="1"/>
  <c r="G187" i="87" s="1"/>
  <c r="I186" i="87"/>
  <c r="J186" i="87" s="1"/>
  <c r="H186" i="87"/>
  <c r="E194" i="85"/>
  <c r="F194" i="85"/>
  <c r="H193" i="85"/>
  <c r="I193" i="85" s="1"/>
  <c r="G193" i="85"/>
  <c r="I185" i="84"/>
  <c r="J185" i="84" s="1"/>
  <c r="H185" i="84"/>
  <c r="E185" i="84"/>
  <c r="F193" i="83"/>
  <c r="E193" i="83"/>
  <c r="H192" i="83"/>
  <c r="I192" i="83" s="1"/>
  <c r="G192" i="83"/>
  <c r="F185" i="81"/>
  <c r="G186" i="81" s="1"/>
  <c r="E125" i="42"/>
  <c r="F126" i="42"/>
  <c r="G126" i="42" s="1"/>
  <c r="C126" i="42"/>
  <c r="D126" i="42" s="1"/>
  <c r="D132" i="89" l="1"/>
  <c r="E132" i="89" s="1"/>
  <c r="C132" i="89"/>
  <c r="I187" i="87"/>
  <c r="J187" i="87" s="1"/>
  <c r="H187" i="87"/>
  <c r="E187" i="87"/>
  <c r="H194" i="85"/>
  <c r="I194" i="85" s="1"/>
  <c r="G194" i="85"/>
  <c r="F195" i="85"/>
  <c r="E195" i="85"/>
  <c r="F185" i="84"/>
  <c r="G186" i="84" s="1"/>
  <c r="F194" i="83"/>
  <c r="E194" i="83"/>
  <c r="H193" i="83"/>
  <c r="I193" i="83" s="1"/>
  <c r="G193" i="83"/>
  <c r="E186" i="81"/>
  <c r="I186" i="81"/>
  <c r="J186" i="81" s="1"/>
  <c r="H186" i="81"/>
  <c r="F186" i="81"/>
  <c r="G187" i="81" s="1"/>
  <c r="E126" i="42"/>
  <c r="F127" i="42"/>
  <c r="G127" i="42" s="1"/>
  <c r="C127" i="42"/>
  <c r="D127" i="42" s="1"/>
  <c r="D133" i="89" l="1"/>
  <c r="E133" i="89" s="1"/>
  <c r="C133" i="89"/>
  <c r="F187" i="87"/>
  <c r="G188" i="87" s="1"/>
  <c r="H195" i="85"/>
  <c r="I195" i="85" s="1"/>
  <c r="G195" i="85"/>
  <c r="F196" i="85"/>
  <c r="E196" i="85"/>
  <c r="E186" i="84"/>
  <c r="F186" i="84" s="1"/>
  <c r="G187" i="84" s="1"/>
  <c r="I186" i="84"/>
  <c r="J186" i="84" s="1"/>
  <c r="H186" i="84"/>
  <c r="F195" i="83"/>
  <c r="E195" i="83"/>
  <c r="H194" i="83"/>
  <c r="I194" i="83" s="1"/>
  <c r="G194" i="83"/>
  <c r="E187" i="81"/>
  <c r="I187" i="81"/>
  <c r="J187" i="81" s="1"/>
  <c r="H187" i="81"/>
  <c r="F187" i="81"/>
  <c r="E188" i="81" s="1"/>
  <c r="E127" i="42"/>
  <c r="F128" i="42"/>
  <c r="G128" i="42" s="1"/>
  <c r="C128" i="42"/>
  <c r="D128" i="42" s="1"/>
  <c r="D134" i="89" l="1"/>
  <c r="E134" i="89" s="1"/>
  <c r="C134" i="89"/>
  <c r="I188" i="87"/>
  <c r="J188" i="87" s="1"/>
  <c r="H188" i="87"/>
  <c r="E188" i="87"/>
  <c r="H196" i="85"/>
  <c r="I196" i="85" s="1"/>
  <c r="G196" i="85"/>
  <c r="F197" i="85"/>
  <c r="E197" i="85"/>
  <c r="I187" i="84"/>
  <c r="J187" i="84" s="1"/>
  <c r="H187" i="84"/>
  <c r="E187" i="84"/>
  <c r="F196" i="83"/>
  <c r="E196" i="83"/>
  <c r="H195" i="83"/>
  <c r="I195" i="83" s="1"/>
  <c r="G195" i="83"/>
  <c r="F188" i="81"/>
  <c r="G189" i="81" s="1"/>
  <c r="G188" i="81"/>
  <c r="E128" i="42"/>
  <c r="F129" i="42"/>
  <c r="G129" i="42" s="1"/>
  <c r="C129" i="42"/>
  <c r="D129" i="42" s="1"/>
  <c r="D135" i="89" l="1"/>
  <c r="E135" i="89" s="1"/>
  <c r="C135" i="89"/>
  <c r="F188" i="87"/>
  <c r="G189" i="87" s="1"/>
  <c r="H197" i="85"/>
  <c r="I197" i="85" s="1"/>
  <c r="G197" i="85"/>
  <c r="F198" i="85"/>
  <c r="E198" i="85"/>
  <c r="F187" i="84"/>
  <c r="G188" i="84" s="1"/>
  <c r="F197" i="83"/>
  <c r="E197" i="83"/>
  <c r="H196" i="83"/>
  <c r="I196" i="83" s="1"/>
  <c r="G196" i="83"/>
  <c r="I189" i="81"/>
  <c r="J189" i="81" s="1"/>
  <c r="H189" i="81"/>
  <c r="I188" i="81"/>
  <c r="J188" i="81" s="1"/>
  <c r="H188" i="81"/>
  <c r="E189" i="81"/>
  <c r="E129" i="42"/>
  <c r="F130" i="42"/>
  <c r="G130" i="42" s="1"/>
  <c r="C130" i="42"/>
  <c r="D130" i="42" s="1"/>
  <c r="D136" i="89" l="1"/>
  <c r="E136" i="89" s="1"/>
  <c r="C136" i="89"/>
  <c r="E189" i="87"/>
  <c r="F189" i="87" s="1"/>
  <c r="G190" i="87" s="1"/>
  <c r="I189" i="87"/>
  <c r="J189" i="87" s="1"/>
  <c r="H189" i="87"/>
  <c r="F199" i="85"/>
  <c r="E199" i="85"/>
  <c r="H198" i="85"/>
  <c r="I198" i="85" s="1"/>
  <c r="G198" i="85"/>
  <c r="E188" i="84"/>
  <c r="I188" i="84"/>
  <c r="J188" i="84" s="1"/>
  <c r="H188" i="84"/>
  <c r="F188" i="84"/>
  <c r="G189" i="84" s="1"/>
  <c r="F198" i="83"/>
  <c r="E198" i="83"/>
  <c r="H197" i="83"/>
  <c r="I197" i="83" s="1"/>
  <c r="G197" i="83"/>
  <c r="F189" i="81"/>
  <c r="G190" i="81" s="1"/>
  <c r="E130" i="42"/>
  <c r="F131" i="42"/>
  <c r="G131" i="42" s="1"/>
  <c r="C131" i="42"/>
  <c r="D131" i="42" s="1"/>
  <c r="C137" i="89" l="1"/>
  <c r="D137" i="89"/>
  <c r="E137" i="89" s="1"/>
  <c r="E190" i="87"/>
  <c r="F190" i="87" s="1"/>
  <c r="E191" i="87" s="1"/>
  <c r="I190" i="87"/>
  <c r="J190" i="87" s="1"/>
  <c r="H190" i="87"/>
  <c r="F200" i="85"/>
  <c r="E200" i="85"/>
  <c r="H199" i="85"/>
  <c r="I199" i="85" s="1"/>
  <c r="G199" i="85"/>
  <c r="I189" i="84"/>
  <c r="J189" i="84" s="1"/>
  <c r="H189" i="84"/>
  <c r="E189" i="84"/>
  <c r="F199" i="83"/>
  <c r="E199" i="83"/>
  <c r="H198" i="83"/>
  <c r="I198" i="83" s="1"/>
  <c r="G198" i="83"/>
  <c r="I190" i="81"/>
  <c r="J190" i="81" s="1"/>
  <c r="H190" i="81"/>
  <c r="E190" i="81"/>
  <c r="E131" i="42"/>
  <c r="F132" i="42"/>
  <c r="G132" i="42" s="1"/>
  <c r="C132" i="42"/>
  <c r="D132" i="42" s="1"/>
  <c r="C138" i="89" l="1"/>
  <c r="D138" i="89"/>
  <c r="E138" i="89" s="1"/>
  <c r="F191" i="87"/>
  <c r="G192" i="87" s="1"/>
  <c r="G191" i="87"/>
  <c r="F201" i="85"/>
  <c r="E201" i="85"/>
  <c r="H200" i="85"/>
  <c r="I200" i="85" s="1"/>
  <c r="G200" i="85"/>
  <c r="F189" i="84"/>
  <c r="G190" i="84" s="1"/>
  <c r="F200" i="83"/>
  <c r="E200" i="83"/>
  <c r="H199" i="83"/>
  <c r="I199" i="83" s="1"/>
  <c r="G199" i="83"/>
  <c r="F190" i="81"/>
  <c r="G191" i="81" s="1"/>
  <c r="E132" i="42"/>
  <c r="F133" i="42"/>
  <c r="G133" i="42" s="1"/>
  <c r="C133" i="42"/>
  <c r="D133" i="42" s="1"/>
  <c r="D139" i="89" l="1"/>
  <c r="E139" i="89" s="1"/>
  <c r="C139" i="89"/>
  <c r="E192" i="87"/>
  <c r="I192" i="87"/>
  <c r="J192" i="87" s="1"/>
  <c r="H192" i="87"/>
  <c r="I191" i="87"/>
  <c r="J191" i="87" s="1"/>
  <c r="H191" i="87"/>
  <c r="F192" i="87"/>
  <c r="G193" i="87" s="1"/>
  <c r="F202" i="85"/>
  <c r="E202" i="85"/>
  <c r="H201" i="85"/>
  <c r="I201" i="85" s="1"/>
  <c r="G201" i="85"/>
  <c r="E190" i="84"/>
  <c r="I190" i="84"/>
  <c r="J190" i="84" s="1"/>
  <c r="H190" i="84"/>
  <c r="F190" i="84"/>
  <c r="G191" i="84" s="1"/>
  <c r="F201" i="83"/>
  <c r="E201" i="83"/>
  <c r="H200" i="83"/>
  <c r="I200" i="83" s="1"/>
  <c r="G200" i="83"/>
  <c r="E191" i="81"/>
  <c r="F191" i="81" s="1"/>
  <c r="E192" i="81" s="1"/>
  <c r="I191" i="81"/>
  <c r="J191" i="81" s="1"/>
  <c r="H191" i="81"/>
  <c r="E133" i="42"/>
  <c r="F134" i="42"/>
  <c r="G134" i="42" s="1"/>
  <c r="C134" i="42"/>
  <c r="D134" i="42" s="1"/>
  <c r="D140" i="89" l="1"/>
  <c r="E140" i="89" s="1"/>
  <c r="C140" i="89"/>
  <c r="E193" i="87"/>
  <c r="I193" i="87"/>
  <c r="J193" i="87" s="1"/>
  <c r="H193" i="87"/>
  <c r="F193" i="87"/>
  <c r="G194" i="87" s="1"/>
  <c r="F203" i="85"/>
  <c r="E203" i="85"/>
  <c r="H202" i="85"/>
  <c r="I202" i="85" s="1"/>
  <c r="G202" i="85"/>
  <c r="I191" i="84"/>
  <c r="J191" i="84" s="1"/>
  <c r="H191" i="84"/>
  <c r="E191" i="84"/>
  <c r="F202" i="83"/>
  <c r="E202" i="83"/>
  <c r="H201" i="83"/>
  <c r="I201" i="83" s="1"/>
  <c r="G201" i="83"/>
  <c r="G192" i="81"/>
  <c r="F192" i="81"/>
  <c r="G193" i="81" s="1"/>
  <c r="I192" i="81"/>
  <c r="J192" i="81" s="1"/>
  <c r="H192" i="81"/>
  <c r="E134" i="42"/>
  <c r="F135" i="42"/>
  <c r="G135" i="42" s="1"/>
  <c r="C135" i="42"/>
  <c r="D135" i="42" s="1"/>
  <c r="D141" i="89" l="1"/>
  <c r="E141" i="89" s="1"/>
  <c r="C141" i="89"/>
  <c r="E194" i="87"/>
  <c r="I194" i="87"/>
  <c r="J194" i="87" s="1"/>
  <c r="H194" i="87"/>
  <c r="F194" i="87"/>
  <c r="G195" i="87" s="1"/>
  <c r="F204" i="85"/>
  <c r="E204" i="85"/>
  <c r="H203" i="85"/>
  <c r="I203" i="85" s="1"/>
  <c r="G203" i="85"/>
  <c r="F191" i="84"/>
  <c r="G192" i="84" s="1"/>
  <c r="F203" i="83"/>
  <c r="E203" i="83"/>
  <c r="H202" i="83"/>
  <c r="I202" i="83" s="1"/>
  <c r="G202" i="83"/>
  <c r="E193" i="81"/>
  <c r="I193" i="81"/>
  <c r="J193" i="81" s="1"/>
  <c r="H193" i="81"/>
  <c r="F193" i="81"/>
  <c r="G194" i="81" s="1"/>
  <c r="E135" i="42"/>
  <c r="F136" i="42"/>
  <c r="G136" i="42" s="1"/>
  <c r="C136" i="42"/>
  <c r="D136" i="42" s="1"/>
  <c r="D142" i="89" l="1"/>
  <c r="E142" i="89" s="1"/>
  <c r="C142" i="89"/>
  <c r="E195" i="87"/>
  <c r="I195" i="87"/>
  <c r="J195" i="87" s="1"/>
  <c r="H195" i="87"/>
  <c r="F195" i="87"/>
  <c r="G196" i="87" s="1"/>
  <c r="F205" i="85"/>
  <c r="E205" i="85"/>
  <c r="H204" i="85"/>
  <c r="I204" i="85" s="1"/>
  <c r="G204" i="85"/>
  <c r="E192" i="84"/>
  <c r="I192" i="84"/>
  <c r="J192" i="84" s="1"/>
  <c r="H192" i="84"/>
  <c r="F192" i="84"/>
  <c r="G193" i="84" s="1"/>
  <c r="F204" i="83"/>
  <c r="E204" i="83"/>
  <c r="H203" i="83"/>
  <c r="I203" i="83" s="1"/>
  <c r="G203" i="83"/>
  <c r="E194" i="81"/>
  <c r="I194" i="81"/>
  <c r="J194" i="81" s="1"/>
  <c r="H194" i="81"/>
  <c r="F194" i="81"/>
  <c r="G195" i="81" s="1"/>
  <c r="E136" i="42"/>
  <c r="F137" i="42"/>
  <c r="G137" i="42" s="1"/>
  <c r="C137" i="42"/>
  <c r="D137" i="42" s="1"/>
  <c r="C143" i="89" l="1"/>
  <c r="D143" i="89"/>
  <c r="E143" i="89" s="1"/>
  <c r="E196" i="87"/>
  <c r="F196" i="87" s="1"/>
  <c r="G197" i="87" s="1"/>
  <c r="I196" i="87"/>
  <c r="J196" i="87" s="1"/>
  <c r="H196" i="87"/>
  <c r="E206" i="85"/>
  <c r="F206" i="85"/>
  <c r="H205" i="85"/>
  <c r="I205" i="85" s="1"/>
  <c r="G205" i="85"/>
  <c r="I193" i="84"/>
  <c r="J193" i="84" s="1"/>
  <c r="H193" i="84"/>
  <c r="E193" i="84"/>
  <c r="F205" i="83"/>
  <c r="E205" i="83"/>
  <c r="H204" i="83"/>
  <c r="I204" i="83" s="1"/>
  <c r="G204" i="83"/>
  <c r="E195" i="81"/>
  <c r="F195" i="81" s="1"/>
  <c r="G196" i="81" s="1"/>
  <c r="I195" i="81"/>
  <c r="J195" i="81" s="1"/>
  <c r="H195" i="81"/>
  <c r="E137" i="42"/>
  <c r="F138" i="42"/>
  <c r="G138" i="42" s="1"/>
  <c r="C138" i="42"/>
  <c r="D138" i="42" s="1"/>
  <c r="D144" i="89" l="1"/>
  <c r="E144" i="89" s="1"/>
  <c r="C144" i="89"/>
  <c r="E197" i="87"/>
  <c r="I197" i="87"/>
  <c r="J197" i="87" s="1"/>
  <c r="H197" i="87"/>
  <c r="F197" i="87"/>
  <c r="G198" i="87" s="1"/>
  <c r="G206" i="85"/>
  <c r="H206" i="85"/>
  <c r="I206" i="85" s="1"/>
  <c r="F207" i="85"/>
  <c r="E207" i="85"/>
  <c r="F193" i="84"/>
  <c r="G194" i="84" s="1"/>
  <c r="F206" i="83"/>
  <c r="E206" i="83"/>
  <c r="H205" i="83"/>
  <c r="I205" i="83" s="1"/>
  <c r="G205" i="83"/>
  <c r="E196" i="81"/>
  <c r="I196" i="81"/>
  <c r="J196" i="81" s="1"/>
  <c r="H196" i="81"/>
  <c r="F196" i="81"/>
  <c r="G197" i="81" s="1"/>
  <c r="E138" i="42"/>
  <c r="F139" i="42"/>
  <c r="G139" i="42" s="1"/>
  <c r="C139" i="42"/>
  <c r="D139" i="42" s="1"/>
  <c r="D145" i="89" l="1"/>
  <c r="E145" i="89" s="1"/>
  <c r="C145" i="89"/>
  <c r="E198" i="87"/>
  <c r="F198" i="87" s="1"/>
  <c r="G199" i="87" s="1"/>
  <c r="I198" i="87"/>
  <c r="J198" i="87" s="1"/>
  <c r="H198" i="87"/>
  <c r="H207" i="85"/>
  <c r="I207" i="85" s="1"/>
  <c r="G207" i="85"/>
  <c r="F208" i="85"/>
  <c r="E208" i="85"/>
  <c r="E194" i="84"/>
  <c r="I194" i="84"/>
  <c r="J194" i="84" s="1"/>
  <c r="H194" i="84"/>
  <c r="F194" i="84"/>
  <c r="G195" i="84" s="1"/>
  <c r="F207" i="83"/>
  <c r="E207" i="83"/>
  <c r="H206" i="83"/>
  <c r="I206" i="83" s="1"/>
  <c r="G206" i="83"/>
  <c r="I197" i="81"/>
  <c r="J197" i="81" s="1"/>
  <c r="H197" i="81"/>
  <c r="E197" i="81"/>
  <c r="E139" i="42"/>
  <c r="F140" i="42"/>
  <c r="G140" i="42" s="1"/>
  <c r="C140" i="42"/>
  <c r="D140" i="42" s="1"/>
  <c r="D146" i="89" l="1"/>
  <c r="E146" i="89" s="1"/>
  <c r="C146" i="89"/>
  <c r="E199" i="87"/>
  <c r="F199" i="87" s="1"/>
  <c r="G200" i="87" s="1"/>
  <c r="I199" i="87"/>
  <c r="J199" i="87" s="1"/>
  <c r="H199" i="87"/>
  <c r="F209" i="85"/>
  <c r="E209" i="85"/>
  <c r="H208" i="85"/>
  <c r="I208" i="85" s="1"/>
  <c r="G208" i="85"/>
  <c r="I195" i="84"/>
  <c r="J195" i="84" s="1"/>
  <c r="H195" i="84"/>
  <c r="E195" i="84"/>
  <c r="F208" i="83"/>
  <c r="E208" i="83"/>
  <c r="H207" i="83"/>
  <c r="I207" i="83" s="1"/>
  <c r="G207" i="83"/>
  <c r="F197" i="81"/>
  <c r="G198" i="81" s="1"/>
  <c r="E140" i="42"/>
  <c r="F141" i="42"/>
  <c r="G141" i="42" s="1"/>
  <c r="C141" i="42"/>
  <c r="D141" i="42" s="1"/>
  <c r="D147" i="89" l="1"/>
  <c r="E147" i="89" s="1"/>
  <c r="C147" i="89"/>
  <c r="I200" i="87"/>
  <c r="J200" i="87" s="1"/>
  <c r="H200" i="87"/>
  <c r="E200" i="87"/>
  <c r="F210" i="85"/>
  <c r="E210" i="85"/>
  <c r="H209" i="85"/>
  <c r="I209" i="85" s="1"/>
  <c r="G209" i="85"/>
  <c r="F195" i="84"/>
  <c r="G196" i="84" s="1"/>
  <c r="F209" i="83"/>
  <c r="E209" i="83"/>
  <c r="H208" i="83"/>
  <c r="I208" i="83" s="1"/>
  <c r="G208" i="83"/>
  <c r="E198" i="81"/>
  <c r="F198" i="81" s="1"/>
  <c r="G199" i="81" s="1"/>
  <c r="I198" i="81"/>
  <c r="J198" i="81" s="1"/>
  <c r="H198" i="81"/>
  <c r="E141" i="42"/>
  <c r="F142" i="42"/>
  <c r="G142" i="42" s="1"/>
  <c r="C142" i="42"/>
  <c r="D142" i="42" s="1"/>
  <c r="D148" i="89" l="1"/>
  <c r="E148" i="89" s="1"/>
  <c r="C148" i="89"/>
  <c r="F200" i="87"/>
  <c r="G201" i="87" s="1"/>
  <c r="F211" i="85"/>
  <c r="E211" i="85"/>
  <c r="H210" i="85"/>
  <c r="I210" i="85" s="1"/>
  <c r="G210" i="85"/>
  <c r="E196" i="84"/>
  <c r="F196" i="84" s="1"/>
  <c r="G197" i="84" s="1"/>
  <c r="I196" i="84"/>
  <c r="J196" i="84" s="1"/>
  <c r="H196" i="84"/>
  <c r="F210" i="83"/>
  <c r="E210" i="83"/>
  <c r="H209" i="83"/>
  <c r="I209" i="83" s="1"/>
  <c r="G209" i="83"/>
  <c r="E199" i="81"/>
  <c r="F199" i="81" s="1"/>
  <c r="G200" i="81" s="1"/>
  <c r="I199" i="81"/>
  <c r="J199" i="81" s="1"/>
  <c r="H199" i="81"/>
  <c r="E142" i="42"/>
  <c r="F143" i="42"/>
  <c r="G143" i="42" s="1"/>
  <c r="C143" i="42"/>
  <c r="D143" i="42" s="1"/>
  <c r="C149" i="89" l="1"/>
  <c r="D149" i="89"/>
  <c r="E149" i="89" s="1"/>
  <c r="E201" i="87"/>
  <c r="I201" i="87"/>
  <c r="J201" i="87" s="1"/>
  <c r="H201" i="87"/>
  <c r="F201" i="87"/>
  <c r="G202" i="87" s="1"/>
  <c r="F212" i="85"/>
  <c r="E212" i="85"/>
  <c r="H211" i="85"/>
  <c r="I211" i="85" s="1"/>
  <c r="G211" i="85"/>
  <c r="E197" i="84"/>
  <c r="F197" i="84" s="1"/>
  <c r="G198" i="84" s="1"/>
  <c r="I197" i="84"/>
  <c r="J197" i="84" s="1"/>
  <c r="H197" i="84"/>
  <c r="F211" i="83"/>
  <c r="E211" i="83"/>
  <c r="H210" i="83"/>
  <c r="I210" i="83" s="1"/>
  <c r="G210" i="83"/>
  <c r="E200" i="81"/>
  <c r="I200" i="81"/>
  <c r="J200" i="81" s="1"/>
  <c r="H200" i="81"/>
  <c r="F200" i="81"/>
  <c r="G201" i="81" s="1"/>
  <c r="E143" i="42"/>
  <c r="F144" i="42"/>
  <c r="G144" i="42" s="1"/>
  <c r="C144" i="42"/>
  <c r="D144" i="42" s="1"/>
  <c r="C150" i="89" l="1"/>
  <c r="D150" i="89"/>
  <c r="E150" i="89" s="1"/>
  <c r="E202" i="87"/>
  <c r="I202" i="87"/>
  <c r="J202" i="87" s="1"/>
  <c r="H202" i="87"/>
  <c r="F202" i="87"/>
  <c r="G203" i="87" s="1"/>
  <c r="F213" i="85"/>
  <c r="E213" i="85"/>
  <c r="H212" i="85"/>
  <c r="I212" i="85" s="1"/>
  <c r="G212" i="85"/>
  <c r="E198" i="84"/>
  <c r="I198" i="84"/>
  <c r="J198" i="84" s="1"/>
  <c r="H198" i="84"/>
  <c r="F198" i="84"/>
  <c r="G199" i="84" s="1"/>
  <c r="F212" i="83"/>
  <c r="E212" i="83"/>
  <c r="H211" i="83"/>
  <c r="I211" i="83" s="1"/>
  <c r="G211" i="83"/>
  <c r="I201" i="81"/>
  <c r="J201" i="81" s="1"/>
  <c r="H201" i="81"/>
  <c r="E201" i="81"/>
  <c r="E144" i="42"/>
  <c r="F145" i="42"/>
  <c r="G145" i="42" s="1"/>
  <c r="C145" i="42"/>
  <c r="D145" i="42" s="1"/>
  <c r="D151" i="89" l="1"/>
  <c r="E151" i="89" s="1"/>
  <c r="C151" i="89"/>
  <c r="E203" i="87"/>
  <c r="I203" i="87"/>
  <c r="J203" i="87" s="1"/>
  <c r="H203" i="87"/>
  <c r="F203" i="87"/>
  <c r="G204" i="87" s="1"/>
  <c r="F214" i="85"/>
  <c r="E214" i="85"/>
  <c r="H213" i="85"/>
  <c r="I213" i="85" s="1"/>
  <c r="G213" i="85"/>
  <c r="I199" i="84"/>
  <c r="J199" i="84" s="1"/>
  <c r="H199" i="84"/>
  <c r="E199" i="84"/>
  <c r="F213" i="83"/>
  <c r="E213" i="83"/>
  <c r="H212" i="83"/>
  <c r="I212" i="83" s="1"/>
  <c r="G212" i="83"/>
  <c r="F201" i="81"/>
  <c r="G202" i="81" s="1"/>
  <c r="E145" i="42"/>
  <c r="F146" i="42"/>
  <c r="G146" i="42" s="1"/>
  <c r="C146" i="42"/>
  <c r="D146" i="42" s="1"/>
  <c r="F147" i="42" s="1"/>
  <c r="G147" i="42" s="1"/>
  <c r="D152" i="89" l="1"/>
  <c r="E152" i="89" s="1"/>
  <c r="C152" i="89"/>
  <c r="E204" i="87"/>
  <c r="I204" i="87"/>
  <c r="J204" i="87" s="1"/>
  <c r="H204" i="87"/>
  <c r="F204" i="87"/>
  <c r="G205" i="87" s="1"/>
  <c r="F215" i="85"/>
  <c r="E215" i="85"/>
  <c r="H214" i="85"/>
  <c r="I214" i="85" s="1"/>
  <c r="G214" i="85"/>
  <c r="F199" i="84"/>
  <c r="G200" i="84" s="1"/>
  <c r="F214" i="83"/>
  <c r="E214" i="83"/>
  <c r="H213" i="83"/>
  <c r="I213" i="83" s="1"/>
  <c r="G213" i="83"/>
  <c r="I202" i="81"/>
  <c r="J202" i="81" s="1"/>
  <c r="H202" i="81"/>
  <c r="E202" i="81"/>
  <c r="E146" i="42"/>
  <c r="C147" i="42"/>
  <c r="D147" i="42" s="1"/>
  <c r="F148" i="42" s="1"/>
  <c r="G148" i="42" s="1"/>
  <c r="D153" i="89" l="1"/>
  <c r="E153" i="89" s="1"/>
  <c r="C153" i="89"/>
  <c r="E205" i="87"/>
  <c r="I205" i="87"/>
  <c r="J205" i="87" s="1"/>
  <c r="H205" i="87"/>
  <c r="F205" i="87"/>
  <c r="G206" i="87" s="1"/>
  <c r="F216" i="85"/>
  <c r="E216" i="85"/>
  <c r="H215" i="85"/>
  <c r="I215" i="85" s="1"/>
  <c r="G215" i="85"/>
  <c r="I200" i="84"/>
  <c r="J200" i="84" s="1"/>
  <c r="H200" i="84"/>
  <c r="E200" i="84"/>
  <c r="F215" i="83"/>
  <c r="E215" i="83"/>
  <c r="H214" i="83"/>
  <c r="I214" i="83" s="1"/>
  <c r="G214" i="83"/>
  <c r="F202" i="81"/>
  <c r="G203" i="81" s="1"/>
  <c r="E147" i="42"/>
  <c r="C148" i="42"/>
  <c r="D148" i="42" s="1"/>
  <c r="F149" i="42" s="1"/>
  <c r="G149" i="42" s="1"/>
  <c r="D154" i="89" l="1"/>
  <c r="E154" i="89" s="1"/>
  <c r="C154" i="89"/>
  <c r="E206" i="87"/>
  <c r="F206" i="87" s="1"/>
  <c r="G207" i="87" s="1"/>
  <c r="I206" i="87"/>
  <c r="J206" i="87" s="1"/>
  <c r="H206" i="87"/>
  <c r="F217" i="85"/>
  <c r="E217" i="85"/>
  <c r="H216" i="85"/>
  <c r="I216" i="85" s="1"/>
  <c r="G216" i="85"/>
  <c r="F200" i="84"/>
  <c r="G201" i="84" s="1"/>
  <c r="F216" i="83"/>
  <c r="E216" i="83"/>
  <c r="H215" i="83"/>
  <c r="I215" i="83" s="1"/>
  <c r="G215" i="83"/>
  <c r="E203" i="81"/>
  <c r="I203" i="81"/>
  <c r="J203" i="81" s="1"/>
  <c r="H203" i="81"/>
  <c r="F203" i="81"/>
  <c r="G204" i="81" s="1"/>
  <c r="E148" i="42"/>
  <c r="C149" i="42"/>
  <c r="D149" i="42" s="1"/>
  <c r="F150" i="42" s="1"/>
  <c r="G150" i="42" s="1"/>
  <c r="C155" i="89" l="1"/>
  <c r="D155" i="89"/>
  <c r="E155" i="89" s="1"/>
  <c r="E207" i="87"/>
  <c r="I207" i="87"/>
  <c r="J207" i="87" s="1"/>
  <c r="H207" i="87"/>
  <c r="F207" i="87"/>
  <c r="G208" i="87" s="1"/>
  <c r="E218" i="85"/>
  <c r="F218" i="85"/>
  <c r="H217" i="85"/>
  <c r="I217" i="85" s="1"/>
  <c r="G217" i="85"/>
  <c r="E201" i="84"/>
  <c r="I201" i="84"/>
  <c r="J201" i="84" s="1"/>
  <c r="H201" i="84"/>
  <c r="F201" i="84"/>
  <c r="G202" i="84" s="1"/>
  <c r="F217" i="83"/>
  <c r="E217" i="83"/>
  <c r="H216" i="83"/>
  <c r="I216" i="83" s="1"/>
  <c r="G216" i="83"/>
  <c r="E204" i="81"/>
  <c r="F204" i="81" s="1"/>
  <c r="G205" i="81" s="1"/>
  <c r="I204" i="81"/>
  <c r="J204" i="81" s="1"/>
  <c r="H204" i="81"/>
  <c r="E149" i="42"/>
  <c r="C150" i="42"/>
  <c r="D150" i="42" s="1"/>
  <c r="D156" i="89" l="1"/>
  <c r="E156" i="89" s="1"/>
  <c r="C156" i="89"/>
  <c r="E208" i="87"/>
  <c r="I208" i="87"/>
  <c r="J208" i="87" s="1"/>
  <c r="H208" i="87"/>
  <c r="F208" i="87"/>
  <c r="G209" i="87" s="1"/>
  <c r="G218" i="85"/>
  <c r="H218" i="85"/>
  <c r="I218" i="85" s="1"/>
  <c r="F219" i="85"/>
  <c r="E219" i="85"/>
  <c r="E202" i="84"/>
  <c r="I202" i="84"/>
  <c r="J202" i="84" s="1"/>
  <c r="H202" i="84"/>
  <c r="F202" i="84"/>
  <c r="G203" i="84" s="1"/>
  <c r="F218" i="83"/>
  <c r="E218" i="83"/>
  <c r="H217" i="83"/>
  <c r="I217" i="83" s="1"/>
  <c r="G217" i="83"/>
  <c r="E205" i="81"/>
  <c r="I205" i="81"/>
  <c r="J205" i="81" s="1"/>
  <c r="H205" i="81"/>
  <c r="F205" i="81"/>
  <c r="G206" i="81" s="1"/>
  <c r="E150" i="42"/>
  <c r="F151" i="42"/>
  <c r="G151" i="42" s="1"/>
  <c r="C151" i="42"/>
  <c r="D151" i="42" s="1"/>
  <c r="D157" i="89" l="1"/>
  <c r="E157" i="89" s="1"/>
  <c r="C157" i="89"/>
  <c r="E209" i="87"/>
  <c r="F209" i="87" s="1"/>
  <c r="G210" i="87" s="1"/>
  <c r="I209" i="87"/>
  <c r="J209" i="87" s="1"/>
  <c r="H209" i="87"/>
  <c r="H219" i="85"/>
  <c r="I219" i="85" s="1"/>
  <c r="G219" i="85"/>
  <c r="F220" i="85"/>
  <c r="E220" i="85"/>
  <c r="E203" i="84"/>
  <c r="F203" i="84" s="1"/>
  <c r="G204" i="84" s="1"/>
  <c r="I203" i="84"/>
  <c r="J203" i="84" s="1"/>
  <c r="H203" i="84"/>
  <c r="F219" i="83"/>
  <c r="E219" i="83"/>
  <c r="H218" i="83"/>
  <c r="I218" i="83" s="1"/>
  <c r="G218" i="83"/>
  <c r="E206" i="81"/>
  <c r="I206" i="81"/>
  <c r="J206" i="81" s="1"/>
  <c r="H206" i="81"/>
  <c r="F206" i="81"/>
  <c r="G207" i="81" s="1"/>
  <c r="E151" i="42"/>
  <c r="F152" i="42"/>
  <c r="G152" i="42" s="1"/>
  <c r="C152" i="42"/>
  <c r="D152" i="42" s="1"/>
  <c r="D158" i="89" l="1"/>
  <c r="E158" i="89" s="1"/>
  <c r="C158" i="89"/>
  <c r="E210" i="87"/>
  <c r="F210" i="87" s="1"/>
  <c r="G211" i="87" s="1"/>
  <c r="I210" i="87"/>
  <c r="J210" i="87" s="1"/>
  <c r="H210" i="87"/>
  <c r="H220" i="85"/>
  <c r="I220" i="85" s="1"/>
  <c r="G220" i="85"/>
  <c r="F221" i="85"/>
  <c r="E221" i="85"/>
  <c r="E204" i="84"/>
  <c r="I204" i="84"/>
  <c r="J204" i="84" s="1"/>
  <c r="H204" i="84"/>
  <c r="F204" i="84"/>
  <c r="G205" i="84" s="1"/>
  <c r="F220" i="83"/>
  <c r="E220" i="83"/>
  <c r="H219" i="83"/>
  <c r="I219" i="83" s="1"/>
  <c r="G219" i="83"/>
  <c r="E207" i="81"/>
  <c r="I207" i="81"/>
  <c r="J207" i="81" s="1"/>
  <c r="H207" i="81"/>
  <c r="F207" i="81"/>
  <c r="G208" i="81" s="1"/>
  <c r="E152" i="42"/>
  <c r="F153" i="42"/>
  <c r="G153" i="42" s="1"/>
  <c r="C153" i="42"/>
  <c r="D153" i="42" s="1"/>
  <c r="D159" i="89" l="1"/>
  <c r="E159" i="89" s="1"/>
  <c r="C159" i="89"/>
  <c r="E211" i="87"/>
  <c r="F211" i="87" s="1"/>
  <c r="G212" i="87" s="1"/>
  <c r="I211" i="87"/>
  <c r="J211" i="87" s="1"/>
  <c r="H211" i="87"/>
  <c r="H221" i="85"/>
  <c r="I221" i="85" s="1"/>
  <c r="G221" i="85"/>
  <c r="F222" i="85"/>
  <c r="E222" i="85"/>
  <c r="E205" i="84"/>
  <c r="I205" i="84"/>
  <c r="J205" i="84" s="1"/>
  <c r="H205" i="84"/>
  <c r="F205" i="84"/>
  <c r="G206" i="84" s="1"/>
  <c r="F221" i="83"/>
  <c r="E221" i="83"/>
  <c r="H220" i="83"/>
  <c r="I220" i="83" s="1"/>
  <c r="G220" i="83"/>
  <c r="E208" i="81"/>
  <c r="F208" i="81" s="1"/>
  <c r="G209" i="81" s="1"/>
  <c r="I208" i="81"/>
  <c r="J208" i="81" s="1"/>
  <c r="H208" i="81"/>
  <c r="E153" i="42"/>
  <c r="F154" i="42"/>
  <c r="G154" i="42" s="1"/>
  <c r="C154" i="42"/>
  <c r="D154" i="42" s="1"/>
  <c r="D160" i="89" l="1"/>
  <c r="E160" i="89" s="1"/>
  <c r="C160" i="89"/>
  <c r="I212" i="87"/>
  <c r="J212" i="87" s="1"/>
  <c r="H212" i="87"/>
  <c r="E212" i="87"/>
  <c r="H222" i="85"/>
  <c r="I222" i="85" s="1"/>
  <c r="G222" i="85"/>
  <c r="F223" i="85"/>
  <c r="E223" i="85"/>
  <c r="E206" i="84"/>
  <c r="I206" i="84"/>
  <c r="J206" i="84" s="1"/>
  <c r="H206" i="84"/>
  <c r="F206" i="84"/>
  <c r="G207" i="84" s="1"/>
  <c r="F222" i="83"/>
  <c r="E222" i="83"/>
  <c r="H221" i="83"/>
  <c r="I221" i="83" s="1"/>
  <c r="G221" i="83"/>
  <c r="E209" i="81"/>
  <c r="F209" i="81" s="1"/>
  <c r="E210" i="81" s="1"/>
  <c r="I209" i="81"/>
  <c r="J209" i="81" s="1"/>
  <c r="H209" i="81"/>
  <c r="E154" i="42"/>
  <c r="F155" i="42"/>
  <c r="G155" i="42" s="1"/>
  <c r="C155" i="42"/>
  <c r="D155" i="42" s="1"/>
  <c r="F156" i="42" s="1"/>
  <c r="G156" i="42" s="1"/>
  <c r="C161" i="89" l="1"/>
  <c r="D161" i="89"/>
  <c r="E161" i="89" s="1"/>
  <c r="F212" i="87"/>
  <c r="G213" i="87" s="1"/>
  <c r="E213" i="87"/>
  <c r="H223" i="85"/>
  <c r="I223" i="85" s="1"/>
  <c r="G223" i="85"/>
  <c r="F224" i="85"/>
  <c r="E224" i="85"/>
  <c r="E207" i="84"/>
  <c r="F207" i="84" s="1"/>
  <c r="G208" i="84" s="1"/>
  <c r="I207" i="84"/>
  <c r="J207" i="84" s="1"/>
  <c r="H207" i="84"/>
  <c r="F223" i="83"/>
  <c r="E223" i="83"/>
  <c r="H222" i="83"/>
  <c r="I222" i="83" s="1"/>
  <c r="G222" i="83"/>
  <c r="G210" i="81"/>
  <c r="F210" i="81"/>
  <c r="G211" i="81" s="1"/>
  <c r="I210" i="81"/>
  <c r="J210" i="81" s="1"/>
  <c r="H210" i="81"/>
  <c r="E155" i="42"/>
  <c r="C156" i="42"/>
  <c r="D156" i="42" s="1"/>
  <c r="D162" i="89" l="1"/>
  <c r="E162" i="89" s="1"/>
  <c r="C162" i="89"/>
  <c r="I213" i="87"/>
  <c r="J213" i="87" s="1"/>
  <c r="H213" i="87"/>
  <c r="F213" i="87"/>
  <c r="E214" i="87" s="1"/>
  <c r="H224" i="85"/>
  <c r="I224" i="85" s="1"/>
  <c r="G224" i="85"/>
  <c r="F225" i="85"/>
  <c r="E225" i="85"/>
  <c r="E208" i="84"/>
  <c r="F208" i="84" s="1"/>
  <c r="G209" i="84" s="1"/>
  <c r="I208" i="84"/>
  <c r="J208" i="84" s="1"/>
  <c r="H208" i="84"/>
  <c r="F224" i="83"/>
  <c r="E224" i="83"/>
  <c r="H223" i="83"/>
  <c r="I223" i="83" s="1"/>
  <c r="G223" i="83"/>
  <c r="E211" i="81"/>
  <c r="F211" i="81" s="1"/>
  <c r="G212" i="81" s="1"/>
  <c r="I211" i="81"/>
  <c r="J211" i="81" s="1"/>
  <c r="H211" i="81"/>
  <c r="E156" i="42"/>
  <c r="F157" i="42"/>
  <c r="G157" i="42" s="1"/>
  <c r="C157" i="42"/>
  <c r="D157" i="42" s="1"/>
  <c r="F158" i="42" s="1"/>
  <c r="G158" i="42" s="1"/>
  <c r="D163" i="89" l="1"/>
  <c r="E163" i="89" s="1"/>
  <c r="C163" i="89"/>
  <c r="F214" i="87"/>
  <c r="G215" i="87" s="1"/>
  <c r="G214" i="87"/>
  <c r="H225" i="85"/>
  <c r="I225" i="85" s="1"/>
  <c r="G225" i="85"/>
  <c r="F226" i="85"/>
  <c r="E226" i="85"/>
  <c r="E209" i="84"/>
  <c r="F209" i="84" s="1"/>
  <c r="G210" i="84" s="1"/>
  <c r="I209" i="84"/>
  <c r="J209" i="84" s="1"/>
  <c r="H209" i="84"/>
  <c r="F225" i="83"/>
  <c r="E225" i="83"/>
  <c r="H224" i="83"/>
  <c r="I224" i="83" s="1"/>
  <c r="G224" i="83"/>
  <c r="I212" i="81"/>
  <c r="J212" i="81" s="1"/>
  <c r="H212" i="81"/>
  <c r="E212" i="81"/>
  <c r="E157" i="42"/>
  <c r="C158" i="42"/>
  <c r="D158" i="42" s="1"/>
  <c r="D164" i="89" l="1"/>
  <c r="E164" i="89" s="1"/>
  <c r="C164" i="89"/>
  <c r="E215" i="87"/>
  <c r="I215" i="87"/>
  <c r="J215" i="87" s="1"/>
  <c r="H215" i="87"/>
  <c r="F215" i="87"/>
  <c r="E216" i="87" s="1"/>
  <c r="I214" i="87"/>
  <c r="J214" i="87" s="1"/>
  <c r="H214" i="87"/>
  <c r="H226" i="85"/>
  <c r="I226" i="85" s="1"/>
  <c r="G226" i="85"/>
  <c r="F227" i="85"/>
  <c r="E227" i="85"/>
  <c r="I210" i="84"/>
  <c r="J210" i="84" s="1"/>
  <c r="H210" i="84"/>
  <c r="E210" i="84"/>
  <c r="F226" i="83"/>
  <c r="E226" i="83"/>
  <c r="H225" i="83"/>
  <c r="I225" i="83" s="1"/>
  <c r="G225" i="83"/>
  <c r="F212" i="81"/>
  <c r="G213" i="81" s="1"/>
  <c r="E158" i="42"/>
  <c r="F159" i="42"/>
  <c r="G159" i="42" s="1"/>
  <c r="C159" i="42"/>
  <c r="D159" i="42" s="1"/>
  <c r="D165" i="89" l="1"/>
  <c r="E165" i="89" s="1"/>
  <c r="C165" i="89"/>
  <c r="F216" i="87"/>
  <c r="G217" i="87" s="1"/>
  <c r="G216" i="87"/>
  <c r="H227" i="85"/>
  <c r="I227" i="85" s="1"/>
  <c r="G227" i="85"/>
  <c r="F228" i="85"/>
  <c r="E228" i="85"/>
  <c r="F210" i="84"/>
  <c r="G211" i="84" s="1"/>
  <c r="F227" i="83"/>
  <c r="E227" i="83"/>
  <c r="H226" i="83"/>
  <c r="I226" i="83" s="1"/>
  <c r="G226" i="83"/>
  <c r="I213" i="81"/>
  <c r="J213" i="81" s="1"/>
  <c r="H213" i="81"/>
  <c r="E213" i="81"/>
  <c r="E159" i="42"/>
  <c r="F160" i="42"/>
  <c r="G160" i="42" s="1"/>
  <c r="C160" i="42"/>
  <c r="D160" i="42" s="1"/>
  <c r="D166" i="89" l="1"/>
  <c r="E166" i="89" s="1"/>
  <c r="C166" i="89"/>
  <c r="E217" i="87"/>
  <c r="I216" i="87"/>
  <c r="J216" i="87" s="1"/>
  <c r="H216" i="87"/>
  <c r="F217" i="87"/>
  <c r="G218" i="87" s="1"/>
  <c r="I217" i="87"/>
  <c r="J217" i="87" s="1"/>
  <c r="H217" i="87"/>
  <c r="H228" i="85"/>
  <c r="I228" i="85" s="1"/>
  <c r="G228" i="85"/>
  <c r="F229" i="85"/>
  <c r="E229" i="85"/>
  <c r="E211" i="84"/>
  <c r="F211" i="84" s="1"/>
  <c r="E212" i="84" s="1"/>
  <c r="I211" i="84"/>
  <c r="J211" i="84" s="1"/>
  <c r="H211" i="84"/>
  <c r="F228" i="83"/>
  <c r="E228" i="83"/>
  <c r="H227" i="83"/>
  <c r="I227" i="83" s="1"/>
  <c r="G227" i="83"/>
  <c r="F213" i="81"/>
  <c r="G214" i="81" s="1"/>
  <c r="E160" i="42"/>
  <c r="F161" i="42"/>
  <c r="G161" i="42" s="1"/>
  <c r="C161" i="42"/>
  <c r="D161" i="42" s="1"/>
  <c r="C167" i="89" l="1"/>
  <c r="D167" i="89"/>
  <c r="E167" i="89" s="1"/>
  <c r="E218" i="87"/>
  <c r="F218" i="87" s="1"/>
  <c r="E219" i="87" s="1"/>
  <c r="I218" i="87"/>
  <c r="J218" i="87" s="1"/>
  <c r="H218" i="87"/>
  <c r="E230" i="85"/>
  <c r="F230" i="85"/>
  <c r="H229" i="85"/>
  <c r="I229" i="85" s="1"/>
  <c r="G229" i="85"/>
  <c r="F212" i="84"/>
  <c r="G213" i="84" s="1"/>
  <c r="G212" i="84"/>
  <c r="F229" i="83"/>
  <c r="E229" i="83"/>
  <c r="H228" i="83"/>
  <c r="I228" i="83" s="1"/>
  <c r="G228" i="83"/>
  <c r="I214" i="81"/>
  <c r="J214" i="81" s="1"/>
  <c r="H214" i="81"/>
  <c r="E214" i="81"/>
  <c r="E161" i="42"/>
  <c r="F162" i="42"/>
  <c r="G162" i="42" s="1"/>
  <c r="C162" i="42"/>
  <c r="D162" i="42" s="1"/>
  <c r="D168" i="89" l="1"/>
  <c r="E168" i="89" s="1"/>
  <c r="C168" i="89"/>
  <c r="G219" i="87"/>
  <c r="I219" i="87"/>
  <c r="J219" i="87" s="1"/>
  <c r="H219" i="87"/>
  <c r="F219" i="87"/>
  <c r="G220" i="87" s="1"/>
  <c r="H230" i="85"/>
  <c r="I230" i="85" s="1"/>
  <c r="G230" i="85"/>
  <c r="F231" i="85"/>
  <c r="E231" i="85"/>
  <c r="I213" i="84"/>
  <c r="J213" i="84" s="1"/>
  <c r="H213" i="84"/>
  <c r="I212" i="84"/>
  <c r="J212" i="84" s="1"/>
  <c r="H212" i="84"/>
  <c r="E213" i="84"/>
  <c r="F230" i="83"/>
  <c r="E230" i="83"/>
  <c r="H229" i="83"/>
  <c r="I229" i="83" s="1"/>
  <c r="G229" i="83"/>
  <c r="F214" i="81"/>
  <c r="G215" i="81" s="1"/>
  <c r="E162" i="42"/>
  <c r="F163" i="42"/>
  <c r="G163" i="42" s="1"/>
  <c r="C163" i="42"/>
  <c r="E163" i="42" s="1"/>
  <c r="D169" i="89" l="1"/>
  <c r="E169" i="89" s="1"/>
  <c r="C169" i="89"/>
  <c r="E220" i="87"/>
  <c r="F220" i="87"/>
  <c r="G221" i="87" s="1"/>
  <c r="I220" i="87"/>
  <c r="J220" i="87" s="1"/>
  <c r="H220" i="87"/>
  <c r="H231" i="85"/>
  <c r="I231" i="85" s="1"/>
  <c r="G231" i="85"/>
  <c r="F232" i="85"/>
  <c r="E232" i="85"/>
  <c r="F213" i="84"/>
  <c r="G214" i="84" s="1"/>
  <c r="F231" i="83"/>
  <c r="E231" i="83"/>
  <c r="H230" i="83"/>
  <c r="I230" i="83" s="1"/>
  <c r="G230" i="83"/>
  <c r="E215" i="81"/>
  <c r="I215" i="81"/>
  <c r="J215" i="81" s="1"/>
  <c r="H215" i="81"/>
  <c r="F215" i="81"/>
  <c r="G216" i="81" s="1"/>
  <c r="D163" i="42"/>
  <c r="D170" i="89" l="1"/>
  <c r="E170" i="89" s="1"/>
  <c r="C170" i="89"/>
  <c r="E221" i="87"/>
  <c r="I221" i="87"/>
  <c r="J221" i="87" s="1"/>
  <c r="H221" i="87"/>
  <c r="F221" i="87"/>
  <c r="G222" i="87" s="1"/>
  <c r="H232" i="85"/>
  <c r="I232" i="85" s="1"/>
  <c r="G232" i="85"/>
  <c r="F233" i="85"/>
  <c r="E233" i="85"/>
  <c r="I214" i="84"/>
  <c r="J214" i="84" s="1"/>
  <c r="H214" i="84"/>
  <c r="E214" i="84"/>
  <c r="F232" i="83"/>
  <c r="E232" i="83"/>
  <c r="H231" i="83"/>
  <c r="I231" i="83" s="1"/>
  <c r="G231" i="83"/>
  <c r="E216" i="81"/>
  <c r="I216" i="81"/>
  <c r="J216" i="81" s="1"/>
  <c r="H216" i="81"/>
  <c r="F216" i="81"/>
  <c r="G217" i="81" s="1"/>
  <c r="F164" i="42"/>
  <c r="G164" i="42" s="1"/>
  <c r="C164" i="42"/>
  <c r="D171" i="89" l="1"/>
  <c r="E171" i="89" s="1"/>
  <c r="C171" i="89"/>
  <c r="E222" i="87"/>
  <c r="I222" i="87"/>
  <c r="J222" i="87" s="1"/>
  <c r="H222" i="87"/>
  <c r="F222" i="87"/>
  <c r="G223" i="87" s="1"/>
  <c r="H233" i="85"/>
  <c r="I233" i="85" s="1"/>
  <c r="G233" i="85"/>
  <c r="F234" i="85"/>
  <c r="E234" i="85"/>
  <c r="F214" i="84"/>
  <c r="G215" i="84" s="1"/>
  <c r="F233" i="83"/>
  <c r="E233" i="83"/>
  <c r="H232" i="83"/>
  <c r="I232" i="83" s="1"/>
  <c r="G232" i="83"/>
  <c r="E217" i="81"/>
  <c r="I217" i="81"/>
  <c r="J217" i="81" s="1"/>
  <c r="H217" i="81"/>
  <c r="F217" i="81"/>
  <c r="G218" i="81" s="1"/>
  <c r="D164" i="42"/>
  <c r="F165" i="42" s="1"/>
  <c r="G165" i="42" s="1"/>
  <c r="E164" i="42"/>
  <c r="D172" i="89" l="1"/>
  <c r="E172" i="89" s="1"/>
  <c r="C172" i="89"/>
  <c r="E223" i="87"/>
  <c r="I223" i="87"/>
  <c r="J223" i="87" s="1"/>
  <c r="H223" i="87"/>
  <c r="F223" i="87"/>
  <c r="G224" i="87" s="1"/>
  <c r="H234" i="85"/>
  <c r="I234" i="85" s="1"/>
  <c r="G234" i="85"/>
  <c r="F235" i="85"/>
  <c r="E235" i="85"/>
  <c r="E215" i="84"/>
  <c r="I215" i="84"/>
  <c r="J215" i="84" s="1"/>
  <c r="H215" i="84"/>
  <c r="F215" i="84"/>
  <c r="G216" i="84" s="1"/>
  <c r="F234" i="83"/>
  <c r="E234" i="83"/>
  <c r="H233" i="83"/>
  <c r="I233" i="83" s="1"/>
  <c r="G233" i="83"/>
  <c r="E218" i="81"/>
  <c r="F218" i="81" s="1"/>
  <c r="G219" i="81" s="1"/>
  <c r="I218" i="81"/>
  <c r="J218" i="81" s="1"/>
  <c r="H218" i="81"/>
  <c r="C165" i="42"/>
  <c r="C173" i="89" l="1"/>
  <c r="D173" i="89"/>
  <c r="E173" i="89" s="1"/>
  <c r="E224" i="87"/>
  <c r="I224" i="87"/>
  <c r="J224" i="87" s="1"/>
  <c r="H224" i="87"/>
  <c r="F224" i="87"/>
  <c r="E225" i="87" s="1"/>
  <c r="H235" i="85"/>
  <c r="I235" i="85" s="1"/>
  <c r="G235" i="85"/>
  <c r="F236" i="85"/>
  <c r="E236" i="85"/>
  <c r="I216" i="84"/>
  <c r="J216" i="84" s="1"/>
  <c r="H216" i="84"/>
  <c r="E216" i="84"/>
  <c r="F235" i="83"/>
  <c r="E235" i="83"/>
  <c r="H234" i="83"/>
  <c r="I234" i="83" s="1"/>
  <c r="G234" i="83"/>
  <c r="E219" i="81"/>
  <c r="I219" i="81"/>
  <c r="J219" i="81" s="1"/>
  <c r="H219" i="81"/>
  <c r="F219" i="81"/>
  <c r="G220" i="81" s="1"/>
  <c r="E165" i="42"/>
  <c r="D165" i="42"/>
  <c r="F166" i="42" s="1"/>
  <c r="G166" i="42" s="1"/>
  <c r="D174" i="89" l="1"/>
  <c r="E174" i="89" s="1"/>
  <c r="C174" i="89"/>
  <c r="F225" i="87"/>
  <c r="G226" i="87" s="1"/>
  <c r="G225" i="87"/>
  <c r="H236" i="85"/>
  <c r="I236" i="85" s="1"/>
  <c r="G236" i="85"/>
  <c r="F237" i="85"/>
  <c r="E237" i="85"/>
  <c r="F216" i="84"/>
  <c r="G217" i="84" s="1"/>
  <c r="F236" i="83"/>
  <c r="E236" i="83"/>
  <c r="H235" i="83"/>
  <c r="I235" i="83" s="1"/>
  <c r="G235" i="83"/>
  <c r="E220" i="81"/>
  <c r="F220" i="81" s="1"/>
  <c r="G221" i="81" s="1"/>
  <c r="I220" i="81"/>
  <c r="J220" i="81" s="1"/>
  <c r="H220" i="81"/>
  <c r="C166" i="42"/>
  <c r="D175" i="89" l="1"/>
  <c r="E175" i="89" s="1"/>
  <c r="C175" i="89"/>
  <c r="E226" i="87"/>
  <c r="I226" i="87"/>
  <c r="J226" i="87" s="1"/>
  <c r="H226" i="87"/>
  <c r="F226" i="87"/>
  <c r="G227" i="87" s="1"/>
  <c r="I225" i="87"/>
  <c r="J225" i="87" s="1"/>
  <c r="H225" i="87"/>
  <c r="H237" i="85"/>
  <c r="I237" i="85" s="1"/>
  <c r="G237" i="85"/>
  <c r="F238" i="85"/>
  <c r="E238" i="85"/>
  <c r="E217" i="84"/>
  <c r="F217" i="84" s="1"/>
  <c r="G218" i="84" s="1"/>
  <c r="I217" i="84"/>
  <c r="J217" i="84" s="1"/>
  <c r="H217" i="84"/>
  <c r="F237" i="83"/>
  <c r="E237" i="83"/>
  <c r="H236" i="83"/>
  <c r="I236" i="83" s="1"/>
  <c r="G236" i="83"/>
  <c r="E221" i="81"/>
  <c r="I221" i="81"/>
  <c r="J221" i="81" s="1"/>
  <c r="H221" i="81"/>
  <c r="F221" i="81"/>
  <c r="E222" i="81" s="1"/>
  <c r="D166" i="42"/>
  <c r="F167" i="42" s="1"/>
  <c r="G167" i="42" s="1"/>
  <c r="E166" i="42"/>
  <c r="C167" i="42"/>
  <c r="D176" i="89" l="1"/>
  <c r="E176" i="89" s="1"/>
  <c r="C176" i="89"/>
  <c r="E227" i="87"/>
  <c r="I227" i="87"/>
  <c r="J227" i="87" s="1"/>
  <c r="H227" i="87"/>
  <c r="F227" i="87"/>
  <c r="G228" i="87" s="1"/>
  <c r="F239" i="85"/>
  <c r="E239" i="85"/>
  <c r="H238" i="85"/>
  <c r="I238" i="85" s="1"/>
  <c r="G238" i="85"/>
  <c r="I218" i="84"/>
  <c r="J218" i="84" s="1"/>
  <c r="H218" i="84"/>
  <c r="E218" i="84"/>
  <c r="F238" i="83"/>
  <c r="E238" i="83"/>
  <c r="H237" i="83"/>
  <c r="I237" i="83" s="1"/>
  <c r="G237" i="83"/>
  <c r="F222" i="81"/>
  <c r="G223" i="81" s="1"/>
  <c r="G222" i="81"/>
  <c r="E167" i="42"/>
  <c r="D167" i="42"/>
  <c r="F168" i="42" s="1"/>
  <c r="G168" i="42" s="1"/>
  <c r="D177" i="89" l="1"/>
  <c r="E177" i="89" s="1"/>
  <c r="C177" i="89"/>
  <c r="E228" i="87"/>
  <c r="F228" i="87" s="1"/>
  <c r="I228" i="87"/>
  <c r="J228" i="87" s="1"/>
  <c r="H228" i="87"/>
  <c r="F240" i="85"/>
  <c r="E240" i="85"/>
  <c r="H239" i="85"/>
  <c r="I239" i="85" s="1"/>
  <c r="G239" i="85"/>
  <c r="F218" i="84"/>
  <c r="G219" i="84" s="1"/>
  <c r="F239" i="83"/>
  <c r="E239" i="83"/>
  <c r="H238" i="83"/>
  <c r="I238" i="83" s="1"/>
  <c r="G238" i="83"/>
  <c r="E223" i="81"/>
  <c r="I222" i="81"/>
  <c r="J222" i="81" s="1"/>
  <c r="H222" i="81"/>
  <c r="F223" i="81"/>
  <c r="G224" i="81" s="1"/>
  <c r="I223" i="81"/>
  <c r="J223" i="81" s="1"/>
  <c r="H223" i="81"/>
  <c r="C168" i="42"/>
  <c r="D168" i="42" s="1"/>
  <c r="D178" i="89" l="1"/>
  <c r="E178" i="89" s="1"/>
  <c r="C178" i="89"/>
  <c r="G229" i="87"/>
  <c r="E229" i="87"/>
  <c r="F229" i="87" s="1"/>
  <c r="G230" i="87" s="1"/>
  <c r="I229" i="87"/>
  <c r="J229" i="87" s="1"/>
  <c r="H229" i="87"/>
  <c r="F241" i="85"/>
  <c r="E241" i="85"/>
  <c r="H240" i="85"/>
  <c r="I240" i="85" s="1"/>
  <c r="G240" i="85"/>
  <c r="E219" i="84"/>
  <c r="F219" i="84" s="1"/>
  <c r="G220" i="84" s="1"/>
  <c r="I219" i="84"/>
  <c r="J219" i="84" s="1"/>
  <c r="H219" i="84"/>
  <c r="F240" i="83"/>
  <c r="E240" i="83"/>
  <c r="H239" i="83"/>
  <c r="I239" i="83" s="1"/>
  <c r="G239" i="83"/>
  <c r="E224" i="81"/>
  <c r="I224" i="81"/>
  <c r="J224" i="81" s="1"/>
  <c r="H224" i="81"/>
  <c r="F224" i="81"/>
  <c r="E225" i="81" s="1"/>
  <c r="E168" i="42"/>
  <c r="F169" i="42"/>
  <c r="G169" i="42" s="1"/>
  <c r="C169" i="42"/>
  <c r="E169" i="42" s="1"/>
  <c r="C179" i="89" l="1"/>
  <c r="D179" i="89"/>
  <c r="E179" i="89" s="1"/>
  <c r="E230" i="87"/>
  <c r="F230" i="87" s="1"/>
  <c r="G231" i="87" s="1"/>
  <c r="I230" i="87"/>
  <c r="J230" i="87" s="1"/>
  <c r="H230" i="87"/>
  <c r="E242" i="85"/>
  <c r="F242" i="85"/>
  <c r="H241" i="85"/>
  <c r="I241" i="85" s="1"/>
  <c r="G241" i="85"/>
  <c r="I220" i="84"/>
  <c r="J220" i="84" s="1"/>
  <c r="H220" i="84"/>
  <c r="E220" i="84"/>
  <c r="F241" i="83"/>
  <c r="E241" i="83"/>
  <c r="H240" i="83"/>
  <c r="I240" i="83" s="1"/>
  <c r="G240" i="83"/>
  <c r="F225" i="81"/>
  <c r="G226" i="81" s="1"/>
  <c r="G225" i="81"/>
  <c r="D169" i="42"/>
  <c r="F170" i="42" s="1"/>
  <c r="G170" i="42" s="1"/>
  <c r="D180" i="89" l="1"/>
  <c r="E180" i="89" s="1"/>
  <c r="C180" i="89"/>
  <c r="E231" i="87"/>
  <c r="I231" i="87"/>
  <c r="J231" i="87" s="1"/>
  <c r="H231" i="87"/>
  <c r="F231" i="87"/>
  <c r="G232" i="87" s="1"/>
  <c r="G242" i="85"/>
  <c r="H242" i="85"/>
  <c r="I242" i="85" s="1"/>
  <c r="F243" i="85"/>
  <c r="E243" i="85"/>
  <c r="F220" i="84"/>
  <c r="G221" i="84" s="1"/>
  <c r="F242" i="83"/>
  <c r="E242" i="83"/>
  <c r="H241" i="83"/>
  <c r="I241" i="83" s="1"/>
  <c r="G241" i="83"/>
  <c r="E226" i="81"/>
  <c r="I226" i="81"/>
  <c r="J226" i="81" s="1"/>
  <c r="H226" i="81"/>
  <c r="F226" i="81"/>
  <c r="G227" i="81" s="1"/>
  <c r="I225" i="81"/>
  <c r="J225" i="81" s="1"/>
  <c r="H225" i="81"/>
  <c r="C170" i="42"/>
  <c r="D170" i="42" s="1"/>
  <c r="F171" i="42" s="1"/>
  <c r="G171" i="42" s="1"/>
  <c r="E170" i="42"/>
  <c r="C171" i="42"/>
  <c r="D171" i="42" s="1"/>
  <c r="F172" i="42" s="1"/>
  <c r="G172" i="42" s="1"/>
  <c r="D181" i="89" l="1"/>
  <c r="E181" i="89" s="1"/>
  <c r="C181" i="89"/>
  <c r="E232" i="87"/>
  <c r="F232" i="87"/>
  <c r="G233" i="87" s="1"/>
  <c r="I232" i="87"/>
  <c r="J232" i="87" s="1"/>
  <c r="H232" i="87"/>
  <c r="H243" i="85"/>
  <c r="I243" i="85" s="1"/>
  <c r="G243" i="85"/>
  <c r="F244" i="85"/>
  <c r="E244" i="85"/>
  <c r="I221" i="84"/>
  <c r="J221" i="84" s="1"/>
  <c r="H221" i="84"/>
  <c r="E221" i="84"/>
  <c r="F243" i="83"/>
  <c r="E243" i="83"/>
  <c r="H242" i="83"/>
  <c r="I242" i="83" s="1"/>
  <c r="G242" i="83"/>
  <c r="E227" i="81"/>
  <c r="I227" i="81"/>
  <c r="J227" i="81" s="1"/>
  <c r="H227" i="81"/>
  <c r="F227" i="81"/>
  <c r="E228" i="81" s="1"/>
  <c r="E171" i="42"/>
  <c r="C172" i="42"/>
  <c r="D172" i="42" s="1"/>
  <c r="D182" i="89" l="1"/>
  <c r="E182" i="89" s="1"/>
  <c r="C182" i="89"/>
  <c r="E233" i="87"/>
  <c r="F233" i="87" s="1"/>
  <c r="I233" i="87"/>
  <c r="J233" i="87" s="1"/>
  <c r="H233" i="87"/>
  <c r="H244" i="85"/>
  <c r="I244" i="85" s="1"/>
  <c r="G244" i="85"/>
  <c r="F245" i="85"/>
  <c r="E245" i="85"/>
  <c r="F221" i="84"/>
  <c r="G222" i="84" s="1"/>
  <c r="F244" i="83"/>
  <c r="E244" i="83"/>
  <c r="H243" i="83"/>
  <c r="I243" i="83" s="1"/>
  <c r="G243" i="83"/>
  <c r="F228" i="81"/>
  <c r="G229" i="81" s="1"/>
  <c r="G228" i="81"/>
  <c r="E172" i="42"/>
  <c r="C173" i="42"/>
  <c r="D173" i="42" s="1"/>
  <c r="F173" i="42"/>
  <c r="G173" i="42" s="1"/>
  <c r="D183" i="89" l="1"/>
  <c r="E183" i="89" s="1"/>
  <c r="C183" i="89"/>
  <c r="G234" i="87"/>
  <c r="E234" i="87"/>
  <c r="F234" i="87" s="1"/>
  <c r="G235" i="87" s="1"/>
  <c r="I234" i="87"/>
  <c r="J234" i="87" s="1"/>
  <c r="H234" i="87"/>
  <c r="F246" i="85"/>
  <c r="E246" i="85"/>
  <c r="H245" i="85"/>
  <c r="I245" i="85" s="1"/>
  <c r="G245" i="85"/>
  <c r="I222" i="84"/>
  <c r="J222" i="84" s="1"/>
  <c r="H222" i="84"/>
  <c r="E222" i="84"/>
  <c r="F245" i="83"/>
  <c r="E245" i="83"/>
  <c r="H244" i="83"/>
  <c r="I244" i="83" s="1"/>
  <c r="G244" i="83"/>
  <c r="E229" i="81"/>
  <c r="I228" i="81"/>
  <c r="J228" i="81" s="1"/>
  <c r="H228" i="81"/>
  <c r="I229" i="81"/>
  <c r="J229" i="81" s="1"/>
  <c r="H229" i="81"/>
  <c r="F229" i="81"/>
  <c r="G230" i="81" s="1"/>
  <c r="E173" i="42"/>
  <c r="C174" i="42"/>
  <c r="D174" i="42" s="1"/>
  <c r="F174" i="42"/>
  <c r="G174" i="42" s="1"/>
  <c r="D184" i="89" l="1"/>
  <c r="E184" i="89" s="1"/>
  <c r="C184" i="89"/>
  <c r="E235" i="87"/>
  <c r="F235" i="87" s="1"/>
  <c r="G236" i="87" s="1"/>
  <c r="I235" i="87"/>
  <c r="J235" i="87" s="1"/>
  <c r="H235" i="87"/>
  <c r="F247" i="85"/>
  <c r="E247" i="85"/>
  <c r="H246" i="85"/>
  <c r="I246" i="85" s="1"/>
  <c r="G246" i="85"/>
  <c r="F222" i="84"/>
  <c r="G223" i="84" s="1"/>
  <c r="F246" i="83"/>
  <c r="E246" i="83"/>
  <c r="H245" i="83"/>
  <c r="I245" i="83" s="1"/>
  <c r="G245" i="83"/>
  <c r="E230" i="81"/>
  <c r="I230" i="81"/>
  <c r="J230" i="81" s="1"/>
  <c r="H230" i="81"/>
  <c r="F230" i="81"/>
  <c r="G231" i="81" s="1"/>
  <c r="E174" i="42"/>
  <c r="C175" i="42"/>
  <c r="D175" i="42" s="1"/>
  <c r="F175" i="42"/>
  <c r="G175" i="42" s="1"/>
  <c r="C185" i="89" l="1"/>
  <c r="D185" i="89"/>
  <c r="E185" i="89" s="1"/>
  <c r="E236" i="87"/>
  <c r="I236" i="87"/>
  <c r="J236" i="87" s="1"/>
  <c r="H236" i="87"/>
  <c r="F236" i="87"/>
  <c r="G237" i="87" s="1"/>
  <c r="F248" i="85"/>
  <c r="E248" i="85"/>
  <c r="H247" i="85"/>
  <c r="I247" i="85" s="1"/>
  <c r="G247" i="85"/>
  <c r="I223" i="84"/>
  <c r="J223" i="84" s="1"/>
  <c r="H223" i="84"/>
  <c r="E223" i="84"/>
  <c r="F247" i="83"/>
  <c r="E247" i="83"/>
  <c r="H246" i="83"/>
  <c r="I246" i="83" s="1"/>
  <c r="G246" i="83"/>
  <c r="E231" i="81"/>
  <c r="F231" i="81" s="1"/>
  <c r="G232" i="81" s="1"/>
  <c r="I231" i="81"/>
  <c r="J231" i="81" s="1"/>
  <c r="H231" i="81"/>
  <c r="E175" i="42"/>
  <c r="F176" i="42"/>
  <c r="G176" i="42" s="1"/>
  <c r="C176" i="42"/>
  <c r="D176" i="42" s="1"/>
  <c r="D186" i="89" l="1"/>
  <c r="E186" i="89" s="1"/>
  <c r="C186" i="89"/>
  <c r="E237" i="87"/>
  <c r="F237" i="87" s="1"/>
  <c r="G238" i="87" s="1"/>
  <c r="I237" i="87"/>
  <c r="J237" i="87" s="1"/>
  <c r="H237" i="87"/>
  <c r="F249" i="85"/>
  <c r="E249" i="85"/>
  <c r="H248" i="85"/>
  <c r="I248" i="85" s="1"/>
  <c r="G248" i="85"/>
  <c r="F223" i="84"/>
  <c r="G224" i="84" s="1"/>
  <c r="F248" i="83"/>
  <c r="E248" i="83"/>
  <c r="H247" i="83"/>
  <c r="I247" i="83" s="1"/>
  <c r="G247" i="83"/>
  <c r="E232" i="81"/>
  <c r="I232" i="81"/>
  <c r="J232" i="81" s="1"/>
  <c r="H232" i="81"/>
  <c r="F232" i="81"/>
  <c r="G233" i="81" s="1"/>
  <c r="E176" i="42"/>
  <c r="F177" i="42"/>
  <c r="G177" i="42" s="1"/>
  <c r="C177" i="42"/>
  <c r="D177" i="42" s="1"/>
  <c r="D187" i="89" l="1"/>
  <c r="E187" i="89" s="1"/>
  <c r="C187" i="89"/>
  <c r="E238" i="87"/>
  <c r="I238" i="87"/>
  <c r="J238" i="87" s="1"/>
  <c r="H238" i="87"/>
  <c r="F238" i="87"/>
  <c r="E239" i="87" s="1"/>
  <c r="F250" i="85"/>
  <c r="E250" i="85"/>
  <c r="H249" i="85"/>
  <c r="I249" i="85" s="1"/>
  <c r="G249" i="85"/>
  <c r="E224" i="84"/>
  <c r="F224" i="84" s="1"/>
  <c r="G225" i="84" s="1"/>
  <c r="I224" i="84"/>
  <c r="J224" i="84" s="1"/>
  <c r="H224" i="84"/>
  <c r="F249" i="83"/>
  <c r="E249" i="83"/>
  <c r="H248" i="83"/>
  <c r="I248" i="83" s="1"/>
  <c r="G248" i="83"/>
  <c r="E233" i="81"/>
  <c r="I233" i="81"/>
  <c r="J233" i="81" s="1"/>
  <c r="H233" i="81"/>
  <c r="F233" i="81"/>
  <c r="G234" i="81" s="1"/>
  <c r="E177" i="42"/>
  <c r="F178" i="42"/>
  <c r="G178" i="42" s="1"/>
  <c r="C178" i="42"/>
  <c r="E178" i="42" s="1"/>
  <c r="D188" i="89" l="1"/>
  <c r="E188" i="89" s="1"/>
  <c r="C188" i="89"/>
  <c r="F239" i="87"/>
  <c r="G240" i="87" s="1"/>
  <c r="E240" i="87"/>
  <c r="G239" i="87"/>
  <c r="F251" i="85"/>
  <c r="E251" i="85"/>
  <c r="H250" i="85"/>
  <c r="I250" i="85" s="1"/>
  <c r="G250" i="85"/>
  <c r="E225" i="84"/>
  <c r="F225" i="84" s="1"/>
  <c r="G226" i="84" s="1"/>
  <c r="I225" i="84"/>
  <c r="J225" i="84" s="1"/>
  <c r="H225" i="84"/>
  <c r="F250" i="83"/>
  <c r="E250" i="83"/>
  <c r="H249" i="83"/>
  <c r="I249" i="83" s="1"/>
  <c r="G249" i="83"/>
  <c r="E234" i="81"/>
  <c r="I234" i="81"/>
  <c r="J234" i="81" s="1"/>
  <c r="H234" i="81"/>
  <c r="F234" i="81"/>
  <c r="G235" i="81" s="1"/>
  <c r="D178" i="42"/>
  <c r="F179" i="42" s="1"/>
  <c r="G179" i="42" s="1"/>
  <c r="D189" i="89" l="1"/>
  <c r="E189" i="89" s="1"/>
  <c r="C189" i="89"/>
  <c r="F240" i="87"/>
  <c r="G241" i="87" s="1"/>
  <c r="E241" i="87"/>
  <c r="I240" i="87"/>
  <c r="J240" i="87" s="1"/>
  <c r="H240" i="87"/>
  <c r="I239" i="87"/>
  <c r="J239" i="87" s="1"/>
  <c r="H239" i="87"/>
  <c r="F252" i="85"/>
  <c r="E252" i="85"/>
  <c r="H251" i="85"/>
  <c r="I251" i="85" s="1"/>
  <c r="G251" i="85"/>
  <c r="E226" i="84"/>
  <c r="F226" i="84" s="1"/>
  <c r="G227" i="84" s="1"/>
  <c r="I226" i="84"/>
  <c r="J226" i="84" s="1"/>
  <c r="H226" i="84"/>
  <c r="F251" i="83"/>
  <c r="E251" i="83"/>
  <c r="H250" i="83"/>
  <c r="I250" i="83" s="1"/>
  <c r="G250" i="83"/>
  <c r="E235" i="81"/>
  <c r="F235" i="81" s="1"/>
  <c r="E236" i="81" s="1"/>
  <c r="I235" i="81"/>
  <c r="J235" i="81" s="1"/>
  <c r="H235" i="81"/>
  <c r="C179" i="42"/>
  <c r="E179" i="42"/>
  <c r="D179" i="42"/>
  <c r="F180" i="42" s="1"/>
  <c r="G180" i="42" s="1"/>
  <c r="D190" i="89" l="1"/>
  <c r="E190" i="89" s="1"/>
  <c r="C190" i="89"/>
  <c r="F241" i="87"/>
  <c r="G242" i="87" s="1"/>
  <c r="I241" i="87"/>
  <c r="J241" i="87" s="1"/>
  <c r="H241" i="87"/>
  <c r="F253" i="85"/>
  <c r="E253" i="85"/>
  <c r="H252" i="85"/>
  <c r="I252" i="85" s="1"/>
  <c r="G252" i="85"/>
  <c r="I227" i="84"/>
  <c r="J227" i="84" s="1"/>
  <c r="H227" i="84"/>
  <c r="E227" i="84"/>
  <c r="F252" i="83"/>
  <c r="E252" i="83"/>
  <c r="H251" i="83"/>
  <c r="I251" i="83" s="1"/>
  <c r="G251" i="83"/>
  <c r="F236" i="81"/>
  <c r="G237" i="81" s="1"/>
  <c r="G236" i="81"/>
  <c r="C180" i="42"/>
  <c r="C191" i="89" l="1"/>
  <c r="D191" i="89"/>
  <c r="E191" i="89" s="1"/>
  <c r="E242" i="87"/>
  <c r="I242" i="87"/>
  <c r="J242" i="87" s="1"/>
  <c r="H242" i="87"/>
  <c r="F242" i="87"/>
  <c r="G243" i="87" s="1"/>
  <c r="E254" i="85"/>
  <c r="F254" i="85"/>
  <c r="H253" i="85"/>
  <c r="I253" i="85" s="1"/>
  <c r="G253" i="85"/>
  <c r="F227" i="84"/>
  <c r="G228" i="84" s="1"/>
  <c r="F253" i="83"/>
  <c r="E253" i="83"/>
  <c r="H252" i="83"/>
  <c r="I252" i="83" s="1"/>
  <c r="G252" i="83"/>
  <c r="E237" i="81"/>
  <c r="I237" i="81"/>
  <c r="J237" i="81" s="1"/>
  <c r="H237" i="81"/>
  <c r="F237" i="81"/>
  <c r="G238" i="81" s="1"/>
  <c r="I236" i="81"/>
  <c r="J236" i="81" s="1"/>
  <c r="H236" i="81"/>
  <c r="D180" i="42"/>
  <c r="F181" i="42" s="1"/>
  <c r="G181" i="42" s="1"/>
  <c r="E180" i="42"/>
  <c r="D192" i="89" l="1"/>
  <c r="E192" i="89" s="1"/>
  <c r="C192" i="89"/>
  <c r="E243" i="87"/>
  <c r="F243" i="87" s="1"/>
  <c r="G244" i="87" s="1"/>
  <c r="I243" i="87"/>
  <c r="J243" i="87" s="1"/>
  <c r="H243" i="87"/>
  <c r="G254" i="85"/>
  <c r="H254" i="85"/>
  <c r="I254" i="85" s="1"/>
  <c r="F255" i="85"/>
  <c r="E255" i="85"/>
  <c r="I228" i="84"/>
  <c r="J228" i="84" s="1"/>
  <c r="H228" i="84"/>
  <c r="E228" i="84"/>
  <c r="F254" i="83"/>
  <c r="E254" i="83"/>
  <c r="H253" i="83"/>
  <c r="I253" i="83" s="1"/>
  <c r="G253" i="83"/>
  <c r="E238" i="81"/>
  <c r="F238" i="81" s="1"/>
  <c r="G239" i="81" s="1"/>
  <c r="I238" i="81"/>
  <c r="J238" i="81" s="1"/>
  <c r="H238" i="81"/>
  <c r="C181" i="42"/>
  <c r="E181" i="42" s="1"/>
  <c r="D193" i="89" l="1"/>
  <c r="E193" i="89" s="1"/>
  <c r="C193" i="89"/>
  <c r="E244" i="87"/>
  <c r="F244" i="87" s="1"/>
  <c r="G245" i="87" s="1"/>
  <c r="I244" i="87"/>
  <c r="J244" i="87" s="1"/>
  <c r="H244" i="87"/>
  <c r="F256" i="85"/>
  <c r="E256" i="85"/>
  <c r="H255" i="85"/>
  <c r="I255" i="85" s="1"/>
  <c r="G255" i="85"/>
  <c r="F228" i="84"/>
  <c r="G229" i="84" s="1"/>
  <c r="F255" i="83"/>
  <c r="E255" i="83"/>
  <c r="H254" i="83"/>
  <c r="I254" i="83" s="1"/>
  <c r="G254" i="83"/>
  <c r="E239" i="81"/>
  <c r="I239" i="81"/>
  <c r="J239" i="81" s="1"/>
  <c r="H239" i="81"/>
  <c r="F239" i="81"/>
  <c r="G240" i="81" s="1"/>
  <c r="D181" i="42"/>
  <c r="F182" i="42" s="1"/>
  <c r="G182" i="42" s="1"/>
  <c r="D194" i="89" l="1"/>
  <c r="E194" i="89" s="1"/>
  <c r="C194" i="89"/>
  <c r="E245" i="87"/>
  <c r="F245" i="87" s="1"/>
  <c r="G246" i="87" s="1"/>
  <c r="I245" i="87"/>
  <c r="J245" i="87" s="1"/>
  <c r="H245" i="87"/>
  <c r="F257" i="85"/>
  <c r="E257" i="85"/>
  <c r="H256" i="85"/>
  <c r="I256" i="85" s="1"/>
  <c r="G256" i="85"/>
  <c r="I229" i="84"/>
  <c r="J229" i="84" s="1"/>
  <c r="H229" i="84"/>
  <c r="E229" i="84"/>
  <c r="F256" i="83"/>
  <c r="E256" i="83"/>
  <c r="H255" i="83"/>
  <c r="I255" i="83" s="1"/>
  <c r="G255" i="83"/>
  <c r="I240" i="81"/>
  <c r="J240" i="81" s="1"/>
  <c r="H240" i="81"/>
  <c r="E240" i="81"/>
  <c r="C182" i="42"/>
  <c r="E182" i="42" s="1"/>
  <c r="D195" i="89" l="1"/>
  <c r="E195" i="89" s="1"/>
  <c r="C195" i="89"/>
  <c r="E246" i="87"/>
  <c r="F246" i="87" s="1"/>
  <c r="G247" i="87" s="1"/>
  <c r="I246" i="87"/>
  <c r="J246" i="87" s="1"/>
  <c r="H246" i="87"/>
  <c r="F258" i="85"/>
  <c r="E258" i="85"/>
  <c r="H257" i="85"/>
  <c r="I257" i="85" s="1"/>
  <c r="G257" i="85"/>
  <c r="F229" i="84"/>
  <c r="G230" i="84" s="1"/>
  <c r="F257" i="83"/>
  <c r="E257" i="83"/>
  <c r="H256" i="83"/>
  <c r="I256" i="83" s="1"/>
  <c r="G256" i="83"/>
  <c r="F240" i="81"/>
  <c r="G241" i="81" s="1"/>
  <c r="D182" i="42"/>
  <c r="F183" i="42" s="1"/>
  <c r="G183" i="42" s="1"/>
  <c r="C183" i="42"/>
  <c r="D183" i="42" s="1"/>
  <c r="C184" i="42" s="1"/>
  <c r="D184" i="42" s="1"/>
  <c r="F185" i="42" s="1"/>
  <c r="G185" i="42" s="1"/>
  <c r="D196" i="89" l="1"/>
  <c r="E196" i="89" s="1"/>
  <c r="C196" i="89"/>
  <c r="E247" i="87"/>
  <c r="F247" i="87" s="1"/>
  <c r="G248" i="87" s="1"/>
  <c r="I247" i="87"/>
  <c r="J247" i="87" s="1"/>
  <c r="H247" i="87"/>
  <c r="F259" i="85"/>
  <c r="E259" i="85"/>
  <c r="H258" i="85"/>
  <c r="I258" i="85" s="1"/>
  <c r="G258" i="85"/>
  <c r="E230" i="84"/>
  <c r="I230" i="84"/>
  <c r="J230" i="84" s="1"/>
  <c r="H230" i="84"/>
  <c r="F230" i="84"/>
  <c r="G231" i="84" s="1"/>
  <c r="F258" i="83"/>
  <c r="E258" i="83"/>
  <c r="H257" i="83"/>
  <c r="I257" i="83" s="1"/>
  <c r="G257" i="83"/>
  <c r="E241" i="81"/>
  <c r="I241" i="81"/>
  <c r="J241" i="81" s="1"/>
  <c r="H241" i="81"/>
  <c r="F241" i="81"/>
  <c r="E242" i="81" s="1"/>
  <c r="E183" i="42"/>
  <c r="F184" i="42"/>
  <c r="G184" i="42" s="1"/>
  <c r="E184" i="42"/>
  <c r="C185" i="42"/>
  <c r="D185" i="42" s="1"/>
  <c r="F186" i="42" s="1"/>
  <c r="G186" i="42" s="1"/>
  <c r="C197" i="89" l="1"/>
  <c r="D197" i="89"/>
  <c r="E197" i="89" s="1"/>
  <c r="E248" i="87"/>
  <c r="F248" i="87" s="1"/>
  <c r="G249" i="87" s="1"/>
  <c r="I248" i="87"/>
  <c r="J248" i="87" s="1"/>
  <c r="H248" i="87"/>
  <c r="F260" i="85"/>
  <c r="E260" i="85"/>
  <c r="H259" i="85"/>
  <c r="I259" i="85" s="1"/>
  <c r="G259" i="85"/>
  <c r="E231" i="84"/>
  <c r="F231" i="84" s="1"/>
  <c r="G232" i="84" s="1"/>
  <c r="I231" i="84"/>
  <c r="J231" i="84" s="1"/>
  <c r="H231" i="84"/>
  <c r="F259" i="83"/>
  <c r="E259" i="83"/>
  <c r="H258" i="83"/>
  <c r="I258" i="83" s="1"/>
  <c r="G258" i="83"/>
  <c r="F242" i="81"/>
  <c r="G243" i="81" s="1"/>
  <c r="G242" i="81"/>
  <c r="E185" i="42"/>
  <c r="C186" i="42"/>
  <c r="D186" i="42" s="1"/>
  <c r="F187" i="42" s="1"/>
  <c r="G187" i="42" s="1"/>
  <c r="D198" i="89" l="1"/>
  <c r="E198" i="89" s="1"/>
  <c r="C198" i="89"/>
  <c r="E249" i="87"/>
  <c r="I249" i="87"/>
  <c r="J249" i="87" s="1"/>
  <c r="H249" i="87"/>
  <c r="F249" i="87"/>
  <c r="E250" i="87" s="1"/>
  <c r="F261" i="85"/>
  <c r="E261" i="85"/>
  <c r="H260" i="85"/>
  <c r="I260" i="85" s="1"/>
  <c r="G260" i="85"/>
  <c r="I232" i="84"/>
  <c r="J232" i="84" s="1"/>
  <c r="H232" i="84"/>
  <c r="E232" i="84"/>
  <c r="F260" i="83"/>
  <c r="E260" i="83"/>
  <c r="H259" i="83"/>
  <c r="I259" i="83" s="1"/>
  <c r="G259" i="83"/>
  <c r="E243" i="81"/>
  <c r="F243" i="81" s="1"/>
  <c r="I243" i="81"/>
  <c r="J243" i="81" s="1"/>
  <c r="H243" i="81"/>
  <c r="I242" i="81"/>
  <c r="J242" i="81" s="1"/>
  <c r="H242" i="81"/>
  <c r="E186" i="42"/>
  <c r="C187" i="42"/>
  <c r="D187" i="42" s="1"/>
  <c r="D199" i="89" l="1"/>
  <c r="E199" i="89" s="1"/>
  <c r="C199" i="89"/>
  <c r="F250" i="87"/>
  <c r="G251" i="87" s="1"/>
  <c r="G250" i="87"/>
  <c r="F262" i="85"/>
  <c r="E262" i="85"/>
  <c r="H261" i="85"/>
  <c r="I261" i="85" s="1"/>
  <c r="G261" i="85"/>
  <c r="F232" i="84"/>
  <c r="G233" i="84" s="1"/>
  <c r="F261" i="83"/>
  <c r="E261" i="83"/>
  <c r="H260" i="83"/>
  <c r="I260" i="83" s="1"/>
  <c r="G260" i="83"/>
  <c r="G244" i="81"/>
  <c r="E244" i="81"/>
  <c r="F244" i="81" s="1"/>
  <c r="G245" i="81" s="1"/>
  <c r="I244" i="81"/>
  <c r="J244" i="81" s="1"/>
  <c r="H244" i="81"/>
  <c r="E187" i="42"/>
  <c r="F188" i="42"/>
  <c r="G188" i="42" s="1"/>
  <c r="C188" i="42"/>
  <c r="D188" i="42" s="1"/>
  <c r="F189" i="42" s="1"/>
  <c r="G189" i="42" s="1"/>
  <c r="B15" i="89"/>
  <c r="B13" i="89"/>
  <c r="D207" i="89" l="1"/>
  <c r="D206" i="89"/>
  <c r="D205" i="89"/>
  <c r="D204" i="89"/>
  <c r="D203" i="89"/>
  <c r="D202" i="89"/>
  <c r="D201" i="89"/>
  <c r="D200" i="89"/>
  <c r="E251" i="87"/>
  <c r="I251" i="87"/>
  <c r="J251" i="87" s="1"/>
  <c r="H251" i="87"/>
  <c r="I250" i="87"/>
  <c r="J250" i="87" s="1"/>
  <c r="H250" i="87"/>
  <c r="F251" i="87"/>
  <c r="G252" i="87" s="1"/>
  <c r="F270" i="85"/>
  <c r="H270" i="85" s="1"/>
  <c r="F269" i="85"/>
  <c r="H269" i="85" s="1"/>
  <c r="F268" i="85"/>
  <c r="H268" i="85" s="1"/>
  <c r="F267" i="85"/>
  <c r="H267" i="85" s="1"/>
  <c r="F266" i="85"/>
  <c r="H266" i="85" s="1"/>
  <c r="F265" i="85"/>
  <c r="H265" i="85" s="1"/>
  <c r="F264" i="85"/>
  <c r="H264" i="85" s="1"/>
  <c r="F263" i="85"/>
  <c r="H263" i="85" s="1"/>
  <c r="H262" i="85"/>
  <c r="I262" i="85" s="1"/>
  <c r="G262" i="85"/>
  <c r="I233" i="84"/>
  <c r="J233" i="84" s="1"/>
  <c r="H233" i="84"/>
  <c r="E233" i="84"/>
  <c r="F262" i="83"/>
  <c r="E262" i="83"/>
  <c r="H261" i="83"/>
  <c r="I261" i="83" s="1"/>
  <c r="G261" i="83"/>
  <c r="E245" i="81"/>
  <c r="I245" i="81"/>
  <c r="J245" i="81" s="1"/>
  <c r="H245" i="81"/>
  <c r="F245" i="81"/>
  <c r="G246" i="81" s="1"/>
  <c r="E188" i="42"/>
  <c r="C189" i="42"/>
  <c r="B14" i="89"/>
  <c r="C13" i="85"/>
  <c r="C15" i="85"/>
  <c r="B15" i="85"/>
  <c r="B13" i="85"/>
  <c r="E252" i="87" l="1"/>
  <c r="I252" i="87"/>
  <c r="J252" i="87" s="1"/>
  <c r="H252" i="87"/>
  <c r="F252" i="87"/>
  <c r="G253" i="87" s="1"/>
  <c r="F233" i="84"/>
  <c r="G234" i="84" s="1"/>
  <c r="F270" i="83"/>
  <c r="H270" i="83" s="1"/>
  <c r="F269" i="83"/>
  <c r="H269" i="83" s="1"/>
  <c r="F268" i="83"/>
  <c r="H268" i="83" s="1"/>
  <c r="F267" i="83"/>
  <c r="H267" i="83" s="1"/>
  <c r="F266" i="83"/>
  <c r="H266" i="83" s="1"/>
  <c r="F265" i="83"/>
  <c r="H265" i="83" s="1"/>
  <c r="F264" i="83"/>
  <c r="H264" i="83" s="1"/>
  <c r="F263" i="83"/>
  <c r="H263" i="83" s="1"/>
  <c r="H262" i="83"/>
  <c r="I262" i="83" s="1"/>
  <c r="G262" i="83"/>
  <c r="E246" i="81"/>
  <c r="I246" i="81"/>
  <c r="J246" i="81" s="1"/>
  <c r="H246" i="81"/>
  <c r="F246" i="81"/>
  <c r="G247" i="81" s="1"/>
  <c r="D189" i="42"/>
  <c r="F190" i="42" s="1"/>
  <c r="G190" i="42" s="1"/>
  <c r="C190" i="42"/>
  <c r="E189" i="42"/>
  <c r="B14" i="85"/>
  <c r="C14" i="85"/>
  <c r="C14" i="83"/>
  <c r="B14" i="83"/>
  <c r="E253" i="87" l="1"/>
  <c r="I253" i="87"/>
  <c r="J253" i="87" s="1"/>
  <c r="H253" i="87"/>
  <c r="F253" i="87"/>
  <c r="G254" i="87" s="1"/>
  <c r="I234" i="84"/>
  <c r="J234" i="84" s="1"/>
  <c r="H234" i="84"/>
  <c r="E234" i="84"/>
  <c r="E247" i="81"/>
  <c r="F247" i="81" s="1"/>
  <c r="G248" i="81" s="1"/>
  <c r="I247" i="81"/>
  <c r="J247" i="81" s="1"/>
  <c r="H247" i="81"/>
  <c r="D190" i="42"/>
  <c r="F191" i="42" s="1"/>
  <c r="G191" i="42" s="1"/>
  <c r="E190" i="42"/>
  <c r="E254" i="87" l="1"/>
  <c r="F254" i="87" s="1"/>
  <c r="G255" i="87" s="1"/>
  <c r="I254" i="87"/>
  <c r="J254" i="87" s="1"/>
  <c r="H254" i="87"/>
  <c r="F234" i="84"/>
  <c r="G235" i="84" s="1"/>
  <c r="I248" i="81"/>
  <c r="J248" i="81" s="1"/>
  <c r="H248" i="81"/>
  <c r="E248" i="81"/>
  <c r="C191" i="42"/>
  <c r="E191" i="42" s="1"/>
  <c r="E255" i="87" l="1"/>
  <c r="I255" i="87"/>
  <c r="J255" i="87" s="1"/>
  <c r="H255" i="87"/>
  <c r="F255" i="87"/>
  <c r="G256" i="87" s="1"/>
  <c r="I235" i="84"/>
  <c r="J235" i="84" s="1"/>
  <c r="H235" i="84"/>
  <c r="E235" i="84"/>
  <c r="F248" i="81"/>
  <c r="G249" i="81" s="1"/>
  <c r="D191" i="42"/>
  <c r="F192" i="42" s="1"/>
  <c r="G192" i="42" s="1"/>
  <c r="C192" i="42"/>
  <c r="I256" i="87" l="1"/>
  <c r="J256" i="87" s="1"/>
  <c r="H256" i="87"/>
  <c r="E256" i="87"/>
  <c r="F235" i="84"/>
  <c r="G236" i="84" s="1"/>
  <c r="I249" i="81"/>
  <c r="J249" i="81" s="1"/>
  <c r="H249" i="81"/>
  <c r="E249" i="81"/>
  <c r="E192" i="42"/>
  <c r="D192" i="42"/>
  <c r="F193" i="42" s="1"/>
  <c r="G193" i="42" s="1"/>
  <c r="F256" i="87" l="1"/>
  <c r="G257" i="87" s="1"/>
  <c r="E236" i="84"/>
  <c r="I236" i="84"/>
  <c r="J236" i="84" s="1"/>
  <c r="H236" i="84"/>
  <c r="F236" i="84"/>
  <c r="E237" i="84" s="1"/>
  <c r="F249" i="81"/>
  <c r="G250" i="81" s="1"/>
  <c r="C193" i="42"/>
  <c r="E193" i="42" s="1"/>
  <c r="E257" i="87" l="1"/>
  <c r="I257" i="87"/>
  <c r="J257" i="87" s="1"/>
  <c r="H257" i="87"/>
  <c r="F257" i="87"/>
  <c r="G258" i="87" s="1"/>
  <c r="F237" i="84"/>
  <c r="G238" i="84" s="1"/>
  <c r="G237" i="84"/>
  <c r="E250" i="81"/>
  <c r="I250" i="81"/>
  <c r="J250" i="81" s="1"/>
  <c r="H250" i="81"/>
  <c r="F250" i="81"/>
  <c r="G251" i="81" s="1"/>
  <c r="D193" i="42"/>
  <c r="F194" i="42" s="1"/>
  <c r="G194" i="42" s="1"/>
  <c r="E258" i="87" l="1"/>
  <c r="I258" i="87"/>
  <c r="J258" i="87" s="1"/>
  <c r="H258" i="87"/>
  <c r="F258" i="87"/>
  <c r="G259" i="87" s="1"/>
  <c r="E238" i="84"/>
  <c r="I238" i="84"/>
  <c r="J238" i="84" s="1"/>
  <c r="H238" i="84"/>
  <c r="I237" i="84"/>
  <c r="J237" i="84" s="1"/>
  <c r="H237" i="84"/>
  <c r="F238" i="84"/>
  <c r="G239" i="84" s="1"/>
  <c r="E251" i="81"/>
  <c r="I251" i="81"/>
  <c r="J251" i="81" s="1"/>
  <c r="H251" i="81"/>
  <c r="F251" i="81"/>
  <c r="G252" i="81" s="1"/>
  <c r="C194" i="42"/>
  <c r="D194" i="42" s="1"/>
  <c r="F195" i="42" s="1"/>
  <c r="G195" i="42" s="1"/>
  <c r="E194" i="42"/>
  <c r="C195" i="42"/>
  <c r="D195" i="42" s="1"/>
  <c r="F196" i="42" s="1"/>
  <c r="G196" i="42" s="1"/>
  <c r="I259" i="87" l="1"/>
  <c r="J259" i="87" s="1"/>
  <c r="H259" i="87"/>
  <c r="E259" i="87"/>
  <c r="E239" i="84"/>
  <c r="I239" i="84"/>
  <c r="J239" i="84" s="1"/>
  <c r="H239" i="84"/>
  <c r="F239" i="84"/>
  <c r="G240" i="84" s="1"/>
  <c r="E252" i="81"/>
  <c r="I252" i="81"/>
  <c r="J252" i="81" s="1"/>
  <c r="H252" i="81"/>
  <c r="F252" i="81"/>
  <c r="G253" i="81" s="1"/>
  <c r="E195" i="42"/>
  <c r="C196" i="42"/>
  <c r="D196" i="42" s="1"/>
  <c r="F197" i="42" s="1"/>
  <c r="G197" i="42" s="1"/>
  <c r="F259" i="87" l="1"/>
  <c r="G260" i="87" s="1"/>
  <c r="E240" i="84"/>
  <c r="I240" i="84"/>
  <c r="J240" i="84" s="1"/>
  <c r="H240" i="84"/>
  <c r="F240" i="84"/>
  <c r="G241" i="84" s="1"/>
  <c r="E253" i="81"/>
  <c r="F253" i="81" s="1"/>
  <c r="G254" i="81" s="1"/>
  <c r="I253" i="81"/>
  <c r="J253" i="81" s="1"/>
  <c r="H253" i="81"/>
  <c r="E196" i="42"/>
  <c r="C197" i="42"/>
  <c r="I260" i="87" l="1"/>
  <c r="J260" i="87" s="1"/>
  <c r="H260" i="87"/>
  <c r="E260" i="87"/>
  <c r="E241" i="84"/>
  <c r="F241" i="84" s="1"/>
  <c r="E242" i="84" s="1"/>
  <c r="I241" i="84"/>
  <c r="J241" i="84" s="1"/>
  <c r="H241" i="84"/>
  <c r="E254" i="81"/>
  <c r="I254" i="81"/>
  <c r="J254" i="81" s="1"/>
  <c r="H254" i="81"/>
  <c r="F254" i="81"/>
  <c r="G255" i="81" s="1"/>
  <c r="E197" i="42"/>
  <c r="D197" i="42"/>
  <c r="C198" i="42" s="1"/>
  <c r="F260" i="87" l="1"/>
  <c r="G261" i="87" s="1"/>
  <c r="G242" i="84"/>
  <c r="I242" i="84"/>
  <c r="J242" i="84" s="1"/>
  <c r="H242" i="84"/>
  <c r="F242" i="84"/>
  <c r="G243" i="84" s="1"/>
  <c r="E255" i="81"/>
  <c r="F255" i="81" s="1"/>
  <c r="G256" i="81" s="1"/>
  <c r="I255" i="81"/>
  <c r="J255" i="81" s="1"/>
  <c r="H255" i="81"/>
  <c r="F198" i="42"/>
  <c r="G198" i="42" s="1"/>
  <c r="D198" i="42"/>
  <c r="F199" i="42" s="1"/>
  <c r="G199" i="42" s="1"/>
  <c r="E198" i="42"/>
  <c r="E261" i="87" l="1"/>
  <c r="I261" i="87"/>
  <c r="J261" i="87" s="1"/>
  <c r="H261" i="87"/>
  <c r="F261" i="87"/>
  <c r="E262" i="87" s="1"/>
  <c r="E243" i="84"/>
  <c r="I243" i="84"/>
  <c r="J243" i="84" s="1"/>
  <c r="H243" i="84"/>
  <c r="F243" i="84"/>
  <c r="G244" i="84" s="1"/>
  <c r="E256" i="81"/>
  <c r="I256" i="81"/>
  <c r="J256" i="81" s="1"/>
  <c r="H256" i="81"/>
  <c r="F256" i="81"/>
  <c r="G257" i="81" s="1"/>
  <c r="C199" i="42"/>
  <c r="D199" i="42" s="1"/>
  <c r="F200" i="42" s="1"/>
  <c r="G200" i="42" s="1"/>
  <c r="F262" i="87" l="1"/>
  <c r="G263" i="87" s="1"/>
  <c r="G262" i="87"/>
  <c r="E244" i="84"/>
  <c r="F244" i="84" s="1"/>
  <c r="E245" i="84" s="1"/>
  <c r="I244" i="84"/>
  <c r="J244" i="84" s="1"/>
  <c r="H244" i="84"/>
  <c r="E257" i="81"/>
  <c r="F257" i="81" s="1"/>
  <c r="G258" i="81" s="1"/>
  <c r="I257" i="81"/>
  <c r="J257" i="81" s="1"/>
  <c r="H257" i="81"/>
  <c r="E199" i="42"/>
  <c r="C200" i="42"/>
  <c r="E200" i="42" s="1"/>
  <c r="I263" i="87" l="1"/>
  <c r="J263" i="87" s="1"/>
  <c r="H263" i="87"/>
  <c r="I262" i="87"/>
  <c r="J262" i="87" s="1"/>
  <c r="H262" i="87"/>
  <c r="E263" i="87"/>
  <c r="G245" i="84"/>
  <c r="I245" i="84" s="1"/>
  <c r="J245" i="84" s="1"/>
  <c r="F245" i="84"/>
  <c r="E246" i="84" s="1"/>
  <c r="H245" i="84"/>
  <c r="E258" i="81"/>
  <c r="I258" i="81"/>
  <c r="J258" i="81" s="1"/>
  <c r="H258" i="81"/>
  <c r="F258" i="81"/>
  <c r="G259" i="81" s="1"/>
  <c r="D200" i="42"/>
  <c r="C201" i="42" s="1"/>
  <c r="E201" i="42" s="1"/>
  <c r="B15" i="87"/>
  <c r="C15" i="87"/>
  <c r="F263" i="87" l="1"/>
  <c r="G271" i="87" s="1"/>
  <c r="I271" i="87" s="1"/>
  <c r="G246" i="84"/>
  <c r="I246" i="84" s="1"/>
  <c r="J246" i="84" s="1"/>
  <c r="F246" i="84"/>
  <c r="G247" i="84" s="1"/>
  <c r="H246" i="84"/>
  <c r="E259" i="81"/>
  <c r="I259" i="81"/>
  <c r="J259" i="81" s="1"/>
  <c r="H259" i="81"/>
  <c r="F259" i="81"/>
  <c r="G260" i="81" s="1"/>
  <c r="F201" i="42"/>
  <c r="G201" i="42" s="1"/>
  <c r="D201" i="42"/>
  <c r="F209" i="42" s="1"/>
  <c r="B16" i="42"/>
  <c r="G264" i="87" l="1"/>
  <c r="I264" i="87" s="1"/>
  <c r="G267" i="87"/>
  <c r="I267" i="87" s="1"/>
  <c r="G265" i="87"/>
  <c r="I265" i="87" s="1"/>
  <c r="G269" i="87"/>
  <c r="I269" i="87" s="1"/>
  <c r="G266" i="87"/>
  <c r="I266" i="87" s="1"/>
  <c r="G270" i="87"/>
  <c r="I270" i="87" s="1"/>
  <c r="G268" i="87"/>
  <c r="I268" i="87" s="1"/>
  <c r="E247" i="84"/>
  <c r="F247" i="84" s="1"/>
  <c r="G248" i="84" s="1"/>
  <c r="I247" i="84"/>
  <c r="J247" i="84" s="1"/>
  <c r="H247" i="84"/>
  <c r="E260" i="81"/>
  <c r="F260" i="81" s="1"/>
  <c r="E261" i="81" s="1"/>
  <c r="I260" i="81"/>
  <c r="J260" i="81" s="1"/>
  <c r="H260" i="81"/>
  <c r="F203" i="42"/>
  <c r="F202" i="42"/>
  <c r="F205" i="42"/>
  <c r="F206" i="42"/>
  <c r="F207" i="42"/>
  <c r="F208" i="42"/>
  <c r="F204" i="42"/>
  <c r="I248" i="84" l="1"/>
  <c r="J248" i="84" s="1"/>
  <c r="H248" i="84"/>
  <c r="E248" i="84"/>
  <c r="F261" i="81"/>
  <c r="G262" i="81" s="1"/>
  <c r="G261" i="81"/>
  <c r="F248" i="84" l="1"/>
  <c r="G249" i="84" s="1"/>
  <c r="I262" i="81"/>
  <c r="J262" i="81" s="1"/>
  <c r="H262" i="81"/>
  <c r="I261" i="81"/>
  <c r="J261" i="81" s="1"/>
  <c r="H261" i="81"/>
  <c r="E262" i="81"/>
  <c r="I249" i="84" l="1"/>
  <c r="J249" i="84" s="1"/>
  <c r="H249" i="84"/>
  <c r="E249" i="84"/>
  <c r="F262" i="81"/>
  <c r="G263" i="81" s="1"/>
  <c r="F249" i="84" l="1"/>
  <c r="G250" i="84" s="1"/>
  <c r="E263" i="81"/>
  <c r="I263" i="81"/>
  <c r="J263" i="81" s="1"/>
  <c r="H263" i="81"/>
  <c r="F263" i="81"/>
  <c r="G271" i="81" s="1"/>
  <c r="I271" i="81" s="1"/>
  <c r="B15" i="81"/>
  <c r="C15" i="81"/>
  <c r="I250" i="84" l="1"/>
  <c r="J250" i="84" s="1"/>
  <c r="H250" i="84"/>
  <c r="E250" i="84"/>
  <c r="G265" i="81"/>
  <c r="I265" i="81" s="1"/>
  <c r="G266" i="81"/>
  <c r="I266" i="81" s="1"/>
  <c r="G268" i="81"/>
  <c r="I268" i="81" s="1"/>
  <c r="G270" i="81"/>
  <c r="I270" i="81" s="1"/>
  <c r="G264" i="81"/>
  <c r="I264" i="81" s="1"/>
  <c r="G267" i="81"/>
  <c r="I267" i="81" s="1"/>
  <c r="G269" i="81"/>
  <c r="I269" i="81" s="1"/>
  <c r="D254" i="38"/>
  <c r="D253" i="38"/>
  <c r="D241" i="38"/>
  <c r="D240" i="38"/>
  <c r="D239" i="38"/>
  <c r="D238" i="38"/>
  <c r="D237" i="38"/>
  <c r="D236" i="38"/>
  <c r="D230" i="38"/>
  <c r="D229" i="38"/>
  <c r="D217" i="38"/>
  <c r="D216" i="38"/>
  <c r="D215" i="38"/>
  <c r="D214" i="38"/>
  <c r="D213" i="38"/>
  <c r="D212" i="38"/>
  <c r="D210" i="38"/>
  <c r="D207" i="38"/>
  <c r="D206" i="38"/>
  <c r="D205" i="38"/>
  <c r="D192" i="38"/>
  <c r="D191" i="38"/>
  <c r="D190" i="38"/>
  <c r="D189" i="38"/>
  <c r="D188" i="38"/>
  <c r="D186" i="38"/>
  <c r="D183" i="38"/>
  <c r="D182" i="38"/>
  <c r="D181" i="38"/>
  <c r="D180" i="38"/>
  <c r="D179" i="38"/>
  <c r="D178" i="38"/>
  <c r="D168" i="38"/>
  <c r="D167" i="38"/>
  <c r="D166" i="38"/>
  <c r="D165" i="38"/>
  <c r="D164" i="38"/>
  <c r="D162" i="38"/>
  <c r="D159" i="38"/>
  <c r="D158" i="38"/>
  <c r="D157" i="38"/>
  <c r="D156" i="38"/>
  <c r="D155" i="38"/>
  <c r="D154" i="38"/>
  <c r="D153" i="38"/>
  <c r="D152" i="38"/>
  <c r="D151" i="38"/>
  <c r="D150" i="38"/>
  <c r="B262" i="38"/>
  <c r="B261" i="38"/>
  <c r="D261" i="38" s="1"/>
  <c r="B260" i="38"/>
  <c r="B259" i="38"/>
  <c r="B258" i="38"/>
  <c r="B257" i="38"/>
  <c r="D257" i="38" s="1"/>
  <c r="B256" i="38"/>
  <c r="D256" i="38" s="1"/>
  <c r="B255" i="38"/>
  <c r="D255" i="38" s="1"/>
  <c r="B254" i="38"/>
  <c r="B253" i="38"/>
  <c r="B252" i="38"/>
  <c r="D252" i="38" s="1"/>
  <c r="B251" i="38"/>
  <c r="B250" i="38"/>
  <c r="D250" i="38" s="1"/>
  <c r="B249" i="38"/>
  <c r="D249" i="38" s="1"/>
  <c r="B248" i="38"/>
  <c r="D248" i="38" s="1"/>
  <c r="B247" i="38"/>
  <c r="D247" i="38" s="1"/>
  <c r="B246" i="38"/>
  <c r="D246" i="38" s="1"/>
  <c r="B245" i="38"/>
  <c r="D245" i="38" s="1"/>
  <c r="B244" i="38"/>
  <c r="B243" i="38"/>
  <c r="D243" i="38" s="1"/>
  <c r="B242" i="38"/>
  <c r="B241" i="38"/>
  <c r="B240" i="38"/>
  <c r="B239" i="38"/>
  <c r="B238" i="38"/>
  <c r="B237" i="38"/>
  <c r="B236" i="38"/>
  <c r="B235" i="38"/>
  <c r="B234" i="38"/>
  <c r="B233" i="38"/>
  <c r="D233" i="38" s="1"/>
  <c r="B232" i="38"/>
  <c r="D232" i="38" s="1"/>
  <c r="B231" i="38"/>
  <c r="D231" i="38" s="1"/>
  <c r="B230" i="38"/>
  <c r="B229" i="38"/>
  <c r="B228" i="38"/>
  <c r="B227" i="38"/>
  <c r="B226" i="38"/>
  <c r="B225" i="38"/>
  <c r="D225" i="38" s="1"/>
  <c r="B224" i="38"/>
  <c r="B223" i="38"/>
  <c r="B222" i="38"/>
  <c r="B221" i="38"/>
  <c r="D221" i="38" s="1"/>
  <c r="B220" i="38"/>
  <c r="D220" i="38" s="1"/>
  <c r="B219" i="38"/>
  <c r="D219" i="38" s="1"/>
  <c r="B218" i="38"/>
  <c r="B217" i="38"/>
  <c r="B216" i="38"/>
  <c r="B215" i="38"/>
  <c r="B214" i="38"/>
  <c r="B213" i="38"/>
  <c r="B212" i="38"/>
  <c r="B211" i="38"/>
  <c r="B210" i="38"/>
  <c r="B209" i="38"/>
  <c r="D209" i="38" s="1"/>
  <c r="B208" i="38"/>
  <c r="D208" i="38" s="1"/>
  <c r="B207" i="38"/>
  <c r="B206" i="38"/>
  <c r="B205" i="38"/>
  <c r="B204" i="38"/>
  <c r="D204" i="38" s="1"/>
  <c r="B203" i="38"/>
  <c r="D203" i="38" s="1"/>
  <c r="B202" i="38"/>
  <c r="D202" i="38" s="1"/>
  <c r="B201" i="38"/>
  <c r="D201" i="38" s="1"/>
  <c r="B200" i="38"/>
  <c r="D200" i="38" s="1"/>
  <c r="B199" i="38"/>
  <c r="D199" i="38" s="1"/>
  <c r="B198" i="38"/>
  <c r="B197" i="38"/>
  <c r="B196" i="38"/>
  <c r="B195" i="38"/>
  <c r="B194" i="38"/>
  <c r="B193" i="38"/>
  <c r="D193" i="38" s="1"/>
  <c r="B192" i="38"/>
  <c r="B191" i="38"/>
  <c r="B190" i="38"/>
  <c r="B189" i="38"/>
  <c r="B188" i="38"/>
  <c r="B187" i="38"/>
  <c r="B186" i="38"/>
  <c r="B185" i="38"/>
  <c r="D185" i="38" s="1"/>
  <c r="B184" i="38"/>
  <c r="D184" i="38" s="1"/>
  <c r="B183" i="38"/>
  <c r="B182" i="38"/>
  <c r="B181" i="38"/>
  <c r="B180" i="38"/>
  <c r="B179" i="38"/>
  <c r="B178" i="38"/>
  <c r="B177" i="38"/>
  <c r="D177" i="38" s="1"/>
  <c r="B176" i="38"/>
  <c r="D176" i="38" s="1"/>
  <c r="B175" i="38"/>
  <c r="B174" i="38"/>
  <c r="D174" i="38" s="1"/>
  <c r="B173" i="38"/>
  <c r="B172" i="38"/>
  <c r="D172" i="38" s="1"/>
  <c r="B171" i="38"/>
  <c r="B170" i="38"/>
  <c r="B169" i="38"/>
  <c r="D169" i="38" s="1"/>
  <c r="B168" i="38"/>
  <c r="B167" i="38"/>
  <c r="B166" i="38"/>
  <c r="B165" i="38"/>
  <c r="B164" i="38"/>
  <c r="B163" i="38"/>
  <c r="B162" i="38"/>
  <c r="B161" i="38"/>
  <c r="D161" i="38" s="1"/>
  <c r="B160" i="38"/>
  <c r="D160" i="38" s="1"/>
  <c r="B159" i="38"/>
  <c r="B158" i="38"/>
  <c r="B157" i="38"/>
  <c r="B156" i="38"/>
  <c r="B155" i="38"/>
  <c r="B154" i="38"/>
  <c r="B153" i="38"/>
  <c r="B152" i="38"/>
  <c r="B151" i="38"/>
  <c r="B150" i="38"/>
  <c r="B149" i="38"/>
  <c r="B148" i="38"/>
  <c r="D148" i="38" s="1"/>
  <c r="B147" i="38"/>
  <c r="B146" i="38"/>
  <c r="D146" i="38" s="1"/>
  <c r="E146" i="38" s="1"/>
  <c r="F147" i="38" s="1"/>
  <c r="H147" i="38" s="1"/>
  <c r="F250" i="84" l="1"/>
  <c r="G251" i="84" s="1"/>
  <c r="D170" i="38"/>
  <c r="D244" i="38"/>
  <c r="D222" i="38"/>
  <c r="D195" i="38"/>
  <c r="D223" i="38"/>
  <c r="D251" i="38"/>
  <c r="D196" i="38"/>
  <c r="D224" i="38"/>
  <c r="D242" i="38"/>
  <c r="D218" i="38"/>
  <c r="D198" i="38"/>
  <c r="D226" i="38"/>
  <c r="D211" i="38"/>
  <c r="D227" i="38"/>
  <c r="D228" i="38"/>
  <c r="D258" i="38"/>
  <c r="D259" i="38"/>
  <c r="D173" i="38"/>
  <c r="D260" i="38"/>
  <c r="I147" i="38"/>
  <c r="D163" i="38"/>
  <c r="D171" i="38"/>
  <c r="D197" i="38"/>
  <c r="D187" i="38"/>
  <c r="D147" i="38"/>
  <c r="D175" i="38"/>
  <c r="D262" i="38"/>
  <c r="D235" i="38"/>
  <c r="D234" i="38"/>
  <c r="D194" i="38"/>
  <c r="D149" i="38"/>
  <c r="E251" i="84" l="1"/>
  <c r="I251" i="84"/>
  <c r="J251" i="84" s="1"/>
  <c r="H251" i="84"/>
  <c r="F251" i="84"/>
  <c r="G252" i="84" s="1"/>
  <c r="E147" i="38"/>
  <c r="G147" i="38"/>
  <c r="I252" i="84" l="1"/>
  <c r="J252" i="84" s="1"/>
  <c r="H252" i="84"/>
  <c r="E252" i="84"/>
  <c r="F148" i="38"/>
  <c r="E148" i="38"/>
  <c r="F252" i="84" l="1"/>
  <c r="G253" i="84" s="1"/>
  <c r="F149" i="38"/>
  <c r="E149" i="38"/>
  <c r="H148" i="38"/>
  <c r="I148" i="38" s="1"/>
  <c r="G148" i="38"/>
  <c r="I253" i="84" l="1"/>
  <c r="J253" i="84" s="1"/>
  <c r="H253" i="84"/>
  <c r="E253" i="84"/>
  <c r="F150" i="38"/>
  <c r="E150" i="38"/>
  <c r="H149" i="38"/>
  <c r="I149" i="38" s="1"/>
  <c r="G149" i="38"/>
  <c r="F253" i="84" l="1"/>
  <c r="G254" i="84" s="1"/>
  <c r="F151" i="38"/>
  <c r="E151" i="38"/>
  <c r="H150" i="38"/>
  <c r="I150" i="38" s="1"/>
  <c r="G150" i="38"/>
  <c r="E254" i="84" l="1"/>
  <c r="I254" i="84"/>
  <c r="J254" i="84" s="1"/>
  <c r="H254" i="84"/>
  <c r="F254" i="84"/>
  <c r="G255" i="84" s="1"/>
  <c r="F152" i="38"/>
  <c r="E152" i="38"/>
  <c r="H151" i="38"/>
  <c r="I151" i="38" s="1"/>
  <c r="G151" i="38"/>
  <c r="E255" i="84" l="1"/>
  <c r="F255" i="84" s="1"/>
  <c r="G256" i="84" s="1"/>
  <c r="I255" i="84"/>
  <c r="J255" i="84" s="1"/>
  <c r="H255" i="84"/>
  <c r="F153" i="38"/>
  <c r="E153" i="38"/>
  <c r="G152" i="38"/>
  <c r="H152" i="38"/>
  <c r="I152" i="38" s="1"/>
  <c r="E256" i="84" l="1"/>
  <c r="I256" i="84"/>
  <c r="J256" i="84" s="1"/>
  <c r="H256" i="84"/>
  <c r="F256" i="84"/>
  <c r="G257" i="84" s="1"/>
  <c r="F154" i="38"/>
  <c r="E154" i="38"/>
  <c r="H153" i="38"/>
  <c r="I153" i="38" s="1"/>
  <c r="G153" i="38"/>
  <c r="E257" i="84" l="1"/>
  <c r="F257" i="84" s="1"/>
  <c r="G258" i="84" s="1"/>
  <c r="I257" i="84"/>
  <c r="J257" i="84" s="1"/>
  <c r="H257" i="84"/>
  <c r="F155" i="38"/>
  <c r="E155" i="38"/>
  <c r="H154" i="38"/>
  <c r="I154" i="38" s="1"/>
  <c r="G154" i="38"/>
  <c r="E258" i="84" l="1"/>
  <c r="F258" i="84" s="1"/>
  <c r="G259" i="84" s="1"/>
  <c r="I258" i="84"/>
  <c r="J258" i="84" s="1"/>
  <c r="H258" i="84"/>
  <c r="F156" i="38"/>
  <c r="E156" i="38"/>
  <c r="H155" i="38"/>
  <c r="I155" i="38" s="1"/>
  <c r="G155" i="38"/>
  <c r="E259" i="84" l="1"/>
  <c r="F259" i="84" s="1"/>
  <c r="G260" i="84" s="1"/>
  <c r="I259" i="84"/>
  <c r="J259" i="84" s="1"/>
  <c r="H259" i="84"/>
  <c r="F157" i="38"/>
  <c r="E157" i="38"/>
  <c r="H156" i="38"/>
  <c r="I156" i="38" s="1"/>
  <c r="G156" i="38"/>
  <c r="I260" i="84" l="1"/>
  <c r="J260" i="84" s="1"/>
  <c r="H260" i="84"/>
  <c r="E260" i="84"/>
  <c r="F158" i="38"/>
  <c r="E158" i="38"/>
  <c r="G157" i="38"/>
  <c r="H157" i="38"/>
  <c r="I157" i="38" s="1"/>
  <c r="F260" i="84" l="1"/>
  <c r="G261" i="84" s="1"/>
  <c r="F159" i="38"/>
  <c r="E159" i="38"/>
  <c r="H158" i="38"/>
  <c r="I158" i="38" s="1"/>
  <c r="G158" i="38"/>
  <c r="E261" i="84" l="1"/>
  <c r="I261" i="84"/>
  <c r="J261" i="84" s="1"/>
  <c r="H261" i="84"/>
  <c r="F261" i="84"/>
  <c r="G262" i="84" s="1"/>
  <c r="E160" i="38"/>
  <c r="F160" i="38"/>
  <c r="H159" i="38"/>
  <c r="I159" i="38" s="1"/>
  <c r="G159" i="38"/>
  <c r="E262" i="84" l="1"/>
  <c r="F262" i="84" s="1"/>
  <c r="G263" i="84" s="1"/>
  <c r="I262" i="84"/>
  <c r="J262" i="84" s="1"/>
  <c r="H262" i="84"/>
  <c r="H160" i="38"/>
  <c r="I160" i="38" s="1"/>
  <c r="G160" i="38"/>
  <c r="E161" i="38"/>
  <c r="F161" i="38"/>
  <c r="E263" i="84" l="1"/>
  <c r="I263" i="84"/>
  <c r="J263" i="84" s="1"/>
  <c r="H263" i="84"/>
  <c r="F263" i="84"/>
  <c r="G271" i="84" s="1"/>
  <c r="I271" i="84" s="1"/>
  <c r="F162" i="38"/>
  <c r="E162" i="38"/>
  <c r="H161" i="38"/>
  <c r="I161" i="38" s="1"/>
  <c r="G161" i="38"/>
  <c r="B15" i="84"/>
  <c r="C15" i="84"/>
  <c r="G264" i="84" l="1"/>
  <c r="I264" i="84" s="1"/>
  <c r="G265" i="84"/>
  <c r="I265" i="84" s="1"/>
  <c r="G266" i="84"/>
  <c r="I266" i="84" s="1"/>
  <c r="G267" i="84"/>
  <c r="I267" i="84" s="1"/>
  <c r="G268" i="84"/>
  <c r="I268" i="84" s="1"/>
  <c r="G269" i="84"/>
  <c r="I269" i="84" s="1"/>
  <c r="G270" i="84"/>
  <c r="I270" i="84" s="1"/>
  <c r="F163" i="38"/>
  <c r="E163" i="38"/>
  <c r="H162" i="38"/>
  <c r="I162" i="38" s="1"/>
  <c r="G162" i="38"/>
  <c r="F164" i="38" l="1"/>
  <c r="E164" i="38"/>
  <c r="H163" i="38"/>
  <c r="I163" i="38" s="1"/>
  <c r="G163" i="38"/>
  <c r="F165" i="38" l="1"/>
  <c r="E165" i="38"/>
  <c r="H164" i="38"/>
  <c r="I164" i="38" s="1"/>
  <c r="G164" i="38"/>
  <c r="F166" i="38" l="1"/>
  <c r="E166" i="38"/>
  <c r="H165" i="38"/>
  <c r="I165" i="38" s="1"/>
  <c r="G165" i="38"/>
  <c r="F167" i="38" l="1"/>
  <c r="E167" i="38"/>
  <c r="H166" i="38"/>
  <c r="I166" i="38" s="1"/>
  <c r="G166" i="38"/>
  <c r="F168" i="38" l="1"/>
  <c r="E168" i="38"/>
  <c r="H167" i="38"/>
  <c r="I167" i="38" s="1"/>
  <c r="G167" i="38"/>
  <c r="F169" i="38" l="1"/>
  <c r="E169" i="38"/>
  <c r="H168" i="38"/>
  <c r="I168" i="38" s="1"/>
  <c r="G168" i="38"/>
  <c r="F170" i="38" l="1"/>
  <c r="E170" i="38"/>
  <c r="H169" i="38"/>
  <c r="I169" i="38" s="1"/>
  <c r="G169" i="38"/>
  <c r="F171" i="38" l="1"/>
  <c r="E171" i="38"/>
  <c r="H170" i="38"/>
  <c r="I170" i="38" s="1"/>
  <c r="G170" i="38"/>
  <c r="F172" i="38" l="1"/>
  <c r="E172" i="38"/>
  <c r="H171" i="38"/>
  <c r="I171" i="38" s="1"/>
  <c r="G171" i="38"/>
  <c r="F173" i="38" l="1"/>
  <c r="E173" i="38"/>
  <c r="H172" i="38"/>
  <c r="I172" i="38" s="1"/>
  <c r="G172" i="38"/>
  <c r="F174" i="38" l="1"/>
  <c r="E174" i="38"/>
  <c r="H173" i="38"/>
  <c r="I173" i="38" s="1"/>
  <c r="G173" i="38"/>
  <c r="F175" i="38" l="1"/>
  <c r="E175" i="38"/>
  <c r="H174" i="38"/>
  <c r="I174" i="38" s="1"/>
  <c r="G174" i="38"/>
  <c r="F176" i="38" l="1"/>
  <c r="E176" i="38"/>
  <c r="H175" i="38"/>
  <c r="I175" i="38" s="1"/>
  <c r="G175" i="38"/>
  <c r="F177" i="38" l="1"/>
  <c r="E177" i="38"/>
  <c r="H176" i="38"/>
  <c r="I176" i="38" s="1"/>
  <c r="G176" i="38"/>
  <c r="F178" i="38" l="1"/>
  <c r="E178" i="38"/>
  <c r="H177" i="38"/>
  <c r="I177" i="38" s="1"/>
  <c r="G177" i="38"/>
  <c r="F179" i="38" l="1"/>
  <c r="E179" i="38"/>
  <c r="H178" i="38"/>
  <c r="I178" i="38" s="1"/>
  <c r="G178" i="38"/>
  <c r="F180" i="38" l="1"/>
  <c r="E180" i="38"/>
  <c r="H179" i="38"/>
  <c r="I179" i="38" s="1"/>
  <c r="G179" i="38"/>
  <c r="F181" i="38" l="1"/>
  <c r="E181" i="38"/>
  <c r="H180" i="38"/>
  <c r="I180" i="38" s="1"/>
  <c r="G180" i="38"/>
  <c r="F182" i="38" l="1"/>
  <c r="E182" i="38"/>
  <c r="H181" i="38"/>
  <c r="I181" i="38" s="1"/>
  <c r="G181" i="38"/>
  <c r="F183" i="38" l="1"/>
  <c r="E183" i="38"/>
  <c r="H182" i="38"/>
  <c r="I182" i="38" s="1"/>
  <c r="G182" i="38"/>
  <c r="F184" i="38" l="1"/>
  <c r="E184" i="38"/>
  <c r="G183" i="38"/>
  <c r="H183" i="38"/>
  <c r="I183" i="38" s="1"/>
  <c r="F185" i="38" l="1"/>
  <c r="E185" i="38"/>
  <c r="G184" i="38"/>
  <c r="H184" i="38"/>
  <c r="I184" i="38" s="1"/>
  <c r="F186" i="38" l="1"/>
  <c r="E186" i="38"/>
  <c r="G185" i="38"/>
  <c r="H185" i="38"/>
  <c r="I185" i="38" s="1"/>
  <c r="F187" i="38" l="1"/>
  <c r="E187" i="38"/>
  <c r="H186" i="38"/>
  <c r="I186" i="38" s="1"/>
  <c r="G186" i="38"/>
  <c r="F188" i="38" l="1"/>
  <c r="E188" i="38"/>
  <c r="H187" i="38"/>
  <c r="I187" i="38" s="1"/>
  <c r="G187" i="38"/>
  <c r="F189" i="38" l="1"/>
  <c r="E189" i="38"/>
  <c r="H188" i="38"/>
  <c r="I188" i="38" s="1"/>
  <c r="G188" i="38"/>
  <c r="F190" i="38" l="1"/>
  <c r="E190" i="38"/>
  <c r="H189" i="38"/>
  <c r="I189" i="38" s="1"/>
  <c r="G189" i="38"/>
  <c r="F191" i="38" l="1"/>
  <c r="E191" i="38"/>
  <c r="H190" i="38"/>
  <c r="I190" i="38" s="1"/>
  <c r="G190" i="38"/>
  <c r="F192" i="38" l="1"/>
  <c r="E192" i="38"/>
  <c r="H191" i="38"/>
  <c r="I191" i="38" s="1"/>
  <c r="G191" i="38"/>
  <c r="F193" i="38" l="1"/>
  <c r="E193" i="38"/>
  <c r="H192" i="38"/>
  <c r="I192" i="38" s="1"/>
  <c r="G192" i="38"/>
  <c r="F194" i="38" l="1"/>
  <c r="E194" i="38"/>
  <c r="H193" i="38"/>
  <c r="I193" i="38" s="1"/>
  <c r="G193" i="38"/>
  <c r="F195" i="38" l="1"/>
  <c r="E195" i="38"/>
  <c r="H194" i="38"/>
  <c r="I194" i="38" s="1"/>
  <c r="G194" i="38"/>
  <c r="F196" i="38" l="1"/>
  <c r="E196" i="38"/>
  <c r="H195" i="38"/>
  <c r="I195" i="38" s="1"/>
  <c r="G195" i="38"/>
  <c r="F197" i="38" l="1"/>
  <c r="E197" i="38"/>
  <c r="H196" i="38"/>
  <c r="I196" i="38" s="1"/>
  <c r="G196" i="38"/>
  <c r="F198" i="38" l="1"/>
  <c r="E198" i="38"/>
  <c r="H197" i="38"/>
  <c r="I197" i="38" s="1"/>
  <c r="G197" i="38"/>
  <c r="F199" i="38" l="1"/>
  <c r="E199" i="38"/>
  <c r="H198" i="38"/>
  <c r="I198" i="38" s="1"/>
  <c r="G198" i="38"/>
  <c r="F200" i="38" l="1"/>
  <c r="E200" i="38"/>
  <c r="H199" i="38"/>
  <c r="I199" i="38" s="1"/>
  <c r="G199" i="38"/>
  <c r="F201" i="38" l="1"/>
  <c r="E201" i="38"/>
  <c r="H200" i="38"/>
  <c r="I200" i="38" s="1"/>
  <c r="G200" i="38"/>
  <c r="F202" i="38" l="1"/>
  <c r="E202" i="38"/>
  <c r="H201" i="38"/>
  <c r="I201" i="38" s="1"/>
  <c r="G201" i="38"/>
  <c r="F203" i="38" l="1"/>
  <c r="E203" i="38"/>
  <c r="H202" i="38"/>
  <c r="I202" i="38" s="1"/>
  <c r="G202" i="38"/>
  <c r="F204" i="38" l="1"/>
  <c r="E204" i="38"/>
  <c r="H203" i="38"/>
  <c r="I203" i="38" s="1"/>
  <c r="G203" i="38"/>
  <c r="F205" i="38" l="1"/>
  <c r="E205" i="38"/>
  <c r="H204" i="38"/>
  <c r="I204" i="38" s="1"/>
  <c r="G204" i="38"/>
  <c r="F206" i="38" l="1"/>
  <c r="E206" i="38"/>
  <c r="H205" i="38"/>
  <c r="I205" i="38" s="1"/>
  <c r="G205" i="38"/>
  <c r="E207" i="38" l="1"/>
  <c r="F207" i="38"/>
  <c r="H206" i="38"/>
  <c r="I206" i="38" s="1"/>
  <c r="G206" i="38"/>
  <c r="H207" i="38" l="1"/>
  <c r="I207" i="38" s="1"/>
  <c r="G207" i="38"/>
  <c r="E208" i="38"/>
  <c r="F208" i="38"/>
  <c r="H208" i="38" l="1"/>
  <c r="I208" i="38" s="1"/>
  <c r="G208" i="38"/>
  <c r="E209" i="38"/>
  <c r="F209" i="38"/>
  <c r="H209" i="38" l="1"/>
  <c r="I209" i="38" s="1"/>
  <c r="G209" i="38"/>
  <c r="F210" i="38"/>
  <c r="E210" i="38"/>
  <c r="F211" i="38" l="1"/>
  <c r="E211" i="38"/>
  <c r="H210" i="38"/>
  <c r="I210" i="38" s="1"/>
  <c r="G210" i="38"/>
  <c r="F212" i="38" l="1"/>
  <c r="E212" i="38"/>
  <c r="H211" i="38"/>
  <c r="I211" i="38" s="1"/>
  <c r="G211" i="38"/>
  <c r="E213" i="38" l="1"/>
  <c r="F213" i="38"/>
  <c r="H212" i="38"/>
  <c r="I212" i="38" s="1"/>
  <c r="G212" i="38"/>
  <c r="H213" i="38" l="1"/>
  <c r="I213" i="38" s="1"/>
  <c r="G213" i="38"/>
  <c r="F214" i="38"/>
  <c r="E214" i="38"/>
  <c r="F215" i="38" l="1"/>
  <c r="E215" i="38"/>
  <c r="H214" i="38"/>
  <c r="I214" i="38" s="1"/>
  <c r="G214" i="38"/>
  <c r="F216" i="38" l="1"/>
  <c r="E216" i="38"/>
  <c r="H215" i="38"/>
  <c r="I215" i="38" s="1"/>
  <c r="G215" i="38"/>
  <c r="F217" i="38" l="1"/>
  <c r="E217" i="38"/>
  <c r="H216" i="38"/>
  <c r="I216" i="38" s="1"/>
  <c r="G216" i="38"/>
  <c r="F218" i="38" l="1"/>
  <c r="E218" i="38"/>
  <c r="H217" i="38"/>
  <c r="I217" i="38" s="1"/>
  <c r="G217" i="38"/>
  <c r="F219" i="38" l="1"/>
  <c r="E219" i="38"/>
  <c r="H218" i="38"/>
  <c r="I218" i="38" s="1"/>
  <c r="G218" i="38"/>
  <c r="F220" i="38" l="1"/>
  <c r="E220" i="38"/>
  <c r="H219" i="38"/>
  <c r="I219" i="38" s="1"/>
  <c r="G219" i="38"/>
  <c r="F221" i="38" l="1"/>
  <c r="E221" i="38"/>
  <c r="H220" i="38"/>
  <c r="I220" i="38" s="1"/>
  <c r="G220" i="38"/>
  <c r="F222" i="38" l="1"/>
  <c r="E222" i="38"/>
  <c r="H221" i="38"/>
  <c r="I221" i="38" s="1"/>
  <c r="G221" i="38"/>
  <c r="F223" i="38" l="1"/>
  <c r="E223" i="38"/>
  <c r="H222" i="38"/>
  <c r="I222" i="38" s="1"/>
  <c r="G222" i="38"/>
  <c r="F224" i="38" l="1"/>
  <c r="E224" i="38"/>
  <c r="H223" i="38"/>
  <c r="I223" i="38" s="1"/>
  <c r="G223" i="38"/>
  <c r="F225" i="38" l="1"/>
  <c r="E225" i="38"/>
  <c r="H224" i="38"/>
  <c r="I224" i="38" s="1"/>
  <c r="G224" i="38"/>
  <c r="F226" i="38" l="1"/>
  <c r="E226" i="38"/>
  <c r="H225" i="38"/>
  <c r="I225" i="38" s="1"/>
  <c r="G225" i="38"/>
  <c r="F227" i="38" l="1"/>
  <c r="E227" i="38"/>
  <c r="H226" i="38"/>
  <c r="I226" i="38" s="1"/>
  <c r="G226" i="38"/>
  <c r="F228" i="38" l="1"/>
  <c r="E228" i="38"/>
  <c r="H227" i="38"/>
  <c r="I227" i="38" s="1"/>
  <c r="G227" i="38"/>
  <c r="E229" i="38" l="1"/>
  <c r="F229" i="38"/>
  <c r="H228" i="38"/>
  <c r="I228" i="38" s="1"/>
  <c r="G228" i="38"/>
  <c r="H229" i="38" l="1"/>
  <c r="I229" i="38" s="1"/>
  <c r="G229" i="38"/>
  <c r="E230" i="38"/>
  <c r="F230" i="38"/>
  <c r="H230" i="38" l="1"/>
  <c r="I230" i="38" s="1"/>
  <c r="G230" i="38"/>
  <c r="F231" i="38"/>
  <c r="E231" i="38"/>
  <c r="F232" i="38" l="1"/>
  <c r="E232" i="38"/>
  <c r="H231" i="38"/>
  <c r="I231" i="38" s="1"/>
  <c r="G231" i="38"/>
  <c r="F233" i="38" l="1"/>
  <c r="E233" i="38"/>
  <c r="G232" i="38"/>
  <c r="H232" i="38"/>
  <c r="I232" i="38" s="1"/>
  <c r="F234" i="38" l="1"/>
  <c r="E234" i="38"/>
  <c r="H233" i="38"/>
  <c r="I233" i="38" s="1"/>
  <c r="G233" i="38"/>
  <c r="F235" i="38" l="1"/>
  <c r="E235" i="38"/>
  <c r="H234" i="38"/>
  <c r="I234" i="38" s="1"/>
  <c r="G234" i="38"/>
  <c r="F236" i="38" l="1"/>
  <c r="E236" i="38"/>
  <c r="H235" i="38"/>
  <c r="I235" i="38" s="1"/>
  <c r="G235" i="38"/>
  <c r="F237" i="38" l="1"/>
  <c r="E237" i="38"/>
  <c r="H236" i="38"/>
  <c r="I236" i="38" s="1"/>
  <c r="G236" i="38"/>
  <c r="F238" i="38" l="1"/>
  <c r="E238" i="38"/>
  <c r="H237" i="38"/>
  <c r="I237" i="38" s="1"/>
  <c r="G237" i="38"/>
  <c r="F239" i="38" l="1"/>
  <c r="E239" i="38"/>
  <c r="H238" i="38"/>
  <c r="I238" i="38" s="1"/>
  <c r="G238" i="38"/>
  <c r="F240" i="38" l="1"/>
  <c r="E240" i="38"/>
  <c r="H239" i="38"/>
  <c r="I239" i="38" s="1"/>
  <c r="G239" i="38"/>
  <c r="F241" i="38" l="1"/>
  <c r="E241" i="38"/>
  <c r="H240" i="38"/>
  <c r="I240" i="38" s="1"/>
  <c r="G240" i="38"/>
  <c r="F242" i="38" l="1"/>
  <c r="E242" i="38"/>
  <c r="H241" i="38"/>
  <c r="I241" i="38" s="1"/>
  <c r="G241" i="38"/>
  <c r="F243" i="38" l="1"/>
  <c r="E243" i="38"/>
  <c r="H242" i="38"/>
  <c r="I242" i="38" s="1"/>
  <c r="G242" i="38"/>
  <c r="F244" i="38" l="1"/>
  <c r="E244" i="38"/>
  <c r="H243" i="38"/>
  <c r="I243" i="38" s="1"/>
  <c r="G243" i="38"/>
  <c r="F245" i="38" l="1"/>
  <c r="E245" i="38"/>
  <c r="H244" i="38"/>
  <c r="I244" i="38" s="1"/>
  <c r="G244" i="38"/>
  <c r="F246" i="38" l="1"/>
  <c r="E246" i="38"/>
  <c r="H245" i="38"/>
  <c r="I245" i="38" s="1"/>
  <c r="G245" i="38"/>
  <c r="F247" i="38" l="1"/>
  <c r="E247" i="38"/>
  <c r="H246" i="38"/>
  <c r="I246" i="38" s="1"/>
  <c r="G246" i="38"/>
  <c r="F248" i="38" l="1"/>
  <c r="E248" i="38"/>
  <c r="H247" i="38"/>
  <c r="I247" i="38" s="1"/>
  <c r="G247" i="38"/>
  <c r="F249" i="38" l="1"/>
  <c r="E249" i="38"/>
  <c r="H248" i="38"/>
  <c r="I248" i="38" s="1"/>
  <c r="G248" i="38"/>
  <c r="F250" i="38" l="1"/>
  <c r="E250" i="38"/>
  <c r="H249" i="38"/>
  <c r="I249" i="38" s="1"/>
  <c r="G249" i="38"/>
  <c r="F251" i="38" l="1"/>
  <c r="E251" i="38"/>
  <c r="H250" i="38"/>
  <c r="I250" i="38" s="1"/>
  <c r="G250" i="38"/>
  <c r="F252" i="38" l="1"/>
  <c r="E252" i="38"/>
  <c r="H251" i="38"/>
  <c r="I251" i="38" s="1"/>
  <c r="G251" i="38"/>
  <c r="E253" i="38" l="1"/>
  <c r="F253" i="38"/>
  <c r="H252" i="38"/>
  <c r="I252" i="38" s="1"/>
  <c r="G252" i="38"/>
  <c r="H253" i="38" l="1"/>
  <c r="I253" i="38" s="1"/>
  <c r="G253" i="38"/>
  <c r="F254" i="38"/>
  <c r="E254" i="38"/>
  <c r="F255" i="38" l="1"/>
  <c r="E255" i="38"/>
  <c r="G254" i="38"/>
  <c r="H254" i="38"/>
  <c r="I254" i="38" s="1"/>
  <c r="E256" i="38" l="1"/>
  <c r="F256" i="38"/>
  <c r="H255" i="38"/>
  <c r="I255" i="38" s="1"/>
  <c r="G255" i="38"/>
  <c r="G256" i="38" l="1"/>
  <c r="H256" i="38"/>
  <c r="I256" i="38" s="1"/>
  <c r="F257" i="38"/>
  <c r="E257" i="38"/>
  <c r="F258" i="38" l="1"/>
  <c r="E258" i="38"/>
  <c r="G257" i="38"/>
  <c r="H257" i="38"/>
  <c r="I257" i="38" s="1"/>
  <c r="F259" i="38" l="1"/>
  <c r="E259" i="38"/>
  <c r="H258" i="38"/>
  <c r="I258" i="38" s="1"/>
  <c r="G258" i="38"/>
  <c r="F260" i="38" l="1"/>
  <c r="E260" i="38"/>
  <c r="H259" i="38"/>
  <c r="I259" i="38" s="1"/>
  <c r="G259" i="38"/>
  <c r="F261" i="38" l="1"/>
  <c r="E261" i="38"/>
  <c r="H260" i="38"/>
  <c r="I260" i="38" s="1"/>
  <c r="G260" i="38"/>
  <c r="F262" i="38" l="1"/>
  <c r="E262" i="38"/>
  <c r="H261" i="38"/>
  <c r="I261" i="38" s="1"/>
  <c r="G261" i="38"/>
  <c r="F266" i="38" l="1"/>
  <c r="H266" i="38" s="1"/>
  <c r="F264" i="38"/>
  <c r="H264" i="38" s="1"/>
  <c r="F263" i="38"/>
  <c r="H263" i="38" s="1"/>
  <c r="F270" i="38"/>
  <c r="H270" i="38" s="1"/>
  <c r="F269" i="38"/>
  <c r="H269" i="38" s="1"/>
  <c r="F267" i="38"/>
  <c r="H267" i="38" s="1"/>
  <c r="F268" i="38"/>
  <c r="H268" i="38" s="1"/>
  <c r="F265" i="38"/>
  <c r="H265" i="38" s="1"/>
  <c r="H262" i="38"/>
  <c r="I262" i="38" s="1"/>
  <c r="G262" i="38"/>
  <c r="C85" i="34"/>
  <c r="B201" i="34"/>
  <c r="B200" i="34"/>
  <c r="B199" i="34"/>
  <c r="B198" i="34"/>
  <c r="B197" i="34"/>
  <c r="B196" i="34"/>
  <c r="B195" i="34"/>
  <c r="B194" i="34"/>
  <c r="B193" i="34"/>
  <c r="B192" i="34"/>
  <c r="B191" i="34"/>
  <c r="B190" i="34"/>
  <c r="B189" i="34"/>
  <c r="B188" i="34"/>
  <c r="B187" i="34"/>
  <c r="B186" i="34"/>
  <c r="B185" i="34"/>
  <c r="B184" i="34"/>
  <c r="B183" i="34"/>
  <c r="B182" i="34"/>
  <c r="B181" i="34"/>
  <c r="B180" i="34"/>
  <c r="B179" i="34"/>
  <c r="B178" i="34"/>
  <c r="B177" i="34"/>
  <c r="B176" i="34"/>
  <c r="B175" i="34"/>
  <c r="B174" i="34"/>
  <c r="B173" i="34"/>
  <c r="B172" i="34"/>
  <c r="B171" i="34"/>
  <c r="B170" i="34"/>
  <c r="B169" i="34"/>
  <c r="B168" i="34"/>
  <c r="B167" i="34"/>
  <c r="B166" i="34"/>
  <c r="B165" i="34"/>
  <c r="B164" i="34"/>
  <c r="B163" i="34"/>
  <c r="B162" i="34"/>
  <c r="B161" i="34"/>
  <c r="B160" i="34"/>
  <c r="B159" i="34"/>
  <c r="B158" i="34"/>
  <c r="B157" i="34"/>
  <c r="B156" i="34"/>
  <c r="B155" i="34"/>
  <c r="B154" i="34"/>
  <c r="B153" i="34"/>
  <c r="B152" i="34"/>
  <c r="B151" i="34"/>
  <c r="B150" i="34"/>
  <c r="B149" i="34"/>
  <c r="B148" i="34"/>
  <c r="B147" i="34"/>
  <c r="B146" i="34"/>
  <c r="B145" i="34"/>
  <c r="B144" i="34"/>
  <c r="B143" i="34"/>
  <c r="B142" i="34"/>
  <c r="B141" i="34"/>
  <c r="B140" i="34"/>
  <c r="B139" i="34"/>
  <c r="B138" i="34"/>
  <c r="B137" i="34"/>
  <c r="B136" i="34"/>
  <c r="B135" i="34"/>
  <c r="B134" i="34"/>
  <c r="B133" i="34"/>
  <c r="B132" i="34"/>
  <c r="B131" i="34"/>
  <c r="B130" i="34"/>
  <c r="B129" i="34"/>
  <c r="B128" i="34"/>
  <c r="B127" i="34"/>
  <c r="B126" i="34"/>
  <c r="B125" i="34"/>
  <c r="B124" i="34"/>
  <c r="B123" i="34"/>
  <c r="B122" i="34"/>
  <c r="B121" i="34"/>
  <c r="B120" i="34"/>
  <c r="B119" i="34"/>
  <c r="B118" i="34"/>
  <c r="B117" i="34"/>
  <c r="B116" i="34"/>
  <c r="B115" i="34"/>
  <c r="B114" i="34"/>
  <c r="B113" i="34"/>
  <c r="B112" i="34"/>
  <c r="B111" i="34"/>
  <c r="B110" i="34"/>
  <c r="B109" i="34"/>
  <c r="B108" i="34"/>
  <c r="B107" i="34"/>
  <c r="B106" i="34"/>
  <c r="B105" i="34"/>
  <c r="B104" i="34"/>
  <c r="B103" i="34"/>
  <c r="B102" i="34"/>
  <c r="B101" i="34"/>
  <c r="B100" i="34"/>
  <c r="B99" i="34"/>
  <c r="B98" i="34"/>
  <c r="B97" i="34"/>
  <c r="B96" i="34"/>
  <c r="B95" i="34"/>
  <c r="B94" i="34"/>
  <c r="B93" i="34"/>
  <c r="B92" i="34"/>
  <c r="B91" i="34"/>
  <c r="B90" i="34"/>
  <c r="B89" i="34"/>
  <c r="B88" i="34"/>
  <c r="B87" i="34"/>
  <c r="B86" i="34"/>
  <c r="B85" i="34"/>
  <c r="C85" i="33"/>
  <c r="B201" i="33"/>
  <c r="D85" i="33" s="1"/>
  <c r="B200" i="33"/>
  <c r="B199" i="33"/>
  <c r="B198" i="33"/>
  <c r="B197" i="33"/>
  <c r="B196" i="33"/>
  <c r="B195" i="33"/>
  <c r="B194" i="33"/>
  <c r="B193" i="33"/>
  <c r="B192" i="33"/>
  <c r="B191" i="33"/>
  <c r="B190" i="33"/>
  <c r="B189" i="33"/>
  <c r="B188" i="33"/>
  <c r="B187" i="33"/>
  <c r="B186" i="33"/>
  <c r="B185" i="33"/>
  <c r="B184" i="33"/>
  <c r="B183" i="33"/>
  <c r="B182" i="33"/>
  <c r="B181" i="33"/>
  <c r="B180" i="33"/>
  <c r="B179" i="33"/>
  <c r="B178" i="33"/>
  <c r="B177" i="33"/>
  <c r="B176" i="33"/>
  <c r="B175" i="33"/>
  <c r="B174" i="33"/>
  <c r="B173" i="33"/>
  <c r="B172" i="33"/>
  <c r="B171" i="33"/>
  <c r="B170" i="33"/>
  <c r="B169" i="33"/>
  <c r="B168" i="33"/>
  <c r="B167" i="33"/>
  <c r="B166" i="33"/>
  <c r="B165" i="33"/>
  <c r="B164" i="33"/>
  <c r="B163" i="33"/>
  <c r="B162" i="33"/>
  <c r="B161" i="33"/>
  <c r="B160" i="33"/>
  <c r="B159" i="33"/>
  <c r="B158" i="33"/>
  <c r="B157" i="33"/>
  <c r="B156" i="33"/>
  <c r="B155" i="33"/>
  <c r="B154" i="33"/>
  <c r="B153" i="33"/>
  <c r="B152" i="33"/>
  <c r="B151" i="33"/>
  <c r="B150" i="33"/>
  <c r="B149" i="33"/>
  <c r="B148" i="33"/>
  <c r="B147" i="33"/>
  <c r="B146" i="33"/>
  <c r="B145" i="33"/>
  <c r="B144" i="33"/>
  <c r="B143" i="33"/>
  <c r="B142" i="33"/>
  <c r="B141" i="33"/>
  <c r="B140" i="33"/>
  <c r="B139" i="33"/>
  <c r="B138" i="33"/>
  <c r="B137" i="33"/>
  <c r="B136" i="33"/>
  <c r="B135" i="33"/>
  <c r="B134" i="33"/>
  <c r="B133" i="33"/>
  <c r="B132" i="33"/>
  <c r="B131" i="33"/>
  <c r="B130" i="33"/>
  <c r="B129" i="33"/>
  <c r="B128" i="33"/>
  <c r="B127" i="33"/>
  <c r="B126" i="33"/>
  <c r="B125" i="33"/>
  <c r="B124" i="33"/>
  <c r="B123" i="33"/>
  <c r="B122" i="33"/>
  <c r="B121" i="33"/>
  <c r="B120" i="33"/>
  <c r="B119" i="33"/>
  <c r="B118" i="33"/>
  <c r="B117" i="33"/>
  <c r="B116" i="33"/>
  <c r="B115" i="33"/>
  <c r="B114" i="33"/>
  <c r="B113" i="33"/>
  <c r="B112" i="33"/>
  <c r="B111" i="33"/>
  <c r="B110" i="33"/>
  <c r="B109" i="33"/>
  <c r="B108" i="33"/>
  <c r="B107" i="33"/>
  <c r="B106" i="33"/>
  <c r="B105" i="33"/>
  <c r="B104" i="33"/>
  <c r="B103" i="33"/>
  <c r="B102" i="33"/>
  <c r="B101" i="33"/>
  <c r="B100" i="33"/>
  <c r="B99" i="33"/>
  <c r="B98" i="33"/>
  <c r="B97" i="33"/>
  <c r="B96" i="33"/>
  <c r="B95" i="33"/>
  <c r="B94" i="33"/>
  <c r="B93" i="33"/>
  <c r="B92" i="33"/>
  <c r="B91" i="33"/>
  <c r="B90" i="33"/>
  <c r="B89" i="33"/>
  <c r="B88" i="33"/>
  <c r="B87" i="33"/>
  <c r="B86" i="33"/>
  <c r="B85" i="33"/>
  <c r="C85" i="32"/>
  <c r="B201" i="32"/>
  <c r="B200" i="32"/>
  <c r="B199" i="32"/>
  <c r="B198" i="32"/>
  <c r="B197" i="32"/>
  <c r="B196" i="32"/>
  <c r="B195" i="32"/>
  <c r="B194" i="32"/>
  <c r="B193" i="32"/>
  <c r="B192" i="32"/>
  <c r="B191" i="32"/>
  <c r="B190" i="32"/>
  <c r="B189" i="32"/>
  <c r="B188" i="32"/>
  <c r="B187" i="32"/>
  <c r="B186" i="32"/>
  <c r="B185" i="32"/>
  <c r="B184" i="32"/>
  <c r="B183" i="32"/>
  <c r="B182" i="32"/>
  <c r="B181" i="32"/>
  <c r="B180" i="32"/>
  <c r="B179" i="32"/>
  <c r="B178" i="32"/>
  <c r="B177" i="32"/>
  <c r="B176" i="32"/>
  <c r="B175" i="32"/>
  <c r="B174" i="32"/>
  <c r="B173" i="32"/>
  <c r="B172" i="32"/>
  <c r="B171" i="32"/>
  <c r="B170" i="32"/>
  <c r="B169" i="32"/>
  <c r="B168" i="32"/>
  <c r="B167" i="32"/>
  <c r="B166" i="32"/>
  <c r="B165" i="32"/>
  <c r="B164" i="32"/>
  <c r="B163" i="32"/>
  <c r="B162" i="32"/>
  <c r="B161" i="32"/>
  <c r="B160" i="32"/>
  <c r="B159" i="32"/>
  <c r="B158" i="32"/>
  <c r="B157" i="32"/>
  <c r="B156" i="32"/>
  <c r="B155" i="32"/>
  <c r="B154" i="32"/>
  <c r="B153" i="32"/>
  <c r="B152" i="32"/>
  <c r="B151" i="32"/>
  <c r="B150" i="32"/>
  <c r="B149" i="32"/>
  <c r="B148" i="32"/>
  <c r="B147" i="32"/>
  <c r="B146" i="32"/>
  <c r="B145" i="32"/>
  <c r="B144" i="32"/>
  <c r="B143" i="32"/>
  <c r="B142" i="32"/>
  <c r="B141" i="32"/>
  <c r="B140" i="32"/>
  <c r="B139" i="32"/>
  <c r="B138" i="32"/>
  <c r="B137" i="32"/>
  <c r="B136" i="32"/>
  <c r="B135" i="32"/>
  <c r="B134" i="32"/>
  <c r="B133" i="32"/>
  <c r="B132" i="32"/>
  <c r="B131" i="32"/>
  <c r="B130" i="32"/>
  <c r="B129" i="32"/>
  <c r="B128" i="32"/>
  <c r="B127" i="32"/>
  <c r="B126" i="32"/>
  <c r="B125" i="32"/>
  <c r="B124" i="32"/>
  <c r="B123" i="32"/>
  <c r="B122" i="32"/>
  <c r="B121" i="32"/>
  <c r="B120" i="32"/>
  <c r="B119" i="32"/>
  <c r="B118" i="32"/>
  <c r="B117" i="32"/>
  <c r="B116" i="32"/>
  <c r="B115" i="32"/>
  <c r="B114" i="32"/>
  <c r="B113" i="32"/>
  <c r="B112" i="32"/>
  <c r="B111" i="32"/>
  <c r="B110" i="32"/>
  <c r="B109" i="32"/>
  <c r="B108" i="32"/>
  <c r="B107" i="32"/>
  <c r="B106" i="32"/>
  <c r="B105" i="32"/>
  <c r="B104" i="32"/>
  <c r="B103" i="32"/>
  <c r="B102" i="32"/>
  <c r="B101" i="32"/>
  <c r="B100" i="32"/>
  <c r="B99" i="32"/>
  <c r="B98" i="32"/>
  <c r="B97" i="32"/>
  <c r="B96" i="32"/>
  <c r="B95" i="32"/>
  <c r="B94" i="32"/>
  <c r="B93" i="32"/>
  <c r="B92" i="32"/>
  <c r="B91" i="32"/>
  <c r="B90" i="32"/>
  <c r="B89" i="32"/>
  <c r="B88" i="32"/>
  <c r="B87" i="32"/>
  <c r="B86" i="32"/>
  <c r="B85" i="32"/>
  <c r="D262" i="31"/>
  <c r="D261" i="31"/>
  <c r="D254" i="31"/>
  <c r="D253" i="31"/>
  <c r="D248" i="31"/>
  <c r="D247" i="31"/>
  <c r="D246" i="31"/>
  <c r="D245" i="31"/>
  <c r="D244" i="31"/>
  <c r="D243" i="31"/>
  <c r="D242" i="31"/>
  <c r="D241" i="31"/>
  <c r="D240" i="31"/>
  <c r="D239" i="31"/>
  <c r="D238" i="31"/>
  <c r="D237" i="31"/>
  <c r="D236" i="31"/>
  <c r="D235" i="31"/>
  <c r="D234" i="31"/>
  <c r="D230" i="31"/>
  <c r="D229" i="31"/>
  <c r="D224" i="31"/>
  <c r="D223" i="31"/>
  <c r="D222" i="31"/>
  <c r="D221" i="31"/>
  <c r="D220" i="31"/>
  <c r="D219" i="31"/>
  <c r="D218" i="31"/>
  <c r="D212" i="31"/>
  <c r="D210" i="31"/>
  <c r="D206" i="31"/>
  <c r="D205" i="31"/>
  <c r="D200" i="31"/>
  <c r="D199" i="31"/>
  <c r="D198" i="31"/>
  <c r="D197" i="31"/>
  <c r="D196" i="31"/>
  <c r="D195" i="31"/>
  <c r="D194" i="31"/>
  <c r="D193" i="31"/>
  <c r="D192" i="31"/>
  <c r="D187" i="31"/>
  <c r="D182" i="31"/>
  <c r="D176" i="31"/>
  <c r="D175" i="31"/>
  <c r="D174" i="31"/>
  <c r="D173" i="31"/>
  <c r="D172" i="31"/>
  <c r="D171" i="31"/>
  <c r="D170" i="31"/>
  <c r="D169" i="31"/>
  <c r="D168" i="31"/>
  <c r="D167" i="31"/>
  <c r="D166" i="31"/>
  <c r="D165" i="31"/>
  <c r="D164" i="31"/>
  <c r="D163" i="31"/>
  <c r="D162" i="31"/>
  <c r="D158" i="31"/>
  <c r="D157" i="31"/>
  <c r="D152" i="31"/>
  <c r="D151" i="31"/>
  <c r="D150" i="31"/>
  <c r="D149" i="31"/>
  <c r="D148" i="31"/>
  <c r="D147" i="31"/>
  <c r="D146" i="31"/>
  <c r="B262" i="31"/>
  <c r="B261" i="31"/>
  <c r="B260" i="31"/>
  <c r="B259" i="31"/>
  <c r="B258" i="31"/>
  <c r="B257" i="31"/>
  <c r="B256" i="31"/>
  <c r="D256" i="31" s="1"/>
  <c r="B255" i="31"/>
  <c r="D255" i="31" s="1"/>
  <c r="B254" i="31"/>
  <c r="B253" i="31"/>
  <c r="B252" i="31"/>
  <c r="D252" i="31" s="1"/>
  <c r="B251" i="31"/>
  <c r="D251" i="31" s="1"/>
  <c r="B250" i="31"/>
  <c r="D250" i="31" s="1"/>
  <c r="B249" i="31"/>
  <c r="D249" i="31" s="1"/>
  <c r="B248" i="31"/>
  <c r="B247" i="31"/>
  <c r="B246" i="31"/>
  <c r="B245" i="31"/>
  <c r="B244" i="31"/>
  <c r="B243" i="31"/>
  <c r="B242" i="31"/>
  <c r="B241" i="31"/>
  <c r="B240" i="31"/>
  <c r="B239" i="31"/>
  <c r="B238" i="31"/>
  <c r="B237" i="31"/>
  <c r="B236" i="31"/>
  <c r="B235" i="31"/>
  <c r="B234" i="31"/>
  <c r="B233" i="31"/>
  <c r="B232" i="31"/>
  <c r="D232" i="31" s="1"/>
  <c r="B231" i="31"/>
  <c r="D231" i="31" s="1"/>
  <c r="B230" i="31"/>
  <c r="B229" i="31"/>
  <c r="B228" i="31"/>
  <c r="D228" i="31" s="1"/>
  <c r="B227" i="31"/>
  <c r="D227" i="31" s="1"/>
  <c r="B226" i="31"/>
  <c r="D226" i="31" s="1"/>
  <c r="B225" i="31"/>
  <c r="D225" i="31" s="1"/>
  <c r="B224" i="31"/>
  <c r="B223" i="31"/>
  <c r="B222" i="31"/>
  <c r="B221" i="31"/>
  <c r="B220" i="31"/>
  <c r="B219" i="31"/>
  <c r="B218" i="31"/>
  <c r="B217" i="31"/>
  <c r="B216" i="31"/>
  <c r="B215" i="31"/>
  <c r="B214" i="31"/>
  <c r="B213" i="31"/>
  <c r="B212" i="31"/>
  <c r="B211" i="31"/>
  <c r="B210" i="31"/>
  <c r="B209" i="31"/>
  <c r="B208" i="31"/>
  <c r="D208" i="31" s="1"/>
  <c r="B207" i="31"/>
  <c r="D207" i="31" s="1"/>
  <c r="B206" i="31"/>
  <c r="B205" i="31"/>
  <c r="B204" i="31"/>
  <c r="D204" i="31" s="1"/>
  <c r="B203" i="31"/>
  <c r="D203" i="31" s="1"/>
  <c r="B202" i="31"/>
  <c r="D202" i="31" s="1"/>
  <c r="B201" i="31"/>
  <c r="D201" i="31" s="1"/>
  <c r="B200" i="31"/>
  <c r="B199" i="31"/>
  <c r="B198" i="31"/>
  <c r="B197" i="31"/>
  <c r="B196" i="31"/>
  <c r="B195" i="31"/>
  <c r="B194" i="31"/>
  <c r="B193" i="31"/>
  <c r="B192" i="31"/>
  <c r="B191" i="31"/>
  <c r="B190" i="31"/>
  <c r="B189" i="31"/>
  <c r="B188" i="31"/>
  <c r="B187" i="31"/>
  <c r="B186" i="31"/>
  <c r="B185" i="31"/>
  <c r="B184" i="31"/>
  <c r="D184" i="31" s="1"/>
  <c r="B183" i="31"/>
  <c r="D183" i="31" s="1"/>
  <c r="B182" i="31"/>
  <c r="B181" i="31"/>
  <c r="D181" i="31" s="1"/>
  <c r="B180" i="31"/>
  <c r="D180" i="31" s="1"/>
  <c r="B179" i="31"/>
  <c r="D179" i="31" s="1"/>
  <c r="B178" i="31"/>
  <c r="D178" i="31" s="1"/>
  <c r="B177" i="31"/>
  <c r="D177" i="31" s="1"/>
  <c r="B176" i="31"/>
  <c r="B175" i="31"/>
  <c r="B174" i="31"/>
  <c r="B173" i="31"/>
  <c r="B172" i="31"/>
  <c r="B171" i="31"/>
  <c r="B170" i="31"/>
  <c r="B169" i="31"/>
  <c r="B168" i="31"/>
  <c r="B167" i="31"/>
  <c r="B166" i="31"/>
  <c r="B165" i="31"/>
  <c r="B164" i="31"/>
  <c r="B163" i="31"/>
  <c r="B162" i="31"/>
  <c r="B161" i="31"/>
  <c r="B160" i="31"/>
  <c r="D160" i="31" s="1"/>
  <c r="B159" i="31"/>
  <c r="D159" i="31" s="1"/>
  <c r="B158" i="31"/>
  <c r="B157" i="31"/>
  <c r="B156" i="31"/>
  <c r="D156" i="31" s="1"/>
  <c r="B155" i="31"/>
  <c r="D155" i="31" s="1"/>
  <c r="B154" i="31"/>
  <c r="D154" i="31" s="1"/>
  <c r="B153" i="31"/>
  <c r="D153" i="31" s="1"/>
  <c r="B152" i="31"/>
  <c r="B151" i="31"/>
  <c r="B150" i="31"/>
  <c r="B149" i="31"/>
  <c r="B148" i="31"/>
  <c r="B147" i="31"/>
  <c r="B146" i="31"/>
  <c r="E169" i="31"/>
  <c r="E152" i="31"/>
  <c r="E238" i="31"/>
  <c r="E225" i="31"/>
  <c r="E199" i="31"/>
  <c r="E250" i="31"/>
  <c r="E196" i="31"/>
  <c r="E202" i="31"/>
  <c r="E156" i="31"/>
  <c r="E150" i="31"/>
  <c r="E198" i="31"/>
  <c r="E184" i="31"/>
  <c r="E232" i="31"/>
  <c r="E242" i="31"/>
  <c r="E243" i="31"/>
  <c r="E177" i="31"/>
  <c r="E167" i="31"/>
  <c r="E173" i="31"/>
  <c r="E226" i="31"/>
  <c r="E256" i="31"/>
  <c r="E151" i="31"/>
  <c r="E244" i="31"/>
  <c r="E233" i="31"/>
  <c r="E222" i="31"/>
  <c r="E253" i="31"/>
  <c r="E166" i="31"/>
  <c r="E249" i="31"/>
  <c r="E206" i="31"/>
  <c r="E230" i="31"/>
  <c r="E174" i="31"/>
  <c r="E227" i="31"/>
  <c r="E197" i="31"/>
  <c r="E172" i="31"/>
  <c r="E254" i="31"/>
  <c r="E245" i="31"/>
  <c r="E176" i="31"/>
  <c r="E179" i="31"/>
  <c r="E208" i="31"/>
  <c r="E257" i="31"/>
  <c r="E251" i="31"/>
  <c r="E252" i="31"/>
  <c r="E239" i="31"/>
  <c r="E255" i="31"/>
  <c r="E157" i="31"/>
  <c r="E205" i="31"/>
  <c r="E170" i="31"/>
  <c r="E153" i="31"/>
  <c r="E181" i="31"/>
  <c r="E158" i="31"/>
  <c r="E168" i="31"/>
  <c r="E185" i="31"/>
  <c r="E182" i="31"/>
  <c r="E155" i="31"/>
  <c r="E223" i="31"/>
  <c r="E204" i="31"/>
  <c r="E240" i="31"/>
  <c r="E171" i="31"/>
  <c r="E178" i="31"/>
  <c r="E228" i="31"/>
  <c r="E246" i="31"/>
  <c r="E203" i="31"/>
  <c r="E161" i="31"/>
  <c r="E200" i="31"/>
  <c r="E201" i="31"/>
  <c r="E154" i="31"/>
  <c r="E180" i="31"/>
  <c r="E241" i="31"/>
  <c r="E175" i="31"/>
  <c r="B14" i="38"/>
  <c r="E209" i="31"/>
  <c r="C14" i="38"/>
  <c r="E247" i="31"/>
  <c r="E183" i="31"/>
  <c r="E224" i="31"/>
  <c r="E207" i="31"/>
  <c r="E248" i="31"/>
  <c r="E159" i="31"/>
  <c r="E231" i="31"/>
  <c r="E160" i="31"/>
  <c r="E229" i="31"/>
  <c r="F86" i="34" l="1"/>
  <c r="G86" i="34" s="1"/>
  <c r="E85" i="34"/>
  <c r="D85" i="34"/>
  <c r="C86" i="34" s="1"/>
  <c r="C86" i="33"/>
  <c r="E86" i="33" s="1"/>
  <c r="G86" i="33"/>
  <c r="F86" i="33"/>
  <c r="E85" i="33"/>
  <c r="E85" i="32"/>
  <c r="D85" i="32"/>
  <c r="F86" i="32" s="1"/>
  <c r="G86" i="32" s="1"/>
  <c r="C86" i="32"/>
  <c r="E86" i="32" s="1"/>
  <c r="G243" i="31"/>
  <c r="G150" i="31"/>
  <c r="H150" i="31" s="1"/>
  <c r="F150" i="31"/>
  <c r="F245" i="31"/>
  <c r="G245" i="31"/>
  <c r="G246" i="31"/>
  <c r="H246" i="31" s="1"/>
  <c r="F246" i="31"/>
  <c r="G248" i="31"/>
  <c r="H248" i="31" s="1"/>
  <c r="F248" i="31"/>
  <c r="G201" i="31"/>
  <c r="H201" i="31" s="1"/>
  <c r="G251" i="31"/>
  <c r="H251" i="31" s="1"/>
  <c r="G173" i="31"/>
  <c r="H173" i="31" s="1"/>
  <c r="F173" i="31"/>
  <c r="F197" i="31"/>
  <c r="G197" i="31"/>
  <c r="H197" i="31" s="1"/>
  <c r="G154" i="31"/>
  <c r="H154" i="31" s="1"/>
  <c r="F170" i="31"/>
  <c r="G170" i="31"/>
  <c r="G174" i="31"/>
  <c r="H174" i="31" s="1"/>
  <c r="F174" i="31"/>
  <c r="G242" i="31"/>
  <c r="F171" i="31"/>
  <c r="G171" i="31"/>
  <c r="H171" i="31" s="1"/>
  <c r="G175" i="31"/>
  <c r="H175" i="31" s="1"/>
  <c r="F175" i="31"/>
  <c r="G222" i="31"/>
  <c r="H222" i="31" s="1"/>
  <c r="F222" i="31"/>
  <c r="F172" i="31"/>
  <c r="G172" i="31"/>
  <c r="H172" i="31" s="1"/>
  <c r="G176" i="31"/>
  <c r="H176" i="31" s="1"/>
  <c r="F176" i="31"/>
  <c r="G223" i="31"/>
  <c r="H223" i="31" s="1"/>
  <c r="F223" i="31"/>
  <c r="G152" i="31"/>
  <c r="H152" i="31" s="1"/>
  <c r="F152" i="31"/>
  <c r="G153" i="31"/>
  <c r="H153" i="31" s="1"/>
  <c r="G155" i="31"/>
  <c r="H155" i="31" s="1"/>
  <c r="G177" i="31"/>
  <c r="H177" i="31" s="1"/>
  <c r="G224" i="31"/>
  <c r="H224" i="31" s="1"/>
  <c r="F224" i="31"/>
  <c r="G198" i="31"/>
  <c r="H198" i="31" s="1"/>
  <c r="F198" i="31"/>
  <c r="G244" i="31"/>
  <c r="H244" i="31" s="1"/>
  <c r="G199" i="31"/>
  <c r="H199" i="31" s="1"/>
  <c r="F199" i="31"/>
  <c r="G250" i="31"/>
  <c r="H250" i="31" s="1"/>
  <c r="G179" i="31"/>
  <c r="H179" i="31" s="1"/>
  <c r="G196" i="31"/>
  <c r="H196" i="31" s="1"/>
  <c r="G151" i="31"/>
  <c r="H151" i="31" s="1"/>
  <c r="F151" i="31"/>
  <c r="G247" i="31"/>
  <c r="H247" i="31" s="1"/>
  <c r="F247" i="31"/>
  <c r="G200" i="31"/>
  <c r="H200" i="31" s="1"/>
  <c r="F200" i="31"/>
  <c r="G249" i="31"/>
  <c r="H249" i="31" s="1"/>
  <c r="G202" i="31"/>
  <c r="H202" i="31" s="1"/>
  <c r="G203" i="31"/>
  <c r="H203" i="31" s="1"/>
  <c r="G169" i="31"/>
  <c r="H169" i="31" s="1"/>
  <c r="F169" i="31"/>
  <c r="G178" i="31"/>
  <c r="H178" i="31" s="1"/>
  <c r="G225" i="31"/>
  <c r="H225" i="31" s="1"/>
  <c r="G226" i="31"/>
  <c r="H226" i="31" s="1"/>
  <c r="G227" i="31"/>
  <c r="H227" i="31" s="1"/>
  <c r="G241" i="31"/>
  <c r="H241" i="31" s="1"/>
  <c r="G156" i="31"/>
  <c r="H156" i="31" s="1"/>
  <c r="G228" i="31"/>
  <c r="H228" i="31" s="1"/>
  <c r="G205" i="31"/>
  <c r="H205" i="31" s="1"/>
  <c r="G253" i="31"/>
  <c r="H253" i="31" s="1"/>
  <c r="G182" i="31"/>
  <c r="H182" i="31" s="1"/>
  <c r="G254" i="31"/>
  <c r="H254" i="31" s="1"/>
  <c r="G159" i="31"/>
  <c r="H159" i="31" s="1"/>
  <c r="G183" i="31"/>
  <c r="H183" i="31" s="1"/>
  <c r="G207" i="31"/>
  <c r="G231" i="31"/>
  <c r="H231" i="31" s="1"/>
  <c r="G255" i="31"/>
  <c r="H255" i="31" s="1"/>
  <c r="G157" i="31"/>
  <c r="H157" i="31" s="1"/>
  <c r="G158" i="31"/>
  <c r="H158" i="31" s="1"/>
  <c r="G160" i="31"/>
  <c r="H160" i="31" s="1"/>
  <c r="G184" i="31"/>
  <c r="H184" i="31" s="1"/>
  <c r="G208" i="31"/>
  <c r="G232" i="31"/>
  <c r="H232" i="31" s="1"/>
  <c r="G256" i="31"/>
  <c r="H256" i="31" s="1"/>
  <c r="G252" i="31"/>
  <c r="H252" i="31" s="1"/>
  <c r="G161" i="31"/>
  <c r="H161" i="31" s="1"/>
  <c r="G185" i="31"/>
  <c r="H185" i="31" s="1"/>
  <c r="G209" i="31"/>
  <c r="H209" i="31" s="1"/>
  <c r="G233" i="31"/>
  <c r="H233" i="31" s="1"/>
  <c r="G257" i="31"/>
  <c r="H257" i="31" s="1"/>
  <c r="G180" i="31"/>
  <c r="H180" i="31" s="1"/>
  <c r="G229" i="31"/>
  <c r="H229" i="31" s="1"/>
  <c r="G230" i="31"/>
  <c r="H230" i="31" s="1"/>
  <c r="G204" i="31"/>
  <c r="H204" i="31" s="1"/>
  <c r="G181" i="31"/>
  <c r="H181" i="31" s="1"/>
  <c r="G206" i="31"/>
  <c r="H206" i="31" s="1"/>
  <c r="G166" i="31"/>
  <c r="H166" i="31" s="1"/>
  <c r="G238" i="31"/>
  <c r="H238" i="31" s="1"/>
  <c r="G167" i="31"/>
  <c r="H167" i="31" s="1"/>
  <c r="G239" i="31"/>
  <c r="H239" i="31" s="1"/>
  <c r="G168" i="31"/>
  <c r="H168" i="31" s="1"/>
  <c r="G240" i="31"/>
  <c r="H240" i="31" s="1"/>
  <c r="F178" i="31"/>
  <c r="F240" i="31"/>
  <c r="F249" i="31"/>
  <c r="F242" i="31"/>
  <c r="F153" i="31"/>
  <c r="F244" i="31"/>
  <c r="F177" i="31"/>
  <c r="F202" i="31"/>
  <c r="F243" i="31"/>
  <c r="F225" i="31"/>
  <c r="F226" i="31"/>
  <c r="F196" i="31"/>
  <c r="F241" i="31"/>
  <c r="F201" i="31"/>
  <c r="F154" i="31"/>
  <c r="F250" i="31"/>
  <c r="F181" i="31"/>
  <c r="F168" i="31"/>
  <c r="F180" i="31"/>
  <c r="F166" i="31"/>
  <c r="F207" i="31"/>
  <c r="F232" i="31"/>
  <c r="D257" i="31"/>
  <c r="D211" i="31"/>
  <c r="D213" i="31"/>
  <c r="F158" i="31"/>
  <c r="F203" i="31"/>
  <c r="F204" i="31"/>
  <c r="F256" i="31"/>
  <c r="D209" i="31"/>
  <c r="D214" i="31"/>
  <c r="F231" i="31"/>
  <c r="F239" i="31"/>
  <c r="D161" i="31"/>
  <c r="D215" i="31"/>
  <c r="F230" i="31"/>
  <c r="F179" i="31"/>
  <c r="F228" i="31"/>
  <c r="F183" i="31"/>
  <c r="F160" i="31"/>
  <c r="F206" i="31"/>
  <c r="F182" i="31"/>
  <c r="D216" i="31"/>
  <c r="F155" i="31"/>
  <c r="F238" i="31"/>
  <c r="F205" i="31"/>
  <c r="D233" i="31"/>
  <c r="D186" i="31"/>
  <c r="D217" i="31"/>
  <c r="F251" i="31"/>
  <c r="F156" i="31"/>
  <c r="F167" i="31"/>
  <c r="F159" i="31"/>
  <c r="F184" i="31"/>
  <c r="H207" i="31"/>
  <c r="D259" i="31"/>
  <c r="F229" i="31"/>
  <c r="F227" i="31"/>
  <c r="F252" i="31"/>
  <c r="F255" i="31"/>
  <c r="F208" i="31"/>
  <c r="D185" i="31"/>
  <c r="H170" i="31"/>
  <c r="H242" i="31"/>
  <c r="F253" i="31"/>
  <c r="H243" i="31"/>
  <c r="D188" i="31"/>
  <c r="F254" i="31"/>
  <c r="D189" i="31"/>
  <c r="D258" i="31"/>
  <c r="H208" i="31"/>
  <c r="H245" i="31"/>
  <c r="D190" i="31"/>
  <c r="F157" i="31"/>
  <c r="D191" i="31"/>
  <c r="D260" i="31"/>
  <c r="E213" i="31"/>
  <c r="E163" i="31"/>
  <c r="E187" i="31"/>
  <c r="E211" i="31"/>
  <c r="E193" i="31"/>
  <c r="E189" i="31"/>
  <c r="E262" i="31"/>
  <c r="E194" i="31"/>
  <c r="E186" i="31"/>
  <c r="E237" i="31"/>
  <c r="E165" i="31"/>
  <c r="E220" i="31"/>
  <c r="E258" i="31"/>
  <c r="E260" i="31"/>
  <c r="E195" i="31"/>
  <c r="E214" i="31"/>
  <c r="E234" i="31"/>
  <c r="E219" i="31"/>
  <c r="E212" i="31"/>
  <c r="E162" i="31"/>
  <c r="E188" i="31"/>
  <c r="E221" i="31"/>
  <c r="E235" i="31"/>
  <c r="E236" i="31"/>
  <c r="E259" i="31"/>
  <c r="E263" i="31"/>
  <c r="E164" i="31"/>
  <c r="E216" i="31"/>
  <c r="E215" i="31"/>
  <c r="E190" i="31"/>
  <c r="E191" i="31"/>
  <c r="E210" i="31"/>
  <c r="D86" i="34" l="1"/>
  <c r="F87" i="34" s="1"/>
  <c r="G87" i="34" s="1"/>
  <c r="E86" i="34"/>
  <c r="D86" i="33"/>
  <c r="F87" i="33" s="1"/>
  <c r="G87" i="33" s="1"/>
  <c r="D86" i="32"/>
  <c r="F87" i="32" s="1"/>
  <c r="G87" i="32" s="1"/>
  <c r="G194" i="31"/>
  <c r="H194" i="31" s="1"/>
  <c r="F194" i="31"/>
  <c r="G259" i="31"/>
  <c r="H259" i="31" s="1"/>
  <c r="G258" i="31"/>
  <c r="H258" i="31" s="1"/>
  <c r="G260" i="31"/>
  <c r="H260" i="31" s="1"/>
  <c r="G187" i="31"/>
  <c r="H187" i="31" s="1"/>
  <c r="F187" i="31"/>
  <c r="G186" i="31"/>
  <c r="H186" i="31" s="1"/>
  <c r="G189" i="31"/>
  <c r="H189" i="31" s="1"/>
  <c r="G188" i="31"/>
  <c r="H188" i="31" s="1"/>
  <c r="F219" i="31"/>
  <c r="G219" i="31"/>
  <c r="H219" i="31" s="1"/>
  <c r="G262" i="31"/>
  <c r="H262" i="31" s="1"/>
  <c r="F262" i="31"/>
  <c r="G237" i="31"/>
  <c r="H237" i="31" s="1"/>
  <c r="F237" i="31"/>
  <c r="G235" i="31"/>
  <c r="H235" i="31" s="1"/>
  <c r="F235" i="31"/>
  <c r="G234" i="31"/>
  <c r="H234" i="31" s="1"/>
  <c r="F234" i="31"/>
  <c r="G236" i="31"/>
  <c r="H236" i="31" s="1"/>
  <c r="F236" i="31"/>
  <c r="G213" i="31"/>
  <c r="H213" i="31" s="1"/>
  <c r="G211" i="31"/>
  <c r="H211" i="31" s="1"/>
  <c r="G210" i="31"/>
  <c r="H210" i="31" s="1"/>
  <c r="F210" i="31"/>
  <c r="G212" i="31"/>
  <c r="H212" i="31" s="1"/>
  <c r="F212" i="31"/>
  <c r="G193" i="31"/>
  <c r="H193" i="31" s="1"/>
  <c r="F193" i="31"/>
  <c r="G190" i="31"/>
  <c r="H190" i="31" s="1"/>
  <c r="G195" i="31"/>
  <c r="H195" i="31" s="1"/>
  <c r="F195" i="31"/>
  <c r="G215" i="31"/>
  <c r="H215" i="31" s="1"/>
  <c r="G214" i="31"/>
  <c r="H214" i="31" s="1"/>
  <c r="G221" i="31"/>
  <c r="H221" i="31" s="1"/>
  <c r="F221" i="31"/>
  <c r="G220" i="31"/>
  <c r="H220" i="31" s="1"/>
  <c r="F220" i="31"/>
  <c r="G216" i="31"/>
  <c r="H216" i="31" s="1"/>
  <c r="G163" i="31"/>
  <c r="H163" i="31" s="1"/>
  <c r="F163" i="31"/>
  <c r="G162" i="31"/>
  <c r="H162" i="31" s="1"/>
  <c r="F162" i="31"/>
  <c r="G165" i="31"/>
  <c r="H165" i="31" s="1"/>
  <c r="F165" i="31"/>
  <c r="G164" i="31"/>
  <c r="H164" i="31" s="1"/>
  <c r="F164" i="31"/>
  <c r="G191" i="31"/>
  <c r="H191" i="31" s="1"/>
  <c r="G263" i="31"/>
  <c r="F190" i="31"/>
  <c r="F257" i="31"/>
  <c r="F185" i="31"/>
  <c r="F215" i="31"/>
  <c r="F258" i="31"/>
  <c r="F233" i="31"/>
  <c r="F209" i="31"/>
  <c r="F189" i="31"/>
  <c r="F260" i="31"/>
  <c r="F186" i="31"/>
  <c r="F214" i="31"/>
  <c r="F191" i="31"/>
  <c r="F211" i="31"/>
  <c r="F216" i="31"/>
  <c r="F213" i="31"/>
  <c r="F161" i="31"/>
  <c r="F188" i="31"/>
  <c r="F259" i="31"/>
  <c r="E264" i="31"/>
  <c r="G264" i="31" l="1"/>
  <c r="C87" i="34"/>
  <c r="C87" i="33"/>
  <c r="D87" i="33" s="1"/>
  <c r="F88" i="33" s="1"/>
  <c r="G88" i="33" s="1"/>
  <c r="C87" i="32"/>
  <c r="D87" i="32" s="1"/>
  <c r="F88" i="32" s="1"/>
  <c r="G88" i="32" s="1"/>
  <c r="D87" i="34" l="1"/>
  <c r="F88" i="34" s="1"/>
  <c r="G88" i="34" s="1"/>
  <c r="E87" i="34"/>
  <c r="E87" i="33"/>
  <c r="C88" i="33"/>
  <c r="E87" i="32"/>
  <c r="C88" i="32"/>
  <c r="C88" i="34" l="1"/>
  <c r="D88" i="33"/>
  <c r="F89" i="33" s="1"/>
  <c r="G89" i="33" s="1"/>
  <c r="E88" i="33"/>
  <c r="E88" i="32"/>
  <c r="D88" i="32"/>
  <c r="F89" i="32" s="1"/>
  <c r="G89" i="32" s="1"/>
  <c r="D88" i="34" l="1"/>
  <c r="F89" i="34" s="1"/>
  <c r="G89" i="34" s="1"/>
  <c r="E88" i="34"/>
  <c r="C89" i="33"/>
  <c r="C89" i="32"/>
  <c r="C89" i="34" l="1"/>
  <c r="E89" i="33"/>
  <c r="D89" i="33"/>
  <c r="F90" i="33" s="1"/>
  <c r="G90" i="33" s="1"/>
  <c r="E89" i="32"/>
  <c r="D89" i="32"/>
  <c r="F90" i="32" s="1"/>
  <c r="G90" i="32" s="1"/>
  <c r="E89" i="34" l="1"/>
  <c r="D89" i="34"/>
  <c r="F90" i="34" s="1"/>
  <c r="G90" i="34" s="1"/>
  <c r="C90" i="33"/>
  <c r="C90" i="32"/>
  <c r="C90" i="34" l="1"/>
  <c r="E90" i="33"/>
  <c r="D90" i="33"/>
  <c r="C91" i="33" s="1"/>
  <c r="D90" i="32"/>
  <c r="C91" i="32" s="1"/>
  <c r="E90" i="32"/>
  <c r="E90" i="34" l="1"/>
  <c r="D90" i="34"/>
  <c r="F91" i="34" s="1"/>
  <c r="G91" i="34" s="1"/>
  <c r="D91" i="33"/>
  <c r="F92" i="33" s="1"/>
  <c r="G92" i="33" s="1"/>
  <c r="E91" i="33"/>
  <c r="F91" i="33"/>
  <c r="G91" i="33" s="1"/>
  <c r="F91" i="32"/>
  <c r="G91" i="32" s="1"/>
  <c r="E91" i="32"/>
  <c r="D91" i="32"/>
  <c r="C92" i="32" s="1"/>
  <c r="C91" i="34" l="1"/>
  <c r="C92" i="33"/>
  <c r="E92" i="33" s="1"/>
  <c r="E92" i="32"/>
  <c r="D92" i="32"/>
  <c r="C93" i="32" s="1"/>
  <c r="F92" i="32"/>
  <c r="G92" i="32" s="1"/>
  <c r="E91" i="34" l="1"/>
  <c r="D91" i="34"/>
  <c r="C92" i="34" s="1"/>
  <c r="D92" i="33"/>
  <c r="F93" i="33" s="1"/>
  <c r="G93" i="33" s="1"/>
  <c r="D93" i="32"/>
  <c r="F94" i="32" s="1"/>
  <c r="G94" i="32" s="1"/>
  <c r="E93" i="32"/>
  <c r="F93" i="32"/>
  <c r="G93" i="32" s="1"/>
  <c r="E92" i="34" l="1"/>
  <c r="D92" i="34"/>
  <c r="C93" i="34" s="1"/>
  <c r="F92" i="34"/>
  <c r="G92" i="34" s="1"/>
  <c r="C93" i="33"/>
  <c r="D93" i="33" s="1"/>
  <c r="F94" i="33" s="1"/>
  <c r="G94" i="33" s="1"/>
  <c r="C94" i="32"/>
  <c r="D94" i="32" s="1"/>
  <c r="C95" i="32" s="1"/>
  <c r="E93" i="34" l="1"/>
  <c r="D93" i="34"/>
  <c r="F94" i="34" s="1"/>
  <c r="G94" i="34" s="1"/>
  <c r="F93" i="34"/>
  <c r="G93" i="34" s="1"/>
  <c r="C94" i="33"/>
  <c r="D94" i="33" s="1"/>
  <c r="F95" i="33" s="1"/>
  <c r="G95" i="33" s="1"/>
  <c r="E93" i="33"/>
  <c r="E94" i="32"/>
  <c r="F95" i="32"/>
  <c r="G95" i="32" s="1"/>
  <c r="D95" i="32"/>
  <c r="F96" i="32" s="1"/>
  <c r="G96" i="32" s="1"/>
  <c r="E95" i="32"/>
  <c r="C94" i="34" l="1"/>
  <c r="D94" i="34" s="1"/>
  <c r="E94" i="33"/>
  <c r="C95" i="33"/>
  <c r="C96" i="32"/>
  <c r="D96" i="32" s="1"/>
  <c r="E94" i="34" l="1"/>
  <c r="F95" i="34"/>
  <c r="G95" i="34" s="1"/>
  <c r="C95" i="34"/>
  <c r="D95" i="34" s="1"/>
  <c r="D95" i="33"/>
  <c r="F96" i="33" s="1"/>
  <c r="G96" i="33" s="1"/>
  <c r="E95" i="33"/>
  <c r="E96" i="32"/>
  <c r="F97" i="32"/>
  <c r="G97" i="32" s="1"/>
  <c r="C97" i="32"/>
  <c r="E97" i="32" s="1"/>
  <c r="E95" i="34" l="1"/>
  <c r="F96" i="34"/>
  <c r="G96" i="34" s="1"/>
  <c r="C96" i="34"/>
  <c r="D96" i="34" s="1"/>
  <c r="C96" i="33"/>
  <c r="E96" i="33" s="1"/>
  <c r="D97" i="32"/>
  <c r="F98" i="32" s="1"/>
  <c r="G98" i="32" s="1"/>
  <c r="E96" i="34" l="1"/>
  <c r="F97" i="34"/>
  <c r="G97" i="34" s="1"/>
  <c r="C97" i="34"/>
  <c r="D97" i="34" s="1"/>
  <c r="F98" i="34" s="1"/>
  <c r="G98" i="34" s="1"/>
  <c r="D96" i="33"/>
  <c r="F97" i="33" s="1"/>
  <c r="G97" i="33" s="1"/>
  <c r="C98" i="32"/>
  <c r="D98" i="32" s="1"/>
  <c r="E97" i="34" l="1"/>
  <c r="C98" i="34"/>
  <c r="E98" i="34" s="1"/>
  <c r="C97" i="33"/>
  <c r="D97" i="33" s="1"/>
  <c r="F98" i="33" s="1"/>
  <c r="G98" i="33" s="1"/>
  <c r="E98" i="32"/>
  <c r="F99" i="32"/>
  <c r="G99" i="32" s="1"/>
  <c r="C99" i="32"/>
  <c r="D99" i="32" s="1"/>
  <c r="D98" i="34" l="1"/>
  <c r="E97" i="33"/>
  <c r="C98" i="33"/>
  <c r="D98" i="33" s="1"/>
  <c r="E99" i="32"/>
  <c r="C100" i="32"/>
  <c r="D100" i="32" s="1"/>
  <c r="F100" i="32"/>
  <c r="G100" i="32" s="1"/>
  <c r="F99" i="34" l="1"/>
  <c r="G99" i="34" s="1"/>
  <c r="C99" i="34"/>
  <c r="E98" i="33"/>
  <c r="F99" i="33"/>
  <c r="G99" i="33" s="1"/>
  <c r="C99" i="33"/>
  <c r="D99" i="33" s="1"/>
  <c r="F100" i="33" s="1"/>
  <c r="G100" i="33" s="1"/>
  <c r="E100" i="32"/>
  <c r="F101" i="32"/>
  <c r="G101" i="32" s="1"/>
  <c r="C101" i="32"/>
  <c r="D101" i="32" s="1"/>
  <c r="C102" i="32" s="1"/>
  <c r="D99" i="34" l="1"/>
  <c r="C100" i="34" s="1"/>
  <c r="E99" i="34"/>
  <c r="E99" i="33"/>
  <c r="C100" i="33"/>
  <c r="E101" i="32"/>
  <c r="F102" i="32"/>
  <c r="G102" i="32" s="1"/>
  <c r="D102" i="32"/>
  <c r="F103" i="32" s="1"/>
  <c r="G103" i="32" s="1"/>
  <c r="E102" i="32"/>
  <c r="F100" i="34" l="1"/>
  <c r="G100" i="34" s="1"/>
  <c r="D100" i="34"/>
  <c r="F101" i="34" s="1"/>
  <c r="G101" i="34" s="1"/>
  <c r="E100" i="34"/>
  <c r="D100" i="33"/>
  <c r="F101" i="33" s="1"/>
  <c r="G101" i="33" s="1"/>
  <c r="E100" i="33"/>
  <c r="C103" i="32"/>
  <c r="D103" i="32" s="1"/>
  <c r="F104" i="32" s="1"/>
  <c r="G104" i="32" s="1"/>
  <c r="C101" i="34" l="1"/>
  <c r="D101" i="34" s="1"/>
  <c r="C101" i="33"/>
  <c r="D101" i="33" s="1"/>
  <c r="F102" i="33" s="1"/>
  <c r="G102" i="33" s="1"/>
  <c r="E103" i="32"/>
  <c r="C104" i="32"/>
  <c r="D104" i="32" s="1"/>
  <c r="F105" i="32" s="1"/>
  <c r="G105" i="32" s="1"/>
  <c r="F102" i="34" l="1"/>
  <c r="G102" i="34" s="1"/>
  <c r="C102" i="34"/>
  <c r="D102" i="34" s="1"/>
  <c r="E101" i="34"/>
  <c r="E101" i="33"/>
  <c r="C102" i="33"/>
  <c r="D102" i="33" s="1"/>
  <c r="F103" i="33" s="1"/>
  <c r="G103" i="33" s="1"/>
  <c r="E104" i="32"/>
  <c r="C105" i="32"/>
  <c r="D105" i="32" s="1"/>
  <c r="F106" i="32" s="1"/>
  <c r="G106" i="32" s="1"/>
  <c r="E102" i="34" l="1"/>
  <c r="F103" i="34"/>
  <c r="G103" i="34" s="1"/>
  <c r="C103" i="34"/>
  <c r="E102" i="33"/>
  <c r="C103" i="33"/>
  <c r="E105" i="32"/>
  <c r="C106" i="32"/>
  <c r="D106" i="32" s="1"/>
  <c r="E103" i="34" l="1"/>
  <c r="D103" i="34"/>
  <c r="F104" i="34" s="1"/>
  <c r="G104" i="34" s="1"/>
  <c r="D103" i="33"/>
  <c r="F104" i="33" s="1"/>
  <c r="G104" i="33" s="1"/>
  <c r="E103" i="33"/>
  <c r="C107" i="32"/>
  <c r="D107" i="32" s="1"/>
  <c r="F108" i="32" s="1"/>
  <c r="G108" i="32" s="1"/>
  <c r="E106" i="32"/>
  <c r="F107" i="32"/>
  <c r="G107" i="32" s="1"/>
  <c r="C104" i="34" l="1"/>
  <c r="C104" i="33"/>
  <c r="E107" i="32"/>
  <c r="C108" i="32"/>
  <c r="E108" i="32" s="1"/>
  <c r="D104" i="34" l="1"/>
  <c r="F105" i="34" s="1"/>
  <c r="G105" i="34" s="1"/>
  <c r="E104" i="34"/>
  <c r="D104" i="33"/>
  <c r="F105" i="33" s="1"/>
  <c r="G105" i="33" s="1"/>
  <c r="E104" i="33"/>
  <c r="D108" i="32"/>
  <c r="C105" i="34" l="1"/>
  <c r="D105" i="34" s="1"/>
  <c r="C105" i="33"/>
  <c r="F109" i="32"/>
  <c r="G109" i="32" s="1"/>
  <c r="C109" i="32"/>
  <c r="E105" i="34" l="1"/>
  <c r="F106" i="34"/>
  <c r="G106" i="34" s="1"/>
  <c r="C106" i="34"/>
  <c r="D106" i="34" s="1"/>
  <c r="D105" i="33"/>
  <c r="F106" i="33" s="1"/>
  <c r="G106" i="33" s="1"/>
  <c r="E105" i="33"/>
  <c r="D109" i="32"/>
  <c r="F110" i="32" s="1"/>
  <c r="G110" i="32" s="1"/>
  <c r="E109" i="32"/>
  <c r="E106" i="34" l="1"/>
  <c r="C107" i="34"/>
  <c r="F107" i="34"/>
  <c r="G107" i="34" s="1"/>
  <c r="E107" i="34"/>
  <c r="D107" i="34"/>
  <c r="C108" i="34" s="1"/>
  <c r="C106" i="33"/>
  <c r="D106" i="33" s="1"/>
  <c r="F107" i="33" s="1"/>
  <c r="G107" i="33" s="1"/>
  <c r="C110" i="32"/>
  <c r="D110" i="32" s="1"/>
  <c r="F108" i="34" l="1"/>
  <c r="G108" i="34" s="1"/>
  <c r="E108" i="34"/>
  <c r="D108" i="34"/>
  <c r="C109" i="34" s="1"/>
  <c r="D109" i="34" s="1"/>
  <c r="F110" i="34" s="1"/>
  <c r="G110" i="34" s="1"/>
  <c r="E106" i="33"/>
  <c r="C107" i="33"/>
  <c r="E110" i="32"/>
  <c r="F111" i="32"/>
  <c r="G111" i="32" s="1"/>
  <c r="C111" i="32"/>
  <c r="E109" i="34" l="1"/>
  <c r="F109" i="34"/>
  <c r="G109" i="34" s="1"/>
  <c r="C110" i="34"/>
  <c r="D110" i="34" s="1"/>
  <c r="F111" i="34" s="1"/>
  <c r="G111" i="34" s="1"/>
  <c r="D107" i="33"/>
  <c r="F108" i="33" s="1"/>
  <c r="G108" i="33" s="1"/>
  <c r="E107" i="33"/>
  <c r="D111" i="32"/>
  <c r="F112" i="32" s="1"/>
  <c r="G112" i="32" s="1"/>
  <c r="E111" i="32"/>
  <c r="E110" i="34" l="1"/>
  <c r="C111" i="34"/>
  <c r="D111" i="34" s="1"/>
  <c r="F112" i="34" s="1"/>
  <c r="G112" i="34" s="1"/>
  <c r="C108" i="33"/>
  <c r="D108" i="33" s="1"/>
  <c r="C112" i="32"/>
  <c r="E112" i="32" s="1"/>
  <c r="E111" i="34" l="1"/>
  <c r="C112" i="34"/>
  <c r="D112" i="34" s="1"/>
  <c r="F109" i="33"/>
  <c r="G109" i="33" s="1"/>
  <c r="C109" i="33"/>
  <c r="D109" i="33" s="1"/>
  <c r="F110" i="33" s="1"/>
  <c r="G110" i="33" s="1"/>
  <c r="E108" i="33"/>
  <c r="D112" i="32"/>
  <c r="F113" i="32" s="1"/>
  <c r="G113" i="32" s="1"/>
  <c r="C113" i="32"/>
  <c r="D113" i="32" s="1"/>
  <c r="E112" i="34" l="1"/>
  <c r="F113" i="34"/>
  <c r="G113" i="34" s="1"/>
  <c r="C113" i="34"/>
  <c r="D113" i="34" s="1"/>
  <c r="E109" i="33"/>
  <c r="C110" i="33"/>
  <c r="E113" i="32"/>
  <c r="F114" i="32"/>
  <c r="G114" i="32" s="1"/>
  <c r="C114" i="32"/>
  <c r="D114" i="32" s="1"/>
  <c r="E113" i="34" l="1"/>
  <c r="F114" i="34"/>
  <c r="G114" i="34" s="1"/>
  <c r="C114" i="34"/>
  <c r="D110" i="33"/>
  <c r="F111" i="33" s="1"/>
  <c r="G111" i="33" s="1"/>
  <c r="E110" i="33"/>
  <c r="E114" i="32"/>
  <c r="F115" i="32"/>
  <c r="G115" i="32" s="1"/>
  <c r="C115" i="32"/>
  <c r="D115" i="32" s="1"/>
  <c r="F116" i="32" s="1"/>
  <c r="G116" i="32" s="1"/>
  <c r="E114" i="34" l="1"/>
  <c r="D114" i="34"/>
  <c r="F115" i="34" s="1"/>
  <c r="G115" i="34" s="1"/>
  <c r="C111" i="33"/>
  <c r="E115" i="32"/>
  <c r="C116" i="32"/>
  <c r="D116" i="32" s="1"/>
  <c r="F117" i="32" s="1"/>
  <c r="G117" i="32" s="1"/>
  <c r="C115" i="34" l="1"/>
  <c r="E115" i="34" s="1"/>
  <c r="D111" i="33"/>
  <c r="F112" i="33" s="1"/>
  <c r="G112" i="33" s="1"/>
  <c r="E111" i="33"/>
  <c r="E116" i="32"/>
  <c r="C117" i="32"/>
  <c r="E117" i="32" s="1"/>
  <c r="D115" i="34" l="1"/>
  <c r="C116" i="34" s="1"/>
  <c r="D116" i="34" s="1"/>
  <c r="C112" i="33"/>
  <c r="D112" i="33" s="1"/>
  <c r="F113" i="33" s="1"/>
  <c r="G113" i="33" s="1"/>
  <c r="D117" i="32"/>
  <c r="F118" i="32" s="1"/>
  <c r="G118" i="32" s="1"/>
  <c r="C117" i="34" l="1"/>
  <c r="E117" i="34" s="1"/>
  <c r="E116" i="34"/>
  <c r="F117" i="34"/>
  <c r="G117" i="34" s="1"/>
  <c r="F116" i="34"/>
  <c r="G116" i="34" s="1"/>
  <c r="E112" i="33"/>
  <c r="C113" i="33"/>
  <c r="D113" i="33" s="1"/>
  <c r="C118" i="32"/>
  <c r="E118" i="32" s="1"/>
  <c r="D117" i="34" l="1"/>
  <c r="F118" i="34" s="1"/>
  <c r="G118" i="34" s="1"/>
  <c r="E113" i="33"/>
  <c r="C114" i="33"/>
  <c r="E114" i="33" s="1"/>
  <c r="F114" i="33"/>
  <c r="G114" i="33" s="1"/>
  <c r="D118" i="32"/>
  <c r="C118" i="34" l="1"/>
  <c r="E118" i="34" s="1"/>
  <c r="D118" i="34"/>
  <c r="C119" i="34" s="1"/>
  <c r="D119" i="34" s="1"/>
  <c r="C120" i="34" s="1"/>
  <c r="D114" i="33"/>
  <c r="F115" i="33" s="1"/>
  <c r="G115" i="33" s="1"/>
  <c r="F119" i="32"/>
  <c r="G119" i="32" s="1"/>
  <c r="C119" i="32"/>
  <c r="E119" i="34" l="1"/>
  <c r="F120" i="34"/>
  <c r="G120" i="34" s="1"/>
  <c r="F119" i="34"/>
  <c r="G119" i="34" s="1"/>
  <c r="D120" i="34"/>
  <c r="C121" i="34" s="1"/>
  <c r="E120" i="34"/>
  <c r="C115" i="33"/>
  <c r="D115" i="33" s="1"/>
  <c r="F116" i="33" s="1"/>
  <c r="G116" i="33" s="1"/>
  <c r="D119" i="32"/>
  <c r="E119" i="32"/>
  <c r="F121" i="34" l="1"/>
  <c r="G121" i="34" s="1"/>
  <c r="D121" i="34"/>
  <c r="F122" i="34" s="1"/>
  <c r="G122" i="34" s="1"/>
  <c r="E121" i="34"/>
  <c r="C116" i="33"/>
  <c r="E116" i="33" s="1"/>
  <c r="E115" i="33"/>
  <c r="D116" i="33"/>
  <c r="F117" i="33" s="1"/>
  <c r="G117" i="33" s="1"/>
  <c r="F120" i="32"/>
  <c r="G120" i="32" s="1"/>
  <c r="C120" i="32"/>
  <c r="C122" i="34" l="1"/>
  <c r="D122" i="34" s="1"/>
  <c r="F123" i="34" s="1"/>
  <c r="G123" i="34" s="1"/>
  <c r="C117" i="33"/>
  <c r="D117" i="33" s="1"/>
  <c r="F118" i="33" s="1"/>
  <c r="G118" i="33" s="1"/>
  <c r="E117" i="33"/>
  <c r="C118" i="33"/>
  <c r="D118" i="33" s="1"/>
  <c r="E120" i="32"/>
  <c r="D120" i="32"/>
  <c r="E122" i="34" l="1"/>
  <c r="C123" i="34"/>
  <c r="D123" i="34" s="1"/>
  <c r="E118" i="33"/>
  <c r="C119" i="33"/>
  <c r="D119" i="33" s="1"/>
  <c r="F119" i="33"/>
  <c r="G119" i="33" s="1"/>
  <c r="F121" i="32"/>
  <c r="G121" i="32" s="1"/>
  <c r="C121" i="32"/>
  <c r="E123" i="34" l="1"/>
  <c r="F124" i="34"/>
  <c r="G124" i="34" s="1"/>
  <c r="C124" i="34"/>
  <c r="E119" i="33"/>
  <c r="F120" i="33"/>
  <c r="G120" i="33" s="1"/>
  <c r="C120" i="33"/>
  <c r="D120" i="33" s="1"/>
  <c r="F121" i="33" s="1"/>
  <c r="G121" i="33" s="1"/>
  <c r="D121" i="32"/>
  <c r="E121" i="32"/>
  <c r="E124" i="34" l="1"/>
  <c r="D124" i="34"/>
  <c r="F125" i="34" s="1"/>
  <c r="G125" i="34" s="1"/>
  <c r="E120" i="33"/>
  <c r="C121" i="33"/>
  <c r="D121" i="33" s="1"/>
  <c r="F122" i="33" s="1"/>
  <c r="G122" i="33" s="1"/>
  <c r="F122" i="32"/>
  <c r="G122" i="32" s="1"/>
  <c r="C122" i="32"/>
  <c r="C125" i="34" l="1"/>
  <c r="E121" i="33"/>
  <c r="C122" i="33"/>
  <c r="D122" i="33" s="1"/>
  <c r="D122" i="32"/>
  <c r="F123" i="32" s="1"/>
  <c r="G123" i="32" s="1"/>
  <c r="E122" i="32"/>
  <c r="D125" i="34" l="1"/>
  <c r="F126" i="34" s="1"/>
  <c r="G126" i="34" s="1"/>
  <c r="E125" i="34"/>
  <c r="E122" i="33"/>
  <c r="C123" i="33"/>
  <c r="E123" i="33" s="1"/>
  <c r="F123" i="33"/>
  <c r="G123" i="33" s="1"/>
  <c r="C123" i="32"/>
  <c r="D123" i="32" s="1"/>
  <c r="F124" i="32" s="1"/>
  <c r="G124" i="32" s="1"/>
  <c r="C126" i="34" l="1"/>
  <c r="D126" i="34" s="1"/>
  <c r="D123" i="33"/>
  <c r="F124" i="33" s="1"/>
  <c r="G124" i="33" s="1"/>
  <c r="E123" i="32"/>
  <c r="C124" i="32"/>
  <c r="E124" i="32" s="1"/>
  <c r="E126" i="34" l="1"/>
  <c r="F127" i="34"/>
  <c r="G127" i="34" s="1"/>
  <c r="C127" i="34"/>
  <c r="D127" i="34" s="1"/>
  <c r="F128" i="34" s="1"/>
  <c r="G128" i="34" s="1"/>
  <c r="C124" i="33"/>
  <c r="D124" i="33" s="1"/>
  <c r="F125" i="33" s="1"/>
  <c r="G125" i="33" s="1"/>
  <c r="D124" i="32"/>
  <c r="F125" i="32" s="1"/>
  <c r="G125" i="32" s="1"/>
  <c r="E127" i="34" l="1"/>
  <c r="C128" i="34"/>
  <c r="D128" i="34" s="1"/>
  <c r="F129" i="34" s="1"/>
  <c r="G129" i="34" s="1"/>
  <c r="C125" i="33"/>
  <c r="D125" i="33" s="1"/>
  <c r="E124" i="33"/>
  <c r="C125" i="32"/>
  <c r="E125" i="32"/>
  <c r="D125" i="32"/>
  <c r="F126" i="32" s="1"/>
  <c r="G126" i="32" s="1"/>
  <c r="E128" i="34" l="1"/>
  <c r="C129" i="34"/>
  <c r="E129" i="34" s="1"/>
  <c r="C126" i="33"/>
  <c r="D126" i="33" s="1"/>
  <c r="F126" i="33"/>
  <c r="G126" i="33" s="1"/>
  <c r="E125" i="33"/>
  <c r="E126" i="33"/>
  <c r="F127" i="33"/>
  <c r="G127" i="33" s="1"/>
  <c r="C127" i="33"/>
  <c r="D127" i="33" s="1"/>
  <c r="F128" i="33" s="1"/>
  <c r="G128" i="33" s="1"/>
  <c r="C126" i="32"/>
  <c r="E126" i="32" s="1"/>
  <c r="D129" i="34" l="1"/>
  <c r="F130" i="34" s="1"/>
  <c r="G130" i="34" s="1"/>
  <c r="E127" i="33"/>
  <c r="C128" i="33"/>
  <c r="D128" i="33" s="1"/>
  <c r="D126" i="32"/>
  <c r="F127" i="32" s="1"/>
  <c r="G127" i="32" s="1"/>
  <c r="C127" i="32"/>
  <c r="C130" i="34" l="1"/>
  <c r="D130" i="34" s="1"/>
  <c r="F131" i="34" s="1"/>
  <c r="G131" i="34" s="1"/>
  <c r="E128" i="33"/>
  <c r="F129" i="33"/>
  <c r="G129" i="33" s="1"/>
  <c r="C129" i="33"/>
  <c r="D129" i="33" s="1"/>
  <c r="C130" i="33" s="1"/>
  <c r="E127" i="32"/>
  <c r="D127" i="32"/>
  <c r="C131" i="34" l="1"/>
  <c r="D131" i="34" s="1"/>
  <c r="E130" i="34"/>
  <c r="E131" i="34"/>
  <c r="F132" i="34"/>
  <c r="G132" i="34" s="1"/>
  <c r="C132" i="34"/>
  <c r="E132" i="34" s="1"/>
  <c r="E129" i="33"/>
  <c r="F130" i="33"/>
  <c r="G130" i="33" s="1"/>
  <c r="D130" i="33"/>
  <c r="F131" i="33" s="1"/>
  <c r="G131" i="33" s="1"/>
  <c r="E130" i="33"/>
  <c r="F128" i="32"/>
  <c r="G128" i="32" s="1"/>
  <c r="C128" i="32"/>
  <c r="D132" i="34" l="1"/>
  <c r="F133" i="34" s="1"/>
  <c r="G133" i="34" s="1"/>
  <c r="C131" i="33"/>
  <c r="D128" i="32"/>
  <c r="C129" i="32" s="1"/>
  <c r="E128" i="32"/>
  <c r="C133" i="34" l="1"/>
  <c r="D133" i="34" s="1"/>
  <c r="F134" i="34" s="1"/>
  <c r="G134" i="34" s="1"/>
  <c r="D131" i="33"/>
  <c r="F132" i="33" s="1"/>
  <c r="G132" i="33" s="1"/>
  <c r="E131" i="33"/>
  <c r="F129" i="32"/>
  <c r="G129" i="32" s="1"/>
  <c r="E129" i="32"/>
  <c r="D129" i="32"/>
  <c r="F130" i="32" s="1"/>
  <c r="G130" i="32" s="1"/>
  <c r="C134" i="34" l="1"/>
  <c r="D134" i="34" s="1"/>
  <c r="E133" i="34"/>
  <c r="E134" i="34"/>
  <c r="F135" i="34"/>
  <c r="G135" i="34" s="1"/>
  <c r="C135" i="34"/>
  <c r="D135" i="34" s="1"/>
  <c r="F136" i="34" s="1"/>
  <c r="G136" i="34" s="1"/>
  <c r="C132" i="33"/>
  <c r="D132" i="33" s="1"/>
  <c r="F133" i="33" s="1"/>
  <c r="G133" i="33" s="1"/>
  <c r="C130" i="32"/>
  <c r="E130" i="32" s="1"/>
  <c r="E135" i="34" l="1"/>
  <c r="C136" i="34"/>
  <c r="D136" i="34" s="1"/>
  <c r="F137" i="34" s="1"/>
  <c r="G137" i="34" s="1"/>
  <c r="E132" i="33"/>
  <c r="C133" i="33"/>
  <c r="D133" i="33" s="1"/>
  <c r="D130" i="32"/>
  <c r="C131" i="32" s="1"/>
  <c r="E136" i="34" l="1"/>
  <c r="C137" i="34"/>
  <c r="E133" i="33"/>
  <c r="F134" i="33"/>
  <c r="G134" i="33" s="1"/>
  <c r="C134" i="33"/>
  <c r="D134" i="33" s="1"/>
  <c r="F135" i="33" s="1"/>
  <c r="G135" i="33" s="1"/>
  <c r="F131" i="32"/>
  <c r="G131" i="32" s="1"/>
  <c r="D131" i="32"/>
  <c r="F132" i="32" s="1"/>
  <c r="G132" i="32" s="1"/>
  <c r="E131" i="32"/>
  <c r="D137" i="34" l="1"/>
  <c r="F138" i="34" s="1"/>
  <c r="G138" i="34" s="1"/>
  <c r="E137" i="34"/>
  <c r="E134" i="33"/>
  <c r="C135" i="33"/>
  <c r="E135" i="33" s="1"/>
  <c r="C132" i="32"/>
  <c r="D132" i="32" s="1"/>
  <c r="C138" i="34" l="1"/>
  <c r="E138" i="34" s="1"/>
  <c r="D135" i="33"/>
  <c r="F136" i="33" s="1"/>
  <c r="G136" i="33" s="1"/>
  <c r="E132" i="32"/>
  <c r="F133" i="32"/>
  <c r="G133" i="32" s="1"/>
  <c r="C133" i="32"/>
  <c r="D138" i="34" l="1"/>
  <c r="F139" i="34" s="1"/>
  <c r="G139" i="34" s="1"/>
  <c r="C136" i="33"/>
  <c r="D136" i="33" s="1"/>
  <c r="F137" i="33" s="1"/>
  <c r="G137" i="33" s="1"/>
  <c r="D133" i="32"/>
  <c r="C134" i="32" s="1"/>
  <c r="E133" i="32"/>
  <c r="C139" i="34" l="1"/>
  <c r="D139" i="34"/>
  <c r="F140" i="34" s="1"/>
  <c r="G140" i="34" s="1"/>
  <c r="E139" i="34"/>
  <c r="C137" i="33"/>
  <c r="D137" i="33" s="1"/>
  <c r="F138" i="33" s="1"/>
  <c r="G138" i="33" s="1"/>
  <c r="E136" i="33"/>
  <c r="F134" i="32"/>
  <c r="G134" i="32" s="1"/>
  <c r="D134" i="32"/>
  <c r="E134" i="32"/>
  <c r="C140" i="34" l="1"/>
  <c r="E140" i="34" s="1"/>
  <c r="E137" i="33"/>
  <c r="C138" i="33"/>
  <c r="D138" i="33" s="1"/>
  <c r="C139" i="33" s="1"/>
  <c r="D139" i="33" s="1"/>
  <c r="C135" i="32"/>
  <c r="F135" i="32"/>
  <c r="G135" i="32" s="1"/>
  <c r="D140" i="34" l="1"/>
  <c r="F141" i="34" s="1"/>
  <c r="G141" i="34" s="1"/>
  <c r="F139" i="33"/>
  <c r="G139" i="33" s="1"/>
  <c r="E138" i="33"/>
  <c r="E139" i="33"/>
  <c r="C140" i="33"/>
  <c r="D140" i="33" s="1"/>
  <c r="F141" i="33" s="1"/>
  <c r="G141" i="33" s="1"/>
  <c r="F140" i="33"/>
  <c r="G140" i="33" s="1"/>
  <c r="E135" i="32"/>
  <c r="D135" i="32"/>
  <c r="C136" i="32" s="1"/>
  <c r="C141" i="34" l="1"/>
  <c r="D141" i="34" s="1"/>
  <c r="E140" i="33"/>
  <c r="C141" i="33"/>
  <c r="D141" i="33" s="1"/>
  <c r="D136" i="32"/>
  <c r="F137" i="32" s="1"/>
  <c r="G137" i="32" s="1"/>
  <c r="E136" i="32"/>
  <c r="F136" i="32"/>
  <c r="G136" i="32" s="1"/>
  <c r="C142" i="34" l="1"/>
  <c r="D142" i="34" s="1"/>
  <c r="F143" i="34" s="1"/>
  <c r="G143" i="34" s="1"/>
  <c r="F142" i="34"/>
  <c r="G142" i="34" s="1"/>
  <c r="E141" i="34"/>
  <c r="E142" i="34"/>
  <c r="C143" i="34"/>
  <c r="D143" i="34" s="1"/>
  <c r="E141" i="33"/>
  <c r="F142" i="33"/>
  <c r="G142" i="33" s="1"/>
  <c r="C142" i="33"/>
  <c r="D142" i="33" s="1"/>
  <c r="C137" i="32"/>
  <c r="D137" i="32" s="1"/>
  <c r="F138" i="32" s="1"/>
  <c r="G138" i="32" s="1"/>
  <c r="E143" i="34" l="1"/>
  <c r="F144" i="34"/>
  <c r="G144" i="34" s="1"/>
  <c r="C144" i="34"/>
  <c r="E144" i="34" s="1"/>
  <c r="E142" i="33"/>
  <c r="C143" i="33"/>
  <c r="D143" i="33" s="1"/>
  <c r="F143" i="33"/>
  <c r="G143" i="33" s="1"/>
  <c r="E137" i="32"/>
  <c r="C138" i="32"/>
  <c r="E138" i="32" s="1"/>
  <c r="D144" i="34" l="1"/>
  <c r="F145" i="34" s="1"/>
  <c r="G145" i="34" s="1"/>
  <c r="E143" i="33"/>
  <c r="F144" i="33"/>
  <c r="G144" i="33" s="1"/>
  <c r="C144" i="33"/>
  <c r="E144" i="33" s="1"/>
  <c r="D138" i="32"/>
  <c r="C145" i="34" l="1"/>
  <c r="E145" i="34" s="1"/>
  <c r="D144" i="33"/>
  <c r="F145" i="33" s="1"/>
  <c r="G145" i="33" s="1"/>
  <c r="F139" i="32"/>
  <c r="G139" i="32" s="1"/>
  <c r="C139" i="32"/>
  <c r="D145" i="34" l="1"/>
  <c r="F146" i="34" s="1"/>
  <c r="G146" i="34" s="1"/>
  <c r="C145" i="33"/>
  <c r="D145" i="33" s="1"/>
  <c r="F146" i="33" s="1"/>
  <c r="G146" i="33" s="1"/>
  <c r="D139" i="32"/>
  <c r="E139" i="32"/>
  <c r="C146" i="34" l="1"/>
  <c r="E146" i="34" s="1"/>
  <c r="D146" i="34"/>
  <c r="F147" i="34" s="1"/>
  <c r="G147" i="34" s="1"/>
  <c r="E145" i="33"/>
  <c r="C146" i="33"/>
  <c r="E146" i="33" s="1"/>
  <c r="F140" i="32"/>
  <c r="G140" i="32" s="1"/>
  <c r="C140" i="32"/>
  <c r="C147" i="34" l="1"/>
  <c r="D147" i="34" s="1"/>
  <c r="F148" i="34" s="1"/>
  <c r="G148" i="34" s="1"/>
  <c r="E147" i="34"/>
  <c r="D146" i="33"/>
  <c r="F147" i="33" s="1"/>
  <c r="G147" i="33" s="1"/>
  <c r="E140" i="32"/>
  <c r="D140" i="32"/>
  <c r="C141" i="32" s="1"/>
  <c r="C148" i="34" l="1"/>
  <c r="D148" i="34" s="1"/>
  <c r="F149" i="34" s="1"/>
  <c r="G149" i="34" s="1"/>
  <c r="C147" i="33"/>
  <c r="D147" i="33" s="1"/>
  <c r="C148" i="33"/>
  <c r="D148" i="33" s="1"/>
  <c r="F148" i="33"/>
  <c r="G148" i="33" s="1"/>
  <c r="F141" i="32"/>
  <c r="G141" i="32" s="1"/>
  <c r="D141" i="32"/>
  <c r="F142" i="32" s="1"/>
  <c r="G142" i="32" s="1"/>
  <c r="E141" i="32"/>
  <c r="C142" i="32"/>
  <c r="E148" i="34" l="1"/>
  <c r="C149" i="34"/>
  <c r="E149" i="34" s="1"/>
  <c r="E147" i="33"/>
  <c r="E148" i="33"/>
  <c r="F149" i="33"/>
  <c r="G149" i="33" s="1"/>
  <c r="C149" i="33"/>
  <c r="D149" i="33" s="1"/>
  <c r="D142" i="32"/>
  <c r="C143" i="32" s="1"/>
  <c r="D143" i="32" s="1"/>
  <c r="E142" i="32"/>
  <c r="D149" i="34" l="1"/>
  <c r="E149" i="33"/>
  <c r="F150" i="33"/>
  <c r="G150" i="33" s="1"/>
  <c r="C150" i="33"/>
  <c r="D150" i="33" s="1"/>
  <c r="F151" i="33" s="1"/>
  <c r="G151" i="33" s="1"/>
  <c r="E143" i="32"/>
  <c r="F143" i="32"/>
  <c r="G143" i="32" s="1"/>
  <c r="F144" i="32"/>
  <c r="G144" i="32" s="1"/>
  <c r="C144" i="32"/>
  <c r="F150" i="34" l="1"/>
  <c r="G150" i="34" s="1"/>
  <c r="C150" i="34"/>
  <c r="E150" i="33"/>
  <c r="C151" i="33"/>
  <c r="D151" i="33" s="1"/>
  <c r="F152" i="33" s="1"/>
  <c r="G152" i="33" s="1"/>
  <c r="D144" i="32"/>
  <c r="F145" i="32" s="1"/>
  <c r="G145" i="32" s="1"/>
  <c r="E144" i="32"/>
  <c r="D150" i="34" l="1"/>
  <c r="F151" i="34" s="1"/>
  <c r="G151" i="34" s="1"/>
  <c r="E150" i="34"/>
  <c r="C151" i="34"/>
  <c r="E151" i="33"/>
  <c r="C152" i="33"/>
  <c r="D152" i="33" s="1"/>
  <c r="C145" i="32"/>
  <c r="E145" i="32" s="1"/>
  <c r="D151" i="34" l="1"/>
  <c r="C152" i="34" s="1"/>
  <c r="E151" i="34"/>
  <c r="E152" i="33"/>
  <c r="F153" i="33"/>
  <c r="G153" i="33" s="1"/>
  <c r="C153" i="33"/>
  <c r="D153" i="33" s="1"/>
  <c r="D145" i="32"/>
  <c r="F146" i="32" s="1"/>
  <c r="G146" i="32" s="1"/>
  <c r="F152" i="34" l="1"/>
  <c r="G152" i="34" s="1"/>
  <c r="E152" i="34"/>
  <c r="D152" i="34"/>
  <c r="F153" i="34" s="1"/>
  <c r="G153" i="34" s="1"/>
  <c r="E153" i="33"/>
  <c r="F154" i="33"/>
  <c r="G154" i="33" s="1"/>
  <c r="C154" i="33"/>
  <c r="D154" i="33" s="1"/>
  <c r="C146" i="32"/>
  <c r="D146" i="32" s="1"/>
  <c r="E146" i="32"/>
  <c r="C147" i="32"/>
  <c r="F147" i="32"/>
  <c r="G147" i="32" s="1"/>
  <c r="C153" i="34" l="1"/>
  <c r="E154" i="33"/>
  <c r="F155" i="33"/>
  <c r="G155" i="33" s="1"/>
  <c r="C155" i="33"/>
  <c r="D155" i="33" s="1"/>
  <c r="F156" i="33" s="1"/>
  <c r="G156" i="33" s="1"/>
  <c r="D147" i="32"/>
  <c r="F148" i="32" s="1"/>
  <c r="G148" i="32" s="1"/>
  <c r="E147" i="32"/>
  <c r="D153" i="34" l="1"/>
  <c r="C154" i="34" s="1"/>
  <c r="E153" i="34"/>
  <c r="E155" i="33"/>
  <c r="C156" i="33"/>
  <c r="D156" i="33" s="1"/>
  <c r="C148" i="32"/>
  <c r="D148" i="32" s="1"/>
  <c r="F149" i="32" s="1"/>
  <c r="G149" i="32" s="1"/>
  <c r="F154" i="34" l="1"/>
  <c r="G154" i="34" s="1"/>
  <c r="E154" i="34"/>
  <c r="D154" i="34"/>
  <c r="F155" i="34" s="1"/>
  <c r="G155" i="34" s="1"/>
  <c r="E156" i="33"/>
  <c r="F157" i="33"/>
  <c r="G157" i="33" s="1"/>
  <c r="C157" i="33"/>
  <c r="D157" i="33" s="1"/>
  <c r="E148" i="32"/>
  <c r="C149" i="32"/>
  <c r="C155" i="34" l="1"/>
  <c r="E155" i="34"/>
  <c r="D155" i="34"/>
  <c r="F156" i="34" s="1"/>
  <c r="G156" i="34" s="1"/>
  <c r="E157" i="33"/>
  <c r="F158" i="33"/>
  <c r="G158" i="33" s="1"/>
  <c r="C158" i="33"/>
  <c r="D158" i="33" s="1"/>
  <c r="F159" i="33" s="1"/>
  <c r="G159" i="33" s="1"/>
  <c r="D149" i="32"/>
  <c r="C150" i="32" s="1"/>
  <c r="E149" i="32"/>
  <c r="C156" i="34" l="1"/>
  <c r="D156" i="34"/>
  <c r="F157" i="34" s="1"/>
  <c r="G157" i="34" s="1"/>
  <c r="E156" i="34"/>
  <c r="E158" i="33"/>
  <c r="C159" i="33"/>
  <c r="D159" i="33" s="1"/>
  <c r="F160" i="33" s="1"/>
  <c r="G160" i="33" s="1"/>
  <c r="F150" i="32"/>
  <c r="G150" i="32" s="1"/>
  <c r="D150" i="32"/>
  <c r="F151" i="32" s="1"/>
  <c r="G151" i="32" s="1"/>
  <c r="E150" i="32"/>
  <c r="C157" i="34" l="1"/>
  <c r="E157" i="34"/>
  <c r="D157" i="34"/>
  <c r="E159" i="33"/>
  <c r="C160" i="33"/>
  <c r="D160" i="33" s="1"/>
  <c r="F161" i="33" s="1"/>
  <c r="G161" i="33" s="1"/>
  <c r="C151" i="32"/>
  <c r="E151" i="32" s="1"/>
  <c r="F158" i="34" l="1"/>
  <c r="G158" i="34" s="1"/>
  <c r="C158" i="34"/>
  <c r="E160" i="33"/>
  <c r="C161" i="33"/>
  <c r="E161" i="33" s="1"/>
  <c r="D151" i="32"/>
  <c r="F152" i="32" s="1"/>
  <c r="G152" i="32" s="1"/>
  <c r="E158" i="34" l="1"/>
  <c r="D158" i="34"/>
  <c r="C159" i="34" s="1"/>
  <c r="D161" i="33"/>
  <c r="F162" i="33" s="1"/>
  <c r="G162" i="33" s="1"/>
  <c r="C152" i="32"/>
  <c r="E152" i="32" s="1"/>
  <c r="E159" i="34" l="1"/>
  <c r="D159" i="34"/>
  <c r="F160" i="34" s="1"/>
  <c r="G160" i="34" s="1"/>
  <c r="F159" i="34"/>
  <c r="G159" i="34" s="1"/>
  <c r="C162" i="33"/>
  <c r="D162" i="33" s="1"/>
  <c r="D152" i="32"/>
  <c r="F153" i="32" s="1"/>
  <c r="G153" i="32" s="1"/>
  <c r="C160" i="34" l="1"/>
  <c r="E160" i="34"/>
  <c r="D160" i="34"/>
  <c r="C163" i="33"/>
  <c r="D163" i="33" s="1"/>
  <c r="F163" i="33"/>
  <c r="G163" i="33" s="1"/>
  <c r="E162" i="33"/>
  <c r="F164" i="33"/>
  <c r="G164" i="33" s="1"/>
  <c r="C164" i="33"/>
  <c r="D164" i="33" s="1"/>
  <c r="F165" i="33" s="1"/>
  <c r="G165" i="33" s="1"/>
  <c r="C153" i="32"/>
  <c r="D153" i="32" s="1"/>
  <c r="F154" i="32" s="1"/>
  <c r="G154" i="32" s="1"/>
  <c r="C154" i="32"/>
  <c r="F161" i="34" l="1"/>
  <c r="G161" i="34" s="1"/>
  <c r="C161" i="34"/>
  <c r="E163" i="33"/>
  <c r="E164" i="33"/>
  <c r="C165" i="33"/>
  <c r="E165" i="33" s="1"/>
  <c r="E153" i="32"/>
  <c r="E154" i="32"/>
  <c r="D154" i="32"/>
  <c r="C155" i="32" s="1"/>
  <c r="D161" i="34" l="1"/>
  <c r="E161" i="34"/>
  <c r="D165" i="33"/>
  <c r="F166" i="33" s="1"/>
  <c r="G166" i="33" s="1"/>
  <c r="F155" i="32"/>
  <c r="G155" i="32" s="1"/>
  <c r="D155" i="32"/>
  <c r="F156" i="32" s="1"/>
  <c r="G156" i="32" s="1"/>
  <c r="E155" i="32"/>
  <c r="F162" i="34" l="1"/>
  <c r="G162" i="34" s="1"/>
  <c r="C162" i="34"/>
  <c r="C166" i="33"/>
  <c r="E166" i="33" s="1"/>
  <c r="C156" i="32"/>
  <c r="E156" i="32" s="1"/>
  <c r="E162" i="34" l="1"/>
  <c r="D162" i="34"/>
  <c r="D166" i="33"/>
  <c r="F167" i="33" s="1"/>
  <c r="G167" i="33" s="1"/>
  <c r="D156" i="32"/>
  <c r="F157" i="32" s="1"/>
  <c r="G157" i="32" s="1"/>
  <c r="C157" i="32"/>
  <c r="E157" i="32" s="1"/>
  <c r="C163" i="34" l="1"/>
  <c r="F163" i="34"/>
  <c r="G163" i="34" s="1"/>
  <c r="C167" i="33"/>
  <c r="E167" i="33" s="1"/>
  <c r="D157" i="32"/>
  <c r="F158" i="32" s="1"/>
  <c r="G158" i="32" s="1"/>
  <c r="E163" i="34" l="1"/>
  <c r="D163" i="34"/>
  <c r="F164" i="34" s="1"/>
  <c r="G164" i="34" s="1"/>
  <c r="D167" i="33"/>
  <c r="F168" i="33" s="1"/>
  <c r="G168" i="33" s="1"/>
  <c r="C158" i="32"/>
  <c r="D158" i="32" s="1"/>
  <c r="F159" i="32" s="1"/>
  <c r="G159" i="32" s="1"/>
  <c r="C164" i="34" l="1"/>
  <c r="C168" i="33"/>
  <c r="D168" i="33" s="1"/>
  <c r="C159" i="32"/>
  <c r="D159" i="32" s="1"/>
  <c r="F160" i="32" s="1"/>
  <c r="G160" i="32" s="1"/>
  <c r="E158" i="32"/>
  <c r="D164" i="34" l="1"/>
  <c r="F165" i="34" s="1"/>
  <c r="G165" i="34" s="1"/>
  <c r="E164" i="34"/>
  <c r="E168" i="33"/>
  <c r="F169" i="33"/>
  <c r="G169" i="33" s="1"/>
  <c r="C169" i="33"/>
  <c r="D169" i="33" s="1"/>
  <c r="C160" i="32"/>
  <c r="D160" i="32" s="1"/>
  <c r="E159" i="32"/>
  <c r="E160" i="32"/>
  <c r="F161" i="32"/>
  <c r="G161" i="32" s="1"/>
  <c r="C161" i="32"/>
  <c r="D161" i="32" s="1"/>
  <c r="C165" i="34" l="1"/>
  <c r="E165" i="34"/>
  <c r="D165" i="34"/>
  <c r="C166" i="34" s="1"/>
  <c r="E169" i="33"/>
  <c r="F170" i="33"/>
  <c r="G170" i="33" s="1"/>
  <c r="C170" i="33"/>
  <c r="D170" i="33" s="1"/>
  <c r="E161" i="32"/>
  <c r="C162" i="32"/>
  <c r="E162" i="32" s="1"/>
  <c r="F162" i="32"/>
  <c r="G162" i="32" s="1"/>
  <c r="D166" i="34" l="1"/>
  <c r="C167" i="34" s="1"/>
  <c r="E166" i="34"/>
  <c r="F167" i="34"/>
  <c r="G167" i="34" s="1"/>
  <c r="F166" i="34"/>
  <c r="G166" i="34" s="1"/>
  <c r="E170" i="33"/>
  <c r="C171" i="33"/>
  <c r="D171" i="33" s="1"/>
  <c r="F172" i="33" s="1"/>
  <c r="G172" i="33" s="1"/>
  <c r="F171" i="33"/>
  <c r="G171" i="33" s="1"/>
  <c r="D162" i="32"/>
  <c r="C163" i="32" s="1"/>
  <c r="D167" i="34" l="1"/>
  <c r="F168" i="34" s="1"/>
  <c r="G168" i="34" s="1"/>
  <c r="E167" i="34"/>
  <c r="C168" i="34"/>
  <c r="E171" i="33"/>
  <c r="C172" i="33"/>
  <c r="E172" i="33" s="1"/>
  <c r="F163" i="32"/>
  <c r="G163" i="32" s="1"/>
  <c r="E163" i="32"/>
  <c r="D163" i="32"/>
  <c r="D168" i="34" l="1"/>
  <c r="E168" i="34"/>
  <c r="F169" i="34"/>
  <c r="G169" i="34" s="1"/>
  <c r="C169" i="34"/>
  <c r="D172" i="33"/>
  <c r="F173" i="33" s="1"/>
  <c r="G173" i="33" s="1"/>
  <c r="F164" i="32"/>
  <c r="G164" i="32" s="1"/>
  <c r="C164" i="32"/>
  <c r="D169" i="34" l="1"/>
  <c r="E169" i="34"/>
  <c r="C173" i="33"/>
  <c r="D173" i="33" s="1"/>
  <c r="F174" i="33" s="1"/>
  <c r="G174" i="33" s="1"/>
  <c r="D164" i="32"/>
  <c r="F165" i="32" s="1"/>
  <c r="G165" i="32" s="1"/>
  <c r="E164" i="32"/>
  <c r="C170" i="34" l="1"/>
  <c r="F170" i="34"/>
  <c r="G170" i="34" s="1"/>
  <c r="E173" i="33"/>
  <c r="C174" i="33"/>
  <c r="D174" i="33" s="1"/>
  <c r="C165" i="32"/>
  <c r="D165" i="32" s="1"/>
  <c r="D170" i="34" l="1"/>
  <c r="F171" i="34" s="1"/>
  <c r="G171" i="34" s="1"/>
  <c r="C171" i="34"/>
  <c r="E170" i="34"/>
  <c r="E174" i="33"/>
  <c r="C175" i="33"/>
  <c r="D175" i="33" s="1"/>
  <c r="F176" i="33" s="1"/>
  <c r="G176" i="33" s="1"/>
  <c r="F175" i="33"/>
  <c r="G175" i="33" s="1"/>
  <c r="E165" i="32"/>
  <c r="C166" i="32"/>
  <c r="E166" i="32" s="1"/>
  <c r="F166" i="32"/>
  <c r="G166" i="32" s="1"/>
  <c r="D166" i="32"/>
  <c r="E171" i="34" l="1"/>
  <c r="D171" i="34"/>
  <c r="E175" i="33"/>
  <c r="C176" i="33"/>
  <c r="D176" i="33" s="1"/>
  <c r="F167" i="32"/>
  <c r="G167" i="32" s="1"/>
  <c r="C167" i="32"/>
  <c r="F172" i="34" l="1"/>
  <c r="G172" i="34" s="1"/>
  <c r="C172" i="34"/>
  <c r="E176" i="33"/>
  <c r="C177" i="33"/>
  <c r="D177" i="33" s="1"/>
  <c r="F178" i="33" s="1"/>
  <c r="G178" i="33" s="1"/>
  <c r="F177" i="33"/>
  <c r="G177" i="33" s="1"/>
  <c r="E177" i="33"/>
  <c r="E167" i="32"/>
  <c r="D167" i="32"/>
  <c r="F168" i="32" s="1"/>
  <c r="G168" i="32" s="1"/>
  <c r="E172" i="34" l="1"/>
  <c r="D172" i="34"/>
  <c r="F173" i="34" s="1"/>
  <c r="G173" i="34" s="1"/>
  <c r="C178" i="33"/>
  <c r="E178" i="33" s="1"/>
  <c r="C168" i="32"/>
  <c r="D168" i="32" s="1"/>
  <c r="F169" i="32" s="1"/>
  <c r="G169" i="32" s="1"/>
  <c r="C173" i="34" l="1"/>
  <c r="D173" i="34" s="1"/>
  <c r="F174" i="34" s="1"/>
  <c r="G174" i="34" s="1"/>
  <c r="D178" i="33"/>
  <c r="F179" i="33" s="1"/>
  <c r="G179" i="33" s="1"/>
  <c r="C169" i="32"/>
  <c r="E169" i="32" s="1"/>
  <c r="E168" i="32"/>
  <c r="E173" i="34" l="1"/>
  <c r="C174" i="34"/>
  <c r="D174" i="34" s="1"/>
  <c r="C179" i="33"/>
  <c r="E179" i="33" s="1"/>
  <c r="D179" i="33"/>
  <c r="F180" i="33" s="1"/>
  <c r="G180" i="33" s="1"/>
  <c r="C180" i="33"/>
  <c r="E180" i="33" s="1"/>
  <c r="D169" i="32"/>
  <c r="C175" i="34" l="1"/>
  <c r="F175" i="34"/>
  <c r="G175" i="34" s="1"/>
  <c r="E174" i="34"/>
  <c r="D175" i="34"/>
  <c r="C176" i="34" s="1"/>
  <c r="E175" i="34"/>
  <c r="F176" i="34"/>
  <c r="G176" i="34" s="1"/>
  <c r="D180" i="33"/>
  <c r="F181" i="33" s="1"/>
  <c r="G181" i="33" s="1"/>
  <c r="F170" i="32"/>
  <c r="G170" i="32" s="1"/>
  <c r="C170" i="32"/>
  <c r="D176" i="34" l="1"/>
  <c r="F177" i="34" s="1"/>
  <c r="G177" i="34" s="1"/>
  <c r="E176" i="34"/>
  <c r="C177" i="34"/>
  <c r="C181" i="33"/>
  <c r="D181" i="33" s="1"/>
  <c r="F182" i="33" s="1"/>
  <c r="G182" i="33" s="1"/>
  <c r="E170" i="32"/>
  <c r="D170" i="32"/>
  <c r="D177" i="34" l="1"/>
  <c r="F178" i="34" s="1"/>
  <c r="G178" i="34" s="1"/>
  <c r="E177" i="34"/>
  <c r="C178" i="34"/>
  <c r="C182" i="33"/>
  <c r="D182" i="33" s="1"/>
  <c r="F183" i="33" s="1"/>
  <c r="G183" i="33" s="1"/>
  <c r="E181" i="33"/>
  <c r="C183" i="33"/>
  <c r="D183" i="33" s="1"/>
  <c r="E182" i="33"/>
  <c r="F171" i="32"/>
  <c r="G171" i="32" s="1"/>
  <c r="C171" i="32"/>
  <c r="E178" i="34" l="1"/>
  <c r="D178" i="34"/>
  <c r="E183" i="33"/>
  <c r="F184" i="33"/>
  <c r="G184" i="33" s="1"/>
  <c r="C184" i="33"/>
  <c r="D184" i="33" s="1"/>
  <c r="D171" i="32"/>
  <c r="C172" i="32" s="1"/>
  <c r="E171" i="32"/>
  <c r="F179" i="34" l="1"/>
  <c r="G179" i="34" s="1"/>
  <c r="C179" i="34"/>
  <c r="E184" i="33"/>
  <c r="F185" i="33"/>
  <c r="G185" i="33" s="1"/>
  <c r="C185" i="33"/>
  <c r="E185" i="33" s="1"/>
  <c r="F172" i="32"/>
  <c r="G172" i="32" s="1"/>
  <c r="E172" i="32"/>
  <c r="D172" i="32"/>
  <c r="E179" i="34" l="1"/>
  <c r="D179" i="34"/>
  <c r="F180" i="34" s="1"/>
  <c r="G180" i="34" s="1"/>
  <c r="D185" i="33"/>
  <c r="F186" i="33" s="1"/>
  <c r="G186" i="33" s="1"/>
  <c r="C186" i="33"/>
  <c r="D186" i="33" s="1"/>
  <c r="F173" i="32"/>
  <c r="G173" i="32" s="1"/>
  <c r="C173" i="32"/>
  <c r="C180" i="34" l="1"/>
  <c r="E186" i="33"/>
  <c r="F187" i="33"/>
  <c r="G187" i="33" s="1"/>
  <c r="C187" i="33"/>
  <c r="E187" i="33" s="1"/>
  <c r="E173" i="32"/>
  <c r="D173" i="32"/>
  <c r="E180" i="34" l="1"/>
  <c r="D180" i="34"/>
  <c r="C181" i="34" s="1"/>
  <c r="D187" i="33"/>
  <c r="F188" i="33" s="1"/>
  <c r="G188" i="33" s="1"/>
  <c r="C174" i="32"/>
  <c r="F174" i="32"/>
  <c r="G174" i="32" s="1"/>
  <c r="F181" i="34" l="1"/>
  <c r="G181" i="34" s="1"/>
  <c r="D181" i="34"/>
  <c r="C182" i="34" s="1"/>
  <c r="E181" i="34"/>
  <c r="C188" i="33"/>
  <c r="D188" i="33" s="1"/>
  <c r="C189" i="33"/>
  <c r="E189" i="33" s="1"/>
  <c r="F189" i="33"/>
  <c r="G189" i="33" s="1"/>
  <c r="E174" i="32"/>
  <c r="D174" i="32"/>
  <c r="F182" i="34" l="1"/>
  <c r="G182" i="34" s="1"/>
  <c r="E182" i="34"/>
  <c r="D182" i="34"/>
  <c r="F183" i="34" s="1"/>
  <c r="G183" i="34" s="1"/>
  <c r="E188" i="33"/>
  <c r="D189" i="33"/>
  <c r="F190" i="33" s="1"/>
  <c r="G190" i="33" s="1"/>
  <c r="C190" i="33"/>
  <c r="F175" i="32"/>
  <c r="G175" i="32" s="1"/>
  <c r="C175" i="32"/>
  <c r="C183" i="34" l="1"/>
  <c r="D183" i="34" s="1"/>
  <c r="D190" i="33"/>
  <c r="F191" i="33" s="1"/>
  <c r="G191" i="33" s="1"/>
  <c r="E190" i="33"/>
  <c r="D175" i="32"/>
  <c r="E175" i="32"/>
  <c r="E183" i="34" l="1"/>
  <c r="F184" i="34"/>
  <c r="G184" i="34" s="1"/>
  <c r="C184" i="34"/>
  <c r="E184" i="34" s="1"/>
  <c r="C191" i="33"/>
  <c r="D191" i="33" s="1"/>
  <c r="F192" i="33" s="1"/>
  <c r="G192" i="33" s="1"/>
  <c r="C176" i="32"/>
  <c r="F176" i="32"/>
  <c r="G176" i="32" s="1"/>
  <c r="D184" i="34" l="1"/>
  <c r="F185" i="34"/>
  <c r="G185" i="34" s="1"/>
  <c r="C185" i="34"/>
  <c r="E191" i="33"/>
  <c r="C192" i="33"/>
  <c r="D192" i="33" s="1"/>
  <c r="F193" i="33" s="1"/>
  <c r="G193" i="33" s="1"/>
  <c r="E176" i="32"/>
  <c r="D176" i="32"/>
  <c r="F177" i="32" s="1"/>
  <c r="G177" i="32" s="1"/>
  <c r="E185" i="34" l="1"/>
  <c r="D185" i="34"/>
  <c r="F186" i="34" s="1"/>
  <c r="G186" i="34" s="1"/>
  <c r="C193" i="33"/>
  <c r="D193" i="33" s="1"/>
  <c r="C194" i="33" s="1"/>
  <c r="E192" i="33"/>
  <c r="C177" i="32"/>
  <c r="E177" i="32" s="1"/>
  <c r="C186" i="34" l="1"/>
  <c r="E186" i="34" s="1"/>
  <c r="E193" i="33"/>
  <c r="F194" i="33"/>
  <c r="G194" i="33" s="1"/>
  <c r="D194" i="33"/>
  <c r="F195" i="33" s="1"/>
  <c r="G195" i="33" s="1"/>
  <c r="E194" i="33"/>
  <c r="D177" i="32"/>
  <c r="C178" i="32" s="1"/>
  <c r="D186" i="34" l="1"/>
  <c r="F187" i="34" s="1"/>
  <c r="G187" i="34" s="1"/>
  <c r="C187" i="34"/>
  <c r="E187" i="34" s="1"/>
  <c r="C195" i="33"/>
  <c r="D195" i="33" s="1"/>
  <c r="F196" i="33" s="1"/>
  <c r="G196" i="33" s="1"/>
  <c r="E195" i="33"/>
  <c r="F178" i="32"/>
  <c r="G178" i="32" s="1"/>
  <c r="E178" i="32"/>
  <c r="D178" i="32"/>
  <c r="F179" i="32" s="1"/>
  <c r="G179" i="32" s="1"/>
  <c r="D187" i="34" l="1"/>
  <c r="C188" i="34" s="1"/>
  <c r="D188" i="34" s="1"/>
  <c r="F189" i="34" s="1"/>
  <c r="G189" i="34" s="1"/>
  <c r="E188" i="34"/>
  <c r="C196" i="33"/>
  <c r="D196" i="33" s="1"/>
  <c r="F197" i="33" s="1"/>
  <c r="G197" i="33" s="1"/>
  <c r="C179" i="32"/>
  <c r="D179" i="32"/>
  <c r="F180" i="32" s="1"/>
  <c r="G180" i="32" s="1"/>
  <c r="E179" i="32"/>
  <c r="F188" i="34" l="1"/>
  <c r="G188" i="34" s="1"/>
  <c r="C189" i="34"/>
  <c r="E189" i="34" s="1"/>
  <c r="D189" i="34"/>
  <c r="F190" i="34" s="1"/>
  <c r="G190" i="34" s="1"/>
  <c r="E196" i="33"/>
  <c r="C197" i="33"/>
  <c r="D197" i="33" s="1"/>
  <c r="F198" i="33" s="1"/>
  <c r="G198" i="33" s="1"/>
  <c r="C180" i="32"/>
  <c r="D180" i="32" s="1"/>
  <c r="C190" i="34" l="1"/>
  <c r="D190" i="34"/>
  <c r="F191" i="34" s="1"/>
  <c r="G191" i="34" s="1"/>
  <c r="E190" i="34"/>
  <c r="C191" i="34"/>
  <c r="D191" i="34" s="1"/>
  <c r="F192" i="34" s="1"/>
  <c r="G192" i="34" s="1"/>
  <c r="E197" i="33"/>
  <c r="C198" i="33"/>
  <c r="D198" i="33" s="1"/>
  <c r="F181" i="32"/>
  <c r="G181" i="32" s="1"/>
  <c r="C181" i="32"/>
  <c r="E181" i="32" s="1"/>
  <c r="E180" i="32"/>
  <c r="E191" i="34" l="1"/>
  <c r="C192" i="34"/>
  <c r="D192" i="34" s="1"/>
  <c r="C193" i="34" s="1"/>
  <c r="E198" i="33"/>
  <c r="C199" i="33"/>
  <c r="E199" i="33" s="1"/>
  <c r="F199" i="33"/>
  <c r="G199" i="33" s="1"/>
  <c r="D181" i="32"/>
  <c r="F182" i="32" s="1"/>
  <c r="G182" i="32" s="1"/>
  <c r="E192" i="34" l="1"/>
  <c r="F193" i="34"/>
  <c r="G193" i="34" s="1"/>
  <c r="D193" i="34"/>
  <c r="C194" i="34" s="1"/>
  <c r="E193" i="34"/>
  <c r="D199" i="33"/>
  <c r="C182" i="32"/>
  <c r="D182" i="32" s="1"/>
  <c r="E182" i="32"/>
  <c r="F183" i="32"/>
  <c r="G183" i="32" s="1"/>
  <c r="C183" i="32"/>
  <c r="D183" i="32" s="1"/>
  <c r="F194" i="34" l="1"/>
  <c r="G194" i="34" s="1"/>
  <c r="D194" i="34"/>
  <c r="F195" i="34" s="1"/>
  <c r="G195" i="34" s="1"/>
  <c r="E194" i="34"/>
  <c r="F200" i="33"/>
  <c r="G200" i="33" s="1"/>
  <c r="C200" i="33"/>
  <c r="E183" i="32"/>
  <c r="F184" i="32"/>
  <c r="G184" i="32" s="1"/>
  <c r="C184" i="32"/>
  <c r="C195" i="34" l="1"/>
  <c r="E195" i="34" s="1"/>
  <c r="D200" i="33"/>
  <c r="E200" i="33"/>
  <c r="E184" i="32"/>
  <c r="D184" i="32"/>
  <c r="F185" i="32" s="1"/>
  <c r="G185" i="32" s="1"/>
  <c r="D195" i="34" l="1"/>
  <c r="F196" i="34" s="1"/>
  <c r="G196" i="34" s="1"/>
  <c r="F201" i="33"/>
  <c r="G201" i="33" s="1"/>
  <c r="C201" i="33"/>
  <c r="C185" i="32"/>
  <c r="D185" i="32" s="1"/>
  <c r="B16" i="33"/>
  <c r="C196" i="34" l="1"/>
  <c r="D196" i="34" s="1"/>
  <c r="F197" i="34" s="1"/>
  <c r="G197" i="34" s="1"/>
  <c r="C197" i="34"/>
  <c r="E197" i="34" s="1"/>
  <c r="D201" i="33"/>
  <c r="E201" i="33"/>
  <c r="F206" i="33"/>
  <c r="F205" i="33"/>
  <c r="F203" i="33"/>
  <c r="F209" i="33"/>
  <c r="F204" i="33"/>
  <c r="F208" i="33"/>
  <c r="F202" i="33"/>
  <c r="F207" i="33"/>
  <c r="C186" i="32"/>
  <c r="F186" i="32"/>
  <c r="G186" i="32" s="1"/>
  <c r="E185" i="32"/>
  <c r="D186" i="32"/>
  <c r="F187" i="32" s="1"/>
  <c r="G187" i="32" s="1"/>
  <c r="E186" i="32"/>
  <c r="E196" i="34" l="1"/>
  <c r="D197" i="34"/>
  <c r="F198" i="34" s="1"/>
  <c r="G198" i="34" s="1"/>
  <c r="C198" i="34"/>
  <c r="D198" i="34" s="1"/>
  <c r="F199" i="34" s="1"/>
  <c r="G199" i="34" s="1"/>
  <c r="C187" i="32"/>
  <c r="E187" i="32"/>
  <c r="D187" i="32"/>
  <c r="C199" i="34" l="1"/>
  <c r="E199" i="34" s="1"/>
  <c r="E198" i="34"/>
  <c r="F188" i="32"/>
  <c r="G188" i="32" s="1"/>
  <c r="C188" i="32"/>
  <c r="E192" i="31"/>
  <c r="D199" i="34" l="1"/>
  <c r="D188" i="32"/>
  <c r="E188" i="32"/>
  <c r="G192" i="31"/>
  <c r="F192" i="31"/>
  <c r="E217" i="31"/>
  <c r="F200" i="34" l="1"/>
  <c r="G200" i="34" s="1"/>
  <c r="C200" i="34"/>
  <c r="F189" i="32"/>
  <c r="G189" i="32" s="1"/>
  <c r="C189" i="32"/>
  <c r="F217" i="31"/>
  <c r="E218" i="31"/>
  <c r="D200" i="34" l="1"/>
  <c r="F201" i="34" s="1"/>
  <c r="G201" i="34" s="1"/>
  <c r="E200" i="34"/>
  <c r="E189" i="32"/>
  <c r="D189" i="32"/>
  <c r="C190" i="32" s="1"/>
  <c r="F218" i="31"/>
  <c r="B16" i="34"/>
  <c r="E261" i="31"/>
  <c r="C201" i="34" l="1"/>
  <c r="D201" i="34" s="1"/>
  <c r="F190" i="32"/>
  <c r="G190" i="32" s="1"/>
  <c r="E190" i="32"/>
  <c r="D190" i="32"/>
  <c r="F261" i="31"/>
  <c r="C13" i="31"/>
  <c r="E201" i="34" l="1"/>
  <c r="F209" i="34"/>
  <c r="F203" i="34"/>
  <c r="F205" i="34"/>
  <c r="F206" i="34"/>
  <c r="F204" i="34"/>
  <c r="F208" i="34"/>
  <c r="F202" i="34"/>
  <c r="F207" i="34"/>
  <c r="F191" i="32"/>
  <c r="G191" i="32" s="1"/>
  <c r="C191" i="32"/>
  <c r="G261" i="31"/>
  <c r="C15" i="31"/>
  <c r="D191" i="32" l="1"/>
  <c r="F192" i="32" s="1"/>
  <c r="G192" i="32" s="1"/>
  <c r="E191" i="32"/>
  <c r="H192" i="31"/>
  <c r="G217" i="31"/>
  <c r="H217" i="31"/>
  <c r="G218" i="31"/>
  <c r="H218" i="31" s="1"/>
  <c r="H261" i="31"/>
  <c r="E265" i="31"/>
  <c r="E266" i="31" s="1"/>
  <c r="B15" i="31"/>
  <c r="E267" i="31"/>
  <c r="B13" i="31"/>
  <c r="C192" i="32" l="1"/>
  <c r="E192" i="32" s="1"/>
  <c r="D192" i="32"/>
  <c r="F193" i="32" s="1"/>
  <c r="G193" i="32" s="1"/>
  <c r="G267" i="31"/>
  <c r="E268" i="31"/>
  <c r="E269" i="31" s="1"/>
  <c r="C193" i="32" l="1"/>
  <c r="E193" i="32" s="1"/>
  <c r="G269" i="31"/>
  <c r="G268" i="31"/>
  <c r="G266" i="31"/>
  <c r="G265" i="31"/>
  <c r="E270" i="31"/>
  <c r="B14" i="31"/>
  <c r="C14" i="31"/>
  <c r="G270" i="31" l="1"/>
  <c r="D193" i="32"/>
  <c r="C194" i="32" s="1"/>
  <c r="E194" i="32" s="1"/>
  <c r="D194" i="32" l="1"/>
  <c r="F195" i="32" s="1"/>
  <c r="G195" i="32" s="1"/>
  <c r="F194" i="32"/>
  <c r="G194" i="32" s="1"/>
  <c r="C195" i="32" l="1"/>
  <c r="D195" i="32" s="1"/>
  <c r="F196" i="32" s="1"/>
  <c r="G196" i="32" s="1"/>
  <c r="C196" i="32" l="1"/>
  <c r="E195" i="32"/>
  <c r="D196" i="32" l="1"/>
  <c r="E196" i="32"/>
  <c r="F197" i="32" l="1"/>
  <c r="G197" i="32" s="1"/>
  <c r="C197" i="32"/>
  <c r="E197" i="32" l="1"/>
  <c r="D197" i="32"/>
  <c r="F198" i="32" l="1"/>
  <c r="G198" i="32" s="1"/>
  <c r="C198" i="32"/>
  <c r="E198" i="32" l="1"/>
  <c r="D198" i="32"/>
  <c r="F199" i="32" s="1"/>
  <c r="G199" i="32" s="1"/>
  <c r="C199" i="32" l="1"/>
  <c r="E199" i="32" s="1"/>
  <c r="D199" i="32" l="1"/>
  <c r="F200" i="32"/>
  <c r="G200" i="32" s="1"/>
  <c r="C200" i="32"/>
  <c r="E200" i="32" l="1"/>
  <c r="D200" i="32"/>
  <c r="C201" i="32" s="1"/>
  <c r="E201" i="32" l="1"/>
  <c r="D201" i="32"/>
  <c r="F203" i="32" s="1"/>
  <c r="F201" i="32"/>
  <c r="G201" i="32" s="1"/>
  <c r="B16" i="32"/>
  <c r="B15" i="32"/>
  <c r="B17" i="32"/>
  <c r="F207" i="32" l="1"/>
  <c r="F205" i="32"/>
  <c r="F202" i="32"/>
  <c r="F204" i="32"/>
  <c r="F208" i="32"/>
  <c r="F206" i="32"/>
  <c r="F209" i="32"/>
  <c r="B15" i="34"/>
  <c r="B15" i="33"/>
  <c r="B17" i="34"/>
  <c r="B17" i="33"/>
  <c r="C13" i="38"/>
  <c r="B15" i="38"/>
  <c r="C15" i="38"/>
  <c r="B13" i="38"/>
  <c r="B17" i="42"/>
  <c r="B15" i="42"/>
  <c r="E157" i="79"/>
  <c r="F157" i="79"/>
  <c r="E163" i="79"/>
  <c r="F163" i="79"/>
  <c r="E169" i="79"/>
  <c r="F169" i="79"/>
  <c r="E175" i="79"/>
  <c r="F175" i="79"/>
  <c r="E187" i="79"/>
  <c r="F187" i="79"/>
  <c r="E193" i="79"/>
  <c r="F193" i="79"/>
  <c r="E199" i="79"/>
  <c r="F199" i="79"/>
  <c r="E223" i="79"/>
  <c r="F223" i="79"/>
  <c r="E229" i="79"/>
  <c r="F229" i="79"/>
  <c r="E235" i="79"/>
  <c r="F235" i="79"/>
  <c r="E247" i="79"/>
  <c r="F247" i="79"/>
  <c r="E253" i="79"/>
  <c r="F253" i="79"/>
  <c r="E259" i="79"/>
  <c r="F259" i="79"/>
  <c r="C15" i="79"/>
  <c r="C13" i="79"/>
  <c r="G157" i="79"/>
  <c r="H157" i="79"/>
  <c r="G163" i="79"/>
  <c r="H163" i="79"/>
  <c r="G169" i="79"/>
  <c r="H169" i="79"/>
  <c r="G175" i="79"/>
  <c r="H175" i="79"/>
  <c r="G187" i="79"/>
  <c r="H187" i="79"/>
  <c r="G193" i="79"/>
  <c r="H193" i="79"/>
  <c r="G199" i="79"/>
  <c r="H199" i="79"/>
  <c r="G223" i="79"/>
  <c r="H223" i="79"/>
  <c r="G229" i="79"/>
  <c r="H229" i="79"/>
  <c r="G235" i="79"/>
  <c r="H235" i="79"/>
  <c r="G247" i="79"/>
  <c r="H247" i="79"/>
  <c r="G253" i="79"/>
  <c r="H253" i="79"/>
  <c r="G259" i="79"/>
  <c r="H259" i="79"/>
  <c r="B15" i="79"/>
  <c r="B13" i="79"/>
  <c r="E265" i="79"/>
  <c r="E266" i="79"/>
  <c r="E267" i="79"/>
  <c r="E268" i="79"/>
  <c r="G268" i="79"/>
  <c r="G267" i="79"/>
  <c r="G265" i="79"/>
  <c r="G266" i="79"/>
  <c r="B14" i="79"/>
  <c r="C14" i="79"/>
  <c r="E269" i="79"/>
  <c r="G269" i="79"/>
  <c r="E270" i="79"/>
  <c r="G270" i="79"/>
  <c r="E263" i="80"/>
  <c r="E264" i="80"/>
  <c r="G264" i="80"/>
  <c r="E252" i="80"/>
  <c r="G252" i="80"/>
  <c r="E240" i="80"/>
  <c r="G240" i="80"/>
  <c r="E228" i="80"/>
  <c r="G228" i="80"/>
  <c r="E216" i="80"/>
  <c r="G216" i="80"/>
  <c r="E204" i="80"/>
  <c r="G204" i="80"/>
  <c r="E192" i="80"/>
  <c r="G192" i="80"/>
  <c r="E180" i="80"/>
  <c r="G180" i="80"/>
  <c r="E168" i="80"/>
  <c r="G168" i="80"/>
  <c r="E156" i="80"/>
  <c r="G156" i="80"/>
  <c r="E154" i="80"/>
  <c r="F154" i="80"/>
  <c r="E155" i="80"/>
  <c r="F155" i="80"/>
  <c r="F156" i="80"/>
  <c r="E157" i="80"/>
  <c r="F157" i="80"/>
  <c r="E158" i="80"/>
  <c r="F158" i="80"/>
  <c r="E163" i="80"/>
  <c r="F163" i="80"/>
  <c r="E164" i="80"/>
  <c r="F164" i="80"/>
  <c r="E165" i="80"/>
  <c r="F165" i="80"/>
  <c r="E166" i="80"/>
  <c r="F166" i="80"/>
  <c r="E167" i="80"/>
  <c r="F167" i="80"/>
  <c r="F168" i="80"/>
  <c r="E169" i="80"/>
  <c r="F169" i="80"/>
  <c r="E170" i="80"/>
  <c r="F170" i="80"/>
  <c r="E175" i="80"/>
  <c r="F175" i="80"/>
  <c r="E176" i="80"/>
  <c r="F176" i="80"/>
  <c r="E177" i="80"/>
  <c r="F177" i="80"/>
  <c r="E178" i="80"/>
  <c r="F178" i="80"/>
  <c r="E179" i="80"/>
  <c r="F179" i="80"/>
  <c r="F180" i="80"/>
  <c r="E181" i="80"/>
  <c r="F181" i="80"/>
  <c r="E182" i="80"/>
  <c r="F182" i="80"/>
  <c r="E187" i="80"/>
  <c r="F187" i="80"/>
  <c r="E188" i="80"/>
  <c r="F188" i="80"/>
  <c r="E189" i="80"/>
  <c r="F189" i="80"/>
  <c r="E190" i="80"/>
  <c r="F190" i="80"/>
  <c r="E191" i="80"/>
  <c r="F191" i="80"/>
  <c r="F192" i="80"/>
  <c r="E193" i="80"/>
  <c r="F193" i="80"/>
  <c r="E194" i="80"/>
  <c r="F194" i="80"/>
  <c r="E199" i="80"/>
  <c r="F199" i="80"/>
  <c r="E200" i="80"/>
  <c r="F200" i="80"/>
  <c r="E201" i="80"/>
  <c r="F201" i="80"/>
  <c r="E202" i="80"/>
  <c r="F202" i="80"/>
  <c r="E203" i="80"/>
  <c r="F203" i="80"/>
  <c r="F204" i="80"/>
  <c r="E205" i="80"/>
  <c r="F205" i="80"/>
  <c r="E206" i="80"/>
  <c r="F206" i="80"/>
  <c r="E211" i="80"/>
  <c r="F211" i="80"/>
  <c r="E212" i="80"/>
  <c r="F212" i="80"/>
  <c r="E213" i="80"/>
  <c r="F213" i="80"/>
  <c r="E214" i="80"/>
  <c r="F214" i="80"/>
  <c r="E215" i="80"/>
  <c r="F215" i="80"/>
  <c r="F216" i="80"/>
  <c r="E217" i="80"/>
  <c r="F217" i="80"/>
  <c r="E218" i="80"/>
  <c r="F218" i="80"/>
  <c r="E223" i="80"/>
  <c r="F223" i="80"/>
  <c r="E224" i="80"/>
  <c r="F224" i="80"/>
  <c r="E225" i="80"/>
  <c r="F225" i="80"/>
  <c r="E226" i="80"/>
  <c r="F226" i="80"/>
  <c r="E227" i="80"/>
  <c r="F227" i="80"/>
  <c r="F228" i="80"/>
  <c r="E229" i="80"/>
  <c r="F229" i="80"/>
  <c r="E230" i="80"/>
  <c r="F230" i="80"/>
  <c r="E235" i="80"/>
  <c r="F235" i="80"/>
  <c r="E236" i="80"/>
  <c r="F236" i="80"/>
  <c r="E237" i="80"/>
  <c r="F237" i="80"/>
  <c r="E238" i="80"/>
  <c r="F238" i="80"/>
  <c r="E239" i="80"/>
  <c r="F239" i="80"/>
  <c r="F240" i="80"/>
  <c r="E241" i="80"/>
  <c r="F241" i="80"/>
  <c r="E242" i="80"/>
  <c r="F242" i="80"/>
  <c r="E247" i="80"/>
  <c r="F247" i="80"/>
  <c r="E248" i="80"/>
  <c r="F248" i="80"/>
  <c r="E249" i="80"/>
  <c r="F249" i="80"/>
  <c r="E250" i="80"/>
  <c r="F250" i="80"/>
  <c r="E251" i="80"/>
  <c r="F251" i="80"/>
  <c r="F252" i="80"/>
  <c r="E253" i="80"/>
  <c r="F253" i="80"/>
  <c r="E254" i="80"/>
  <c r="F254" i="80"/>
  <c r="E259" i="80"/>
  <c r="F259" i="80"/>
  <c r="E260" i="80"/>
  <c r="F260" i="80"/>
  <c r="E261" i="80"/>
  <c r="F261" i="80"/>
  <c r="E262" i="80"/>
  <c r="F262" i="80"/>
  <c r="C15" i="80"/>
  <c r="G263" i="80"/>
  <c r="G251" i="80"/>
  <c r="G239" i="80"/>
  <c r="G227" i="80"/>
  <c r="G215" i="80"/>
  <c r="G203" i="80"/>
  <c r="G191" i="80"/>
  <c r="G179" i="80"/>
  <c r="G167" i="80"/>
  <c r="G155" i="80"/>
  <c r="G262" i="80"/>
  <c r="G250" i="80"/>
  <c r="G238" i="80"/>
  <c r="G226" i="80"/>
  <c r="G214" i="80"/>
  <c r="G202" i="80"/>
  <c r="G190" i="80"/>
  <c r="G178" i="80"/>
  <c r="G166" i="80"/>
  <c r="G154" i="80"/>
  <c r="C13" i="80"/>
  <c r="G261" i="80"/>
  <c r="G249" i="80"/>
  <c r="G237" i="80"/>
  <c r="G225" i="80"/>
  <c r="G213" i="80"/>
  <c r="G201" i="80"/>
  <c r="G189" i="80"/>
  <c r="G177" i="80"/>
  <c r="G165" i="80"/>
  <c r="H154" i="80"/>
  <c r="H155" i="80"/>
  <c r="H156" i="80"/>
  <c r="G157" i="80"/>
  <c r="H157" i="80"/>
  <c r="G158" i="80"/>
  <c r="H158" i="80"/>
  <c r="G163" i="80"/>
  <c r="H163" i="80"/>
  <c r="G164" i="80"/>
  <c r="H164" i="80"/>
  <c r="H165" i="80"/>
  <c r="H166" i="80"/>
  <c r="H167" i="80"/>
  <c r="H168" i="80"/>
  <c r="G169" i="80"/>
  <c r="H169" i="80"/>
  <c r="G170" i="80"/>
  <c r="H170" i="80"/>
  <c r="G175" i="80"/>
  <c r="H175" i="80"/>
  <c r="G176" i="80"/>
  <c r="H176" i="80"/>
  <c r="H177" i="80"/>
  <c r="H178" i="80"/>
  <c r="H179" i="80"/>
  <c r="H180" i="80"/>
  <c r="G181" i="80"/>
  <c r="H181" i="80"/>
  <c r="G182" i="80"/>
  <c r="H182" i="80"/>
  <c r="G187" i="80"/>
  <c r="H187" i="80"/>
  <c r="G188" i="80"/>
  <c r="H188" i="80"/>
  <c r="H189" i="80"/>
  <c r="H190" i="80"/>
  <c r="H191" i="80"/>
  <c r="H192" i="80"/>
  <c r="G193" i="80"/>
  <c r="H193" i="80"/>
  <c r="G194" i="80"/>
  <c r="H194" i="80"/>
  <c r="G199" i="80"/>
  <c r="H199" i="80"/>
  <c r="G200" i="80"/>
  <c r="H200" i="80"/>
  <c r="H201" i="80"/>
  <c r="H202" i="80"/>
  <c r="H203" i="80"/>
  <c r="H204" i="80"/>
  <c r="G205" i="80"/>
  <c r="H205" i="80"/>
  <c r="G206" i="80"/>
  <c r="H206" i="80"/>
  <c r="G211" i="80"/>
  <c r="H211" i="80"/>
  <c r="G212" i="80"/>
  <c r="H212" i="80"/>
  <c r="H213" i="80"/>
  <c r="H214" i="80"/>
  <c r="H215" i="80"/>
  <c r="H216" i="80"/>
  <c r="G217" i="80"/>
  <c r="H217" i="80"/>
  <c r="G218" i="80"/>
  <c r="H218" i="80"/>
  <c r="G223" i="80"/>
  <c r="H223" i="80"/>
  <c r="G224" i="80"/>
  <c r="H224" i="80"/>
  <c r="H225" i="80"/>
  <c r="H226" i="80"/>
  <c r="H227" i="80"/>
  <c r="H228" i="80"/>
  <c r="G229" i="80"/>
  <c r="H229" i="80"/>
  <c r="G230" i="80"/>
  <c r="H230" i="80"/>
  <c r="G235" i="80"/>
  <c r="H235" i="80"/>
  <c r="G236" i="80"/>
  <c r="H236" i="80"/>
  <c r="H237" i="80"/>
  <c r="H238" i="80"/>
  <c r="H239" i="80"/>
  <c r="H240" i="80"/>
  <c r="G241" i="80"/>
  <c r="H241" i="80"/>
  <c r="G242" i="80"/>
  <c r="H242" i="80"/>
  <c r="G247" i="80"/>
  <c r="H247" i="80"/>
  <c r="G248" i="80"/>
  <c r="H248" i="80"/>
  <c r="H249" i="80"/>
  <c r="H250" i="80"/>
  <c r="H251" i="80"/>
  <c r="H252" i="80"/>
  <c r="G253" i="80"/>
  <c r="H253" i="80"/>
  <c r="G254" i="80"/>
  <c r="H254" i="80"/>
  <c r="G259" i="80"/>
  <c r="H259" i="80"/>
  <c r="G260" i="80"/>
  <c r="H260" i="80"/>
  <c r="H261" i="80"/>
  <c r="H262" i="80"/>
  <c r="B15" i="80"/>
  <c r="B13" i="80"/>
  <c r="E265" i="80"/>
  <c r="E266" i="80"/>
  <c r="E267" i="80"/>
  <c r="E268" i="80"/>
  <c r="G268" i="80"/>
  <c r="G267" i="80"/>
  <c r="G265" i="80"/>
  <c r="G266" i="80"/>
  <c r="B14" i="80"/>
  <c r="C14" i="80"/>
  <c r="E269" i="80"/>
  <c r="G269" i="80"/>
  <c r="E270" i="80"/>
  <c r="G270" i="80"/>
  <c r="C16" i="81"/>
  <c r="C14" i="81"/>
  <c r="B16" i="81"/>
  <c r="B14" i="81"/>
  <c r="E264" i="82"/>
  <c r="G264" i="82"/>
  <c r="E252" i="82"/>
  <c r="G252" i="82"/>
  <c r="E240" i="82"/>
  <c r="G240" i="82"/>
  <c r="E228" i="82"/>
  <c r="G228" i="82"/>
  <c r="E216" i="82"/>
  <c r="G216" i="82"/>
  <c r="E204" i="82"/>
  <c r="G204" i="82"/>
  <c r="E192" i="82"/>
  <c r="F192" i="82"/>
  <c r="G192" i="82"/>
  <c r="E180" i="82"/>
  <c r="F180" i="82"/>
  <c r="G180" i="82"/>
  <c r="E168" i="82"/>
  <c r="F168" i="82"/>
  <c r="G168" i="82"/>
  <c r="E156" i="82"/>
  <c r="G156" i="82"/>
  <c r="F156" i="82"/>
  <c r="E161" i="82"/>
  <c r="F161" i="82"/>
  <c r="E162" i="82"/>
  <c r="F162" i="82"/>
  <c r="E173" i="82"/>
  <c r="F173" i="82"/>
  <c r="E174" i="82"/>
  <c r="F174" i="82"/>
  <c r="E185" i="82"/>
  <c r="F185" i="82"/>
  <c r="E186" i="82"/>
  <c r="F186" i="82"/>
  <c r="E197" i="82"/>
  <c r="F197" i="82"/>
  <c r="E198" i="82"/>
  <c r="F198" i="82"/>
  <c r="F204" i="82"/>
  <c r="E205" i="82"/>
  <c r="F205" i="82"/>
  <c r="E206" i="82"/>
  <c r="F206" i="82"/>
  <c r="E207" i="82"/>
  <c r="F207" i="82"/>
  <c r="E208" i="82"/>
  <c r="F208" i="82"/>
  <c r="E209" i="82"/>
  <c r="F209" i="82"/>
  <c r="E210" i="82"/>
  <c r="F210" i="82"/>
  <c r="F216" i="82"/>
  <c r="E217" i="82"/>
  <c r="F217" i="82"/>
  <c r="E218" i="82"/>
  <c r="F218" i="82"/>
  <c r="E219" i="82"/>
  <c r="F219" i="82"/>
  <c r="E220" i="82"/>
  <c r="F220" i="82"/>
  <c r="E221" i="82"/>
  <c r="F221" i="82"/>
  <c r="E222" i="82"/>
  <c r="F222" i="82"/>
  <c r="F228" i="82"/>
  <c r="E229" i="82"/>
  <c r="F229" i="82"/>
  <c r="E230" i="82"/>
  <c r="F230" i="82"/>
  <c r="E231" i="82"/>
  <c r="F231" i="82"/>
  <c r="E232" i="82"/>
  <c r="F232" i="82"/>
  <c r="E233" i="82"/>
  <c r="F233" i="82"/>
  <c r="E234" i="82"/>
  <c r="F234" i="82"/>
  <c r="F240" i="82"/>
  <c r="E241" i="82"/>
  <c r="F241" i="82"/>
  <c r="E242" i="82"/>
  <c r="F242" i="82"/>
  <c r="E243" i="82"/>
  <c r="F243" i="82"/>
  <c r="E244" i="82"/>
  <c r="F244" i="82"/>
  <c r="E245" i="82"/>
  <c r="F245" i="82"/>
  <c r="E246" i="82"/>
  <c r="F246" i="82"/>
  <c r="F252" i="82"/>
  <c r="E253" i="82"/>
  <c r="F253" i="82"/>
  <c r="E254" i="82"/>
  <c r="F254" i="82"/>
  <c r="E255" i="82"/>
  <c r="F255" i="82"/>
  <c r="E256" i="82"/>
  <c r="F256" i="82"/>
  <c r="E257" i="82"/>
  <c r="F257" i="82"/>
  <c r="E258" i="82"/>
  <c r="F258" i="82"/>
  <c r="C15" i="82"/>
  <c r="G206" i="82"/>
  <c r="G241" i="82"/>
  <c r="G254" i="82"/>
  <c r="C13" i="82"/>
  <c r="G253" i="82"/>
  <c r="H156" i="82"/>
  <c r="G161" i="82"/>
  <c r="H161" i="82"/>
  <c r="G162" i="82"/>
  <c r="H162" i="82"/>
  <c r="H168" i="82"/>
  <c r="G173" i="82"/>
  <c r="H173" i="82"/>
  <c r="G174" i="82"/>
  <c r="H174" i="82"/>
  <c r="H180" i="82"/>
  <c r="G185" i="82"/>
  <c r="H185" i="82"/>
  <c r="G186" i="82"/>
  <c r="H186" i="82"/>
  <c r="H192" i="82"/>
  <c r="G197" i="82"/>
  <c r="H197" i="82"/>
  <c r="G198" i="82"/>
  <c r="H198" i="82"/>
  <c r="H204" i="82"/>
  <c r="G205" i="82"/>
  <c r="H205" i="82"/>
  <c r="H206" i="82"/>
  <c r="G207" i="82"/>
  <c r="H207" i="82"/>
  <c r="G208" i="82"/>
  <c r="H208" i="82"/>
  <c r="G209" i="82"/>
  <c r="H209" i="82"/>
  <c r="G210" i="82"/>
  <c r="H210" i="82"/>
  <c r="H216" i="82"/>
  <c r="G217" i="82"/>
  <c r="H217" i="82"/>
  <c r="G218" i="82"/>
  <c r="H218" i="82"/>
  <c r="G219" i="82"/>
  <c r="H219" i="82"/>
  <c r="G220" i="82"/>
  <c r="H220" i="82"/>
  <c r="G221" i="82"/>
  <c r="H221" i="82"/>
  <c r="G222" i="82"/>
  <c r="H222" i="82"/>
  <c r="H228" i="82"/>
  <c r="G229" i="82"/>
  <c r="H229" i="82"/>
  <c r="G230" i="82"/>
  <c r="H230" i="82"/>
  <c r="G231" i="82"/>
  <c r="H231" i="82"/>
  <c r="G232" i="82"/>
  <c r="H232" i="82"/>
  <c r="G233" i="82"/>
  <c r="H233" i="82"/>
  <c r="G234" i="82"/>
  <c r="H234" i="82"/>
  <c r="H240" i="82"/>
  <c r="H241" i="82"/>
  <c r="G242" i="82"/>
  <c r="H242" i="82"/>
  <c r="G243" i="82"/>
  <c r="H243" i="82"/>
  <c r="G244" i="82"/>
  <c r="H244" i="82"/>
  <c r="G245" i="82"/>
  <c r="H245" i="82"/>
  <c r="G246" i="82"/>
  <c r="H246" i="82"/>
  <c r="H252" i="82"/>
  <c r="H253" i="82"/>
  <c r="H254" i="82"/>
  <c r="G255" i="82"/>
  <c r="H255" i="82"/>
  <c r="G256" i="82"/>
  <c r="H256" i="82"/>
  <c r="G257" i="82"/>
  <c r="H257" i="82"/>
  <c r="G258" i="82"/>
  <c r="H258" i="82"/>
  <c r="B15" i="82"/>
  <c r="B13" i="82"/>
  <c r="E265" i="82"/>
  <c r="E266" i="82"/>
  <c r="E267" i="82"/>
  <c r="E268" i="82"/>
  <c r="G268" i="82"/>
  <c r="G267" i="82"/>
  <c r="G265" i="82"/>
  <c r="G266" i="82"/>
  <c r="C14" i="82"/>
  <c r="B14" i="82"/>
  <c r="E269" i="82"/>
  <c r="G269" i="82"/>
  <c r="E270" i="82"/>
  <c r="G270" i="82"/>
  <c r="C15" i="83"/>
  <c r="C13" i="83"/>
  <c r="B15" i="83"/>
  <c r="B13" i="83"/>
  <c r="C16" i="84"/>
  <c r="C14" i="84"/>
  <c r="B16" i="84"/>
  <c r="B14" i="84"/>
  <c r="C16" i="87"/>
  <c r="C14" i="87"/>
  <c r="B16" i="87"/>
  <c r="B14" i="87"/>
  <c r="C202" i="88"/>
  <c r="C203" i="88"/>
  <c r="C204" i="88"/>
  <c r="B15" i="88"/>
  <c r="B13" i="88"/>
  <c r="C205" i="88"/>
  <c r="C206" i="88"/>
  <c r="C207" i="88"/>
</calcChain>
</file>

<file path=xl/comments1.xml><?xml version="1.0" encoding="utf-8"?>
<comments xmlns="http://schemas.openxmlformats.org/spreadsheetml/2006/main">
  <authors>
    <author>Kamaljeet Kaur Sidhu</author>
  </authors>
  <commentList>
    <comment ref="A9" authorId="0" shapeId="0">
      <text>
        <r>
          <rPr>
            <b/>
            <u/>
            <sz val="9"/>
            <color indexed="81"/>
            <rFont val="Tahoma"/>
            <family val="2"/>
          </rPr>
          <t>StatTools Note:</t>
        </r>
        <r>
          <rPr>
            <sz val="9"/>
            <color indexed="81"/>
            <rFont val="Tahoma"/>
            <family val="2"/>
          </rPr>
          <t xml:space="preserve">
This is the number of observations included in each moving average forecast.</t>
        </r>
      </text>
    </comment>
    <comment ref="A13" authorId="0" shapeId="0">
      <text>
        <r>
          <rPr>
            <b/>
            <u/>
            <sz val="9"/>
            <color indexed="81"/>
            <rFont val="Tahoma"/>
            <family val="2"/>
          </rPr>
          <t>StatTools Note:</t>
        </r>
        <r>
          <rPr>
            <sz val="9"/>
            <color indexed="81"/>
            <rFont val="Tahoma"/>
            <family val="2"/>
          </rPr>
          <t xml:space="preserve">
This is the average of absolute forecast errors.</t>
        </r>
      </text>
    </comment>
    <comment ref="A14" authorId="0" shapeId="0">
      <text>
        <r>
          <rPr>
            <b/>
            <u/>
            <sz val="9"/>
            <color indexed="81"/>
            <rFont val="Tahoma"/>
            <family val="2"/>
          </rPr>
          <t>StatTools Note:</t>
        </r>
        <r>
          <rPr>
            <sz val="9"/>
            <color indexed="81"/>
            <rFont val="Tahoma"/>
            <family val="2"/>
          </rPr>
          <t xml:space="preserve">
This is the square root of the sum of squared forecast errors.</t>
        </r>
      </text>
    </comment>
    <comment ref="A15" authorId="0" shapeId="0">
      <text>
        <r>
          <rPr>
            <b/>
            <u/>
            <sz val="9"/>
            <color indexed="81"/>
            <rFont val="Tahoma"/>
            <family val="2"/>
          </rPr>
          <t>StatTools Note:</t>
        </r>
        <r>
          <rPr>
            <sz val="9"/>
            <color indexed="81"/>
            <rFont val="Tahoma"/>
            <family val="2"/>
          </rPr>
          <t xml:space="preserve">
This is the average of the absolute percentage forecast errors.</t>
        </r>
      </text>
    </comment>
    <comment ref="B262" authorId="0" shapeId="0">
      <text>
        <r>
          <rPr>
            <b/>
            <u/>
            <sz val="9"/>
            <color indexed="81"/>
            <rFont val="Tahoma"/>
            <family val="2"/>
          </rPr>
          <t>StatTools Note:</t>
        </r>
        <r>
          <rPr>
            <sz val="9"/>
            <color indexed="81"/>
            <rFont val="Tahoma"/>
            <family val="2"/>
          </rPr>
          <t xml:space="preserve">
The future forecasting period begins here (below the line)</t>
        </r>
      </text>
    </comment>
  </commentList>
</comments>
</file>

<file path=xl/comments10.xml><?xml version="1.0" encoding="utf-8"?>
<comments xmlns="http://schemas.openxmlformats.org/spreadsheetml/2006/main">
  <authors>
    <author>Kamaljeet Kaur Sidhu</author>
  </authors>
  <commentList>
    <comment ref="A8" authorId="0" shapeId="0">
      <text>
        <r>
          <rPr>
            <b/>
            <u/>
            <sz val="9"/>
            <color indexed="81"/>
            <rFont val="Tahoma"/>
            <family val="2"/>
          </rPr>
          <t>StatTools Note:</t>
        </r>
        <r>
          <rPr>
            <sz val="9"/>
            <color indexed="81"/>
            <rFont val="Tahoma"/>
            <family val="2"/>
          </rPr>
          <t xml:space="preserve">
These constants are calculated to minimize Root Mean Sq Error if Optimize option is chosen.</t>
        </r>
      </text>
    </comment>
    <comment ref="A14" authorId="0" shapeId="0">
      <text>
        <r>
          <rPr>
            <b/>
            <u/>
            <sz val="9"/>
            <color indexed="81"/>
            <rFont val="Tahoma"/>
            <family val="2"/>
          </rPr>
          <t>StatTools Note:</t>
        </r>
        <r>
          <rPr>
            <sz val="9"/>
            <color indexed="81"/>
            <rFont val="Tahoma"/>
            <family val="2"/>
          </rPr>
          <t xml:space="preserve">
This is the average of absolute forecast errors.</t>
        </r>
      </text>
    </comment>
    <comment ref="A15" authorId="0" shapeId="0">
      <text>
        <r>
          <rPr>
            <b/>
            <u/>
            <sz val="9"/>
            <color indexed="81"/>
            <rFont val="Tahoma"/>
            <family val="2"/>
          </rPr>
          <t>StatTools Note:</t>
        </r>
        <r>
          <rPr>
            <sz val="9"/>
            <color indexed="81"/>
            <rFont val="Tahoma"/>
            <family val="2"/>
          </rPr>
          <t xml:space="preserve">
This is the square root of the sum of squared forecast errors.</t>
        </r>
      </text>
    </comment>
    <comment ref="A16" authorId="0" shapeId="0">
      <text>
        <r>
          <rPr>
            <b/>
            <u/>
            <sz val="9"/>
            <color indexed="81"/>
            <rFont val="Tahoma"/>
            <family val="2"/>
          </rPr>
          <t>StatTools Note:</t>
        </r>
        <r>
          <rPr>
            <sz val="9"/>
            <color indexed="81"/>
            <rFont val="Tahoma"/>
            <family val="2"/>
          </rPr>
          <t xml:space="preserve">
This is the average of the absolute percentage forecast errors.</t>
        </r>
      </text>
    </comment>
    <comment ref="B263" authorId="0" shapeId="0">
      <text>
        <r>
          <rPr>
            <b/>
            <u/>
            <sz val="9"/>
            <color indexed="81"/>
            <rFont val="Tahoma"/>
            <family val="2"/>
          </rPr>
          <t>StatTools Note:</t>
        </r>
        <r>
          <rPr>
            <sz val="9"/>
            <color indexed="81"/>
            <rFont val="Tahoma"/>
            <family val="2"/>
          </rPr>
          <t xml:space="preserve">
The future forecasting period begins here (below the line)</t>
        </r>
      </text>
    </comment>
  </commentList>
</comments>
</file>

<file path=xl/comments11.xml><?xml version="1.0" encoding="utf-8"?>
<comments xmlns="http://schemas.openxmlformats.org/spreadsheetml/2006/main">
  <authors>
    <author>Kamaljeet Kaur Sidhu</author>
  </authors>
  <commentList>
    <comment ref="A8" authorId="0" shapeId="0">
      <text>
        <r>
          <rPr>
            <b/>
            <u/>
            <sz val="9"/>
            <color indexed="81"/>
            <rFont val="Tahoma"/>
            <family val="2"/>
          </rPr>
          <t>StatTools Note:</t>
        </r>
        <r>
          <rPr>
            <sz val="9"/>
            <color indexed="81"/>
            <rFont val="Tahoma"/>
            <family val="2"/>
          </rPr>
          <t xml:space="preserve">
These constants are calculated to minimize Root Mean Sq Error if Optimize option is chosen.</t>
        </r>
      </text>
    </comment>
    <comment ref="A15" authorId="0" shapeId="0">
      <text>
        <r>
          <rPr>
            <b/>
            <u/>
            <sz val="9"/>
            <color indexed="81"/>
            <rFont val="Tahoma"/>
            <family val="2"/>
          </rPr>
          <t>StatTools Note:</t>
        </r>
        <r>
          <rPr>
            <sz val="9"/>
            <color indexed="81"/>
            <rFont val="Tahoma"/>
            <family val="2"/>
          </rPr>
          <t xml:space="preserve">
This is the average of absolute forecast errors.</t>
        </r>
      </text>
    </comment>
    <comment ref="A16" authorId="0" shapeId="0">
      <text>
        <r>
          <rPr>
            <b/>
            <u/>
            <sz val="9"/>
            <color indexed="81"/>
            <rFont val="Tahoma"/>
            <family val="2"/>
          </rPr>
          <t>StatTools Note:</t>
        </r>
        <r>
          <rPr>
            <sz val="9"/>
            <color indexed="81"/>
            <rFont val="Tahoma"/>
            <family val="2"/>
          </rPr>
          <t xml:space="preserve">
This is the square root of the sum of squared forecast errors.</t>
        </r>
      </text>
    </comment>
    <comment ref="A17" authorId="0" shapeId="0">
      <text>
        <r>
          <rPr>
            <b/>
            <u/>
            <sz val="9"/>
            <color indexed="81"/>
            <rFont val="Tahoma"/>
            <family val="2"/>
          </rPr>
          <t>StatTools Note:</t>
        </r>
        <r>
          <rPr>
            <sz val="9"/>
            <color indexed="81"/>
            <rFont val="Tahoma"/>
            <family val="2"/>
          </rPr>
          <t xml:space="preserve">
This is the average of the absolute percentage forecast errors.</t>
        </r>
      </text>
    </comment>
    <comment ref="B201" authorId="0" shapeId="0">
      <text>
        <r>
          <rPr>
            <b/>
            <u/>
            <sz val="9"/>
            <color indexed="81"/>
            <rFont val="Tahoma"/>
            <family val="2"/>
          </rPr>
          <t>StatTools Note:</t>
        </r>
        <r>
          <rPr>
            <sz val="9"/>
            <color indexed="81"/>
            <rFont val="Tahoma"/>
            <family val="2"/>
          </rPr>
          <t xml:space="preserve">
The future forecasting period begins here (below the line)</t>
        </r>
      </text>
    </comment>
  </commentList>
</comments>
</file>

<file path=xl/comments12.xml><?xml version="1.0" encoding="utf-8"?>
<comments xmlns="http://schemas.openxmlformats.org/spreadsheetml/2006/main">
  <authors>
    <author>Kamaljeet Kaur Sidhu</author>
  </authors>
  <commentList>
    <comment ref="A8" authorId="0" shapeId="0">
      <text>
        <r>
          <rPr>
            <b/>
            <u/>
            <sz val="9"/>
            <color indexed="81"/>
            <rFont val="Tahoma"/>
            <family val="2"/>
          </rPr>
          <t>StatTools Note:</t>
        </r>
        <r>
          <rPr>
            <sz val="9"/>
            <color indexed="81"/>
            <rFont val="Tahoma"/>
            <family val="2"/>
          </rPr>
          <t xml:space="preserve">
These constants are calculated to minimize Root Mean Sq Error if Optimize option is chosen.</t>
        </r>
      </text>
    </comment>
    <comment ref="A13" authorId="0" shapeId="0">
      <text>
        <r>
          <rPr>
            <b/>
            <u/>
            <sz val="9"/>
            <color indexed="81"/>
            <rFont val="Tahoma"/>
            <family val="2"/>
          </rPr>
          <t>StatTools Note:</t>
        </r>
        <r>
          <rPr>
            <sz val="9"/>
            <color indexed="81"/>
            <rFont val="Tahoma"/>
            <family val="2"/>
          </rPr>
          <t xml:space="preserve">
This is the average of absolute forecast errors.</t>
        </r>
      </text>
    </comment>
    <comment ref="A14" authorId="0" shapeId="0">
      <text>
        <r>
          <rPr>
            <b/>
            <u/>
            <sz val="9"/>
            <color indexed="81"/>
            <rFont val="Tahoma"/>
            <family val="2"/>
          </rPr>
          <t>StatTools Note:</t>
        </r>
        <r>
          <rPr>
            <sz val="9"/>
            <color indexed="81"/>
            <rFont val="Tahoma"/>
            <family val="2"/>
          </rPr>
          <t xml:space="preserve">
This is the square root of the sum of squared forecast errors.</t>
        </r>
      </text>
    </comment>
    <comment ref="A15" authorId="0" shapeId="0">
      <text>
        <r>
          <rPr>
            <b/>
            <u/>
            <sz val="9"/>
            <color indexed="81"/>
            <rFont val="Tahoma"/>
            <family val="2"/>
          </rPr>
          <t>StatTools Note:</t>
        </r>
        <r>
          <rPr>
            <sz val="9"/>
            <color indexed="81"/>
            <rFont val="Tahoma"/>
            <family val="2"/>
          </rPr>
          <t xml:space="preserve">
This is the average of the absolute percentage forecast errors.</t>
        </r>
      </text>
    </comment>
    <comment ref="B262" authorId="0" shapeId="0">
      <text>
        <r>
          <rPr>
            <b/>
            <u/>
            <sz val="9"/>
            <color indexed="81"/>
            <rFont val="Tahoma"/>
            <family val="2"/>
          </rPr>
          <t>StatTools Note:</t>
        </r>
        <r>
          <rPr>
            <sz val="9"/>
            <color indexed="81"/>
            <rFont val="Tahoma"/>
            <family val="2"/>
          </rPr>
          <t xml:space="preserve">
The future forecasting period begins here (below the line)</t>
        </r>
      </text>
    </comment>
  </commentList>
</comments>
</file>

<file path=xl/comments13.xml><?xml version="1.0" encoding="utf-8"?>
<comments xmlns="http://schemas.openxmlformats.org/spreadsheetml/2006/main">
  <authors>
    <author>Kamaljeet Kaur Sidhu</author>
  </authors>
  <commentList>
    <comment ref="A8" authorId="0" shapeId="0">
      <text>
        <r>
          <rPr>
            <b/>
            <u/>
            <sz val="9"/>
            <color indexed="81"/>
            <rFont val="Tahoma"/>
            <family val="2"/>
          </rPr>
          <t>StatTools Note:</t>
        </r>
        <r>
          <rPr>
            <sz val="9"/>
            <color indexed="81"/>
            <rFont val="Tahoma"/>
            <family val="2"/>
          </rPr>
          <t xml:space="preserve">
These constants are calculated to minimize Root Mean Sq Error if Optimize option is chosen.</t>
        </r>
      </text>
    </comment>
    <comment ref="A15" authorId="0" shapeId="0">
      <text>
        <r>
          <rPr>
            <b/>
            <u/>
            <sz val="9"/>
            <color indexed="81"/>
            <rFont val="Tahoma"/>
            <family val="2"/>
          </rPr>
          <t>StatTools Note:</t>
        </r>
        <r>
          <rPr>
            <sz val="9"/>
            <color indexed="81"/>
            <rFont val="Tahoma"/>
            <family val="2"/>
          </rPr>
          <t xml:space="preserve">
This is the average of absolute forecast errors.</t>
        </r>
      </text>
    </comment>
    <comment ref="A16" authorId="0" shapeId="0">
      <text>
        <r>
          <rPr>
            <b/>
            <u/>
            <sz val="9"/>
            <color indexed="81"/>
            <rFont val="Tahoma"/>
            <family val="2"/>
          </rPr>
          <t>StatTools Note:</t>
        </r>
        <r>
          <rPr>
            <sz val="9"/>
            <color indexed="81"/>
            <rFont val="Tahoma"/>
            <family val="2"/>
          </rPr>
          <t xml:space="preserve">
This is the square root of the sum of squared forecast errors.</t>
        </r>
      </text>
    </comment>
    <comment ref="A17" authorId="0" shapeId="0">
      <text>
        <r>
          <rPr>
            <b/>
            <u/>
            <sz val="9"/>
            <color indexed="81"/>
            <rFont val="Tahoma"/>
            <family val="2"/>
          </rPr>
          <t>StatTools Note:</t>
        </r>
        <r>
          <rPr>
            <sz val="9"/>
            <color indexed="81"/>
            <rFont val="Tahoma"/>
            <family val="2"/>
          </rPr>
          <t xml:space="preserve">
This is the average of the absolute percentage forecast errors.</t>
        </r>
      </text>
    </comment>
    <comment ref="B201" authorId="0" shapeId="0">
      <text>
        <r>
          <rPr>
            <b/>
            <u/>
            <sz val="9"/>
            <color indexed="81"/>
            <rFont val="Tahoma"/>
            <family val="2"/>
          </rPr>
          <t>StatTools Note:</t>
        </r>
        <r>
          <rPr>
            <sz val="9"/>
            <color indexed="81"/>
            <rFont val="Tahoma"/>
            <family val="2"/>
          </rPr>
          <t xml:space="preserve">
The future forecasting period begins here (below the line)</t>
        </r>
      </text>
    </comment>
  </commentList>
</comments>
</file>

<file path=xl/comments14.xml><?xml version="1.0" encoding="utf-8"?>
<comments xmlns="http://schemas.openxmlformats.org/spreadsheetml/2006/main">
  <authors>
    <author>Kamaljeet Kaur Sidhu</author>
  </authors>
  <commentList>
    <comment ref="A9" authorId="0" shapeId="0">
      <text>
        <r>
          <rPr>
            <b/>
            <u/>
            <sz val="9"/>
            <color indexed="81"/>
            <rFont val="Tahoma"/>
            <family val="2"/>
          </rPr>
          <t>StatTools Note:</t>
        </r>
        <r>
          <rPr>
            <sz val="9"/>
            <color indexed="81"/>
            <rFont val="Tahoma"/>
            <family val="2"/>
          </rPr>
          <t xml:space="preserve">
This is the number of observations included in each moving average forecast.</t>
        </r>
      </text>
    </comment>
    <comment ref="A13" authorId="0" shapeId="0">
      <text>
        <r>
          <rPr>
            <b/>
            <u/>
            <sz val="9"/>
            <color indexed="81"/>
            <rFont val="Tahoma"/>
            <family val="2"/>
          </rPr>
          <t>StatTools Note:</t>
        </r>
        <r>
          <rPr>
            <sz val="9"/>
            <color indexed="81"/>
            <rFont val="Tahoma"/>
            <family val="2"/>
          </rPr>
          <t xml:space="preserve">
This is the average of absolute forecast errors.</t>
        </r>
      </text>
    </comment>
    <comment ref="A14" authorId="0" shapeId="0">
      <text>
        <r>
          <rPr>
            <b/>
            <u/>
            <sz val="9"/>
            <color indexed="81"/>
            <rFont val="Tahoma"/>
            <family val="2"/>
          </rPr>
          <t>StatTools Note:</t>
        </r>
        <r>
          <rPr>
            <sz val="9"/>
            <color indexed="81"/>
            <rFont val="Tahoma"/>
            <family val="2"/>
          </rPr>
          <t xml:space="preserve">
This is the square root of the sum of squared forecast errors.</t>
        </r>
      </text>
    </comment>
    <comment ref="A15" authorId="0" shapeId="0">
      <text>
        <r>
          <rPr>
            <b/>
            <u/>
            <sz val="9"/>
            <color indexed="81"/>
            <rFont val="Tahoma"/>
            <family val="2"/>
          </rPr>
          <t>StatTools Note:</t>
        </r>
        <r>
          <rPr>
            <sz val="9"/>
            <color indexed="81"/>
            <rFont val="Tahoma"/>
            <family val="2"/>
          </rPr>
          <t xml:space="preserve">
This is the average of the absolute percentage forecast errors.</t>
        </r>
      </text>
    </comment>
    <comment ref="B262" authorId="0" shapeId="0">
      <text>
        <r>
          <rPr>
            <b/>
            <u/>
            <sz val="9"/>
            <color indexed="81"/>
            <rFont val="Tahoma"/>
            <family val="2"/>
          </rPr>
          <t>StatTools Note:</t>
        </r>
        <r>
          <rPr>
            <sz val="9"/>
            <color indexed="81"/>
            <rFont val="Tahoma"/>
            <family val="2"/>
          </rPr>
          <t xml:space="preserve">
The future forecasting period begins here (below the line)</t>
        </r>
      </text>
    </comment>
  </commentList>
</comments>
</file>

<file path=xl/comments15.xml><?xml version="1.0" encoding="utf-8"?>
<comments xmlns="http://schemas.openxmlformats.org/spreadsheetml/2006/main">
  <authors>
    <author>Kamaljeet Kaur Sidhu</author>
  </authors>
  <commentList>
    <comment ref="A8" authorId="0" shapeId="0">
      <text>
        <r>
          <rPr>
            <b/>
            <u/>
            <sz val="9"/>
            <color indexed="81"/>
            <rFont val="Tahoma"/>
            <family val="2"/>
          </rPr>
          <t>StatTools Note:</t>
        </r>
        <r>
          <rPr>
            <sz val="9"/>
            <color indexed="81"/>
            <rFont val="Tahoma"/>
            <family val="2"/>
          </rPr>
          <t xml:space="preserve">
These constants are calculated to minimize Root Mean Sq Error if Optimize option is chosen.</t>
        </r>
      </text>
    </comment>
    <comment ref="A13" authorId="0" shapeId="0">
      <text>
        <r>
          <rPr>
            <b/>
            <u/>
            <sz val="9"/>
            <color indexed="81"/>
            <rFont val="Tahoma"/>
            <family val="2"/>
          </rPr>
          <t>StatTools Note:</t>
        </r>
        <r>
          <rPr>
            <sz val="9"/>
            <color indexed="81"/>
            <rFont val="Tahoma"/>
            <family val="2"/>
          </rPr>
          <t xml:space="preserve">
This is the average of absolute forecast errors.</t>
        </r>
      </text>
    </comment>
    <comment ref="A14" authorId="0" shapeId="0">
      <text>
        <r>
          <rPr>
            <b/>
            <u/>
            <sz val="9"/>
            <color indexed="81"/>
            <rFont val="Tahoma"/>
            <family val="2"/>
          </rPr>
          <t>StatTools Note:</t>
        </r>
        <r>
          <rPr>
            <sz val="9"/>
            <color indexed="81"/>
            <rFont val="Tahoma"/>
            <family val="2"/>
          </rPr>
          <t xml:space="preserve">
This is the square root of the sum of squared forecast errors.</t>
        </r>
      </text>
    </comment>
    <comment ref="A15" authorId="0" shapeId="0">
      <text>
        <r>
          <rPr>
            <b/>
            <u/>
            <sz val="9"/>
            <color indexed="81"/>
            <rFont val="Tahoma"/>
            <family val="2"/>
          </rPr>
          <t>StatTools Note:</t>
        </r>
        <r>
          <rPr>
            <sz val="9"/>
            <color indexed="81"/>
            <rFont val="Tahoma"/>
            <family val="2"/>
          </rPr>
          <t xml:space="preserve">
This is the average of the absolute percentage forecast errors.</t>
        </r>
      </text>
    </comment>
    <comment ref="B262" authorId="0" shapeId="0">
      <text>
        <r>
          <rPr>
            <b/>
            <u/>
            <sz val="9"/>
            <color indexed="81"/>
            <rFont val="Tahoma"/>
            <family val="2"/>
          </rPr>
          <t>StatTools Note:</t>
        </r>
        <r>
          <rPr>
            <sz val="9"/>
            <color indexed="81"/>
            <rFont val="Tahoma"/>
            <family val="2"/>
          </rPr>
          <t xml:space="preserve">
The future forecasting period begins here (below the line)</t>
        </r>
      </text>
    </comment>
  </commentList>
</comments>
</file>

<file path=xl/comments16.xml><?xml version="1.0" encoding="utf-8"?>
<comments xmlns="http://schemas.openxmlformats.org/spreadsheetml/2006/main">
  <authors>
    <author>Kamaljeet Kaur Sidhu</author>
  </authors>
  <commentList>
    <comment ref="A8" authorId="0" shapeId="0">
      <text>
        <r>
          <rPr>
            <b/>
            <u/>
            <sz val="9"/>
            <color indexed="81"/>
            <rFont val="Tahoma"/>
            <family val="2"/>
          </rPr>
          <t>StatTools Note:</t>
        </r>
        <r>
          <rPr>
            <sz val="9"/>
            <color indexed="81"/>
            <rFont val="Tahoma"/>
            <family val="2"/>
          </rPr>
          <t xml:space="preserve">
These constants are calculated to minimize Root Mean Sq Error if Optimize option is chosen.</t>
        </r>
      </text>
    </comment>
    <comment ref="A14" authorId="0" shapeId="0">
      <text>
        <r>
          <rPr>
            <b/>
            <u/>
            <sz val="9"/>
            <color indexed="81"/>
            <rFont val="Tahoma"/>
            <family val="2"/>
          </rPr>
          <t>StatTools Note:</t>
        </r>
        <r>
          <rPr>
            <sz val="9"/>
            <color indexed="81"/>
            <rFont val="Tahoma"/>
            <family val="2"/>
          </rPr>
          <t xml:space="preserve">
This is the average of absolute forecast errors.</t>
        </r>
      </text>
    </comment>
    <comment ref="A15" authorId="0" shapeId="0">
      <text>
        <r>
          <rPr>
            <b/>
            <u/>
            <sz val="9"/>
            <color indexed="81"/>
            <rFont val="Tahoma"/>
            <family val="2"/>
          </rPr>
          <t>StatTools Note:</t>
        </r>
        <r>
          <rPr>
            <sz val="9"/>
            <color indexed="81"/>
            <rFont val="Tahoma"/>
            <family val="2"/>
          </rPr>
          <t xml:space="preserve">
This is the square root of the sum of squared forecast errors.</t>
        </r>
      </text>
    </comment>
    <comment ref="A16" authorId="0" shapeId="0">
      <text>
        <r>
          <rPr>
            <b/>
            <u/>
            <sz val="9"/>
            <color indexed="81"/>
            <rFont val="Tahoma"/>
            <family val="2"/>
          </rPr>
          <t>StatTools Note:</t>
        </r>
        <r>
          <rPr>
            <sz val="9"/>
            <color indexed="81"/>
            <rFont val="Tahoma"/>
            <family val="2"/>
          </rPr>
          <t xml:space="preserve">
This is the average of the absolute percentage forecast errors.</t>
        </r>
      </text>
    </comment>
    <comment ref="B263" authorId="0" shapeId="0">
      <text>
        <r>
          <rPr>
            <b/>
            <u/>
            <sz val="9"/>
            <color indexed="81"/>
            <rFont val="Tahoma"/>
            <family val="2"/>
          </rPr>
          <t>StatTools Note:</t>
        </r>
        <r>
          <rPr>
            <sz val="9"/>
            <color indexed="81"/>
            <rFont val="Tahoma"/>
            <family val="2"/>
          </rPr>
          <t xml:space="preserve">
The future forecasting period begins here (below the line)</t>
        </r>
      </text>
    </comment>
  </commentList>
</comments>
</file>

<file path=xl/comments17.xml><?xml version="1.0" encoding="utf-8"?>
<comments xmlns="http://schemas.openxmlformats.org/spreadsheetml/2006/main">
  <authors>
    <author>Kamaljeet Kaur Sidhu</author>
  </authors>
  <commentList>
    <comment ref="A28" authorId="0" shapeId="0">
      <text>
        <r>
          <rPr>
            <b/>
            <u/>
            <sz val="9"/>
            <color indexed="81"/>
            <rFont val="Tahoma"/>
            <family val="2"/>
          </rPr>
          <t>StatTools Note:</t>
        </r>
        <r>
          <rPr>
            <sz val="9"/>
            <color indexed="81"/>
            <rFont val="Tahoma"/>
            <family val="2"/>
          </rPr>
          <t xml:space="preserve">
Autocorrelations larger than two standard errors in magnitude are considered significant, and shown in bold.</t>
        </r>
      </text>
    </comment>
  </commentList>
</comments>
</file>

<file path=xl/comments18.xml><?xml version="1.0" encoding="utf-8"?>
<comments xmlns="http://schemas.openxmlformats.org/spreadsheetml/2006/main">
  <authors>
    <author>Kamaljeet Kaur Sidhu</author>
  </authors>
  <commentList>
    <comment ref="A28" authorId="0" shapeId="0">
      <text>
        <r>
          <rPr>
            <b/>
            <u/>
            <sz val="9"/>
            <color indexed="81"/>
            <rFont val="Tahoma"/>
            <family val="2"/>
          </rPr>
          <t>StatTools Note:</t>
        </r>
        <r>
          <rPr>
            <sz val="9"/>
            <color indexed="81"/>
            <rFont val="Tahoma"/>
            <family val="2"/>
          </rPr>
          <t xml:space="preserve">
Autocorrelations larger than two standard errors in magnitude are considered significant, and shown in bold.</t>
        </r>
      </text>
    </comment>
  </commentList>
</comments>
</file>

<file path=xl/comments19.xml><?xml version="1.0" encoding="utf-8"?>
<comments xmlns="http://schemas.openxmlformats.org/spreadsheetml/2006/main">
  <authors>
    <author>Kamaljeet Kaur Sidhu</author>
  </authors>
  <commentList>
    <comment ref="A28" authorId="0" shapeId="0">
      <text>
        <r>
          <rPr>
            <b/>
            <u/>
            <sz val="9"/>
            <color indexed="81"/>
            <rFont val="Tahoma"/>
            <family val="2"/>
          </rPr>
          <t>StatTools Note:</t>
        </r>
        <r>
          <rPr>
            <sz val="9"/>
            <color indexed="81"/>
            <rFont val="Tahoma"/>
            <family val="2"/>
          </rPr>
          <t xml:space="preserve">
Autocorrelations larger than two standard errors in magnitude are considered significant, and shown in bold.</t>
        </r>
      </text>
    </comment>
  </commentList>
</comments>
</file>

<file path=xl/comments2.xml><?xml version="1.0" encoding="utf-8"?>
<comments xmlns="http://schemas.openxmlformats.org/spreadsheetml/2006/main">
  <authors>
    <author>Kamaljeet Kaur Sidhu</author>
  </authors>
  <commentList>
    <comment ref="A8" authorId="0" shapeId="0">
      <text>
        <r>
          <rPr>
            <b/>
            <u/>
            <sz val="9"/>
            <color indexed="81"/>
            <rFont val="Tahoma"/>
            <family val="2"/>
          </rPr>
          <t>StatTools Note:</t>
        </r>
        <r>
          <rPr>
            <sz val="9"/>
            <color indexed="81"/>
            <rFont val="Tahoma"/>
            <family val="2"/>
          </rPr>
          <t xml:space="preserve">
These constants are calculated to minimize Root Mean Sq Error if Optimize option is chosen.</t>
        </r>
      </text>
    </comment>
    <comment ref="A13" authorId="0" shapeId="0">
      <text>
        <r>
          <rPr>
            <b/>
            <u/>
            <sz val="9"/>
            <color indexed="81"/>
            <rFont val="Tahoma"/>
            <family val="2"/>
          </rPr>
          <t>StatTools Note:</t>
        </r>
        <r>
          <rPr>
            <sz val="9"/>
            <color indexed="81"/>
            <rFont val="Tahoma"/>
            <family val="2"/>
          </rPr>
          <t xml:space="preserve">
This is the average of absolute forecast errors.</t>
        </r>
      </text>
    </comment>
    <comment ref="A14" authorId="0" shapeId="0">
      <text>
        <r>
          <rPr>
            <b/>
            <u/>
            <sz val="9"/>
            <color indexed="81"/>
            <rFont val="Tahoma"/>
            <family val="2"/>
          </rPr>
          <t>StatTools Note:</t>
        </r>
        <r>
          <rPr>
            <sz val="9"/>
            <color indexed="81"/>
            <rFont val="Tahoma"/>
            <family val="2"/>
          </rPr>
          <t xml:space="preserve">
This is the square root of the sum of squared forecast errors.</t>
        </r>
      </text>
    </comment>
    <comment ref="A15" authorId="0" shapeId="0">
      <text>
        <r>
          <rPr>
            <b/>
            <u/>
            <sz val="9"/>
            <color indexed="81"/>
            <rFont val="Tahoma"/>
            <family val="2"/>
          </rPr>
          <t>StatTools Note:</t>
        </r>
        <r>
          <rPr>
            <sz val="9"/>
            <color indexed="81"/>
            <rFont val="Tahoma"/>
            <family val="2"/>
          </rPr>
          <t xml:space="preserve">
This is the average of the absolute percentage forecast errors.</t>
        </r>
      </text>
    </comment>
    <comment ref="B262" authorId="0" shapeId="0">
      <text>
        <r>
          <rPr>
            <b/>
            <u/>
            <sz val="9"/>
            <color indexed="81"/>
            <rFont val="Tahoma"/>
            <family val="2"/>
          </rPr>
          <t>StatTools Note:</t>
        </r>
        <r>
          <rPr>
            <sz val="9"/>
            <color indexed="81"/>
            <rFont val="Tahoma"/>
            <family val="2"/>
          </rPr>
          <t xml:space="preserve">
The future forecasting period begins here (below the line)</t>
        </r>
      </text>
    </comment>
  </commentList>
</comments>
</file>

<file path=xl/comments20.xml><?xml version="1.0" encoding="utf-8"?>
<comments xmlns="http://schemas.openxmlformats.org/spreadsheetml/2006/main">
  <authors>
    <author>Kamaljeet Kaur Sidhu</author>
  </authors>
  <commentList>
    <comment ref="A28" authorId="0" shapeId="0">
      <text>
        <r>
          <rPr>
            <b/>
            <u/>
            <sz val="9"/>
            <color indexed="81"/>
            <rFont val="Tahoma"/>
            <family val="2"/>
          </rPr>
          <t>StatTools Note:</t>
        </r>
        <r>
          <rPr>
            <sz val="9"/>
            <color indexed="81"/>
            <rFont val="Tahoma"/>
            <family val="2"/>
          </rPr>
          <t xml:space="preserve">
Autocorrelations larger than two standard errors in magnitude are considered significant, and shown in bold.</t>
        </r>
      </text>
    </comment>
  </commentList>
</comments>
</file>

<file path=xl/comments21.xml><?xml version="1.0" encoding="utf-8"?>
<comments xmlns="http://schemas.openxmlformats.org/spreadsheetml/2006/main">
  <authors>
    <author>Kamaljeet Kaur Sidhu</author>
  </authors>
  <commentList>
    <comment ref="A17" authorId="0" shapeId="0">
      <text>
        <r>
          <rPr>
            <b/>
            <u/>
            <sz val="9"/>
            <color indexed="81"/>
            <rFont val="Tahoma"/>
            <family val="2"/>
          </rPr>
          <t>StatTools Note:</t>
        </r>
        <r>
          <rPr>
            <sz val="9"/>
            <color indexed="81"/>
            <rFont val="Tahoma"/>
            <family val="2"/>
          </rPr>
          <t xml:space="preserve">
If this value is sufficiently small you can reject the null hypothesis of randomness and conclude that the series does not alternate enough (too few runs) or alternates too much (too many runs).</t>
        </r>
      </text>
    </comment>
  </commentList>
</comments>
</file>

<file path=xl/comments22.xml><?xml version="1.0" encoding="utf-8"?>
<comments xmlns="http://schemas.openxmlformats.org/spreadsheetml/2006/main">
  <authors>
    <author>Kamaljeet Kaur Sidhu</author>
  </authors>
  <commentList>
    <comment ref="A17" authorId="0" shapeId="0">
      <text>
        <r>
          <rPr>
            <b/>
            <u/>
            <sz val="9"/>
            <color indexed="81"/>
            <rFont val="Tahoma"/>
            <family val="2"/>
          </rPr>
          <t>StatTools Note:</t>
        </r>
        <r>
          <rPr>
            <sz val="9"/>
            <color indexed="81"/>
            <rFont val="Tahoma"/>
            <family val="2"/>
          </rPr>
          <t xml:space="preserve">
If this value is sufficiently small you can reject the null hypothesis of randomness and conclude that the series does not alternate enough (too few runs) or alternates too much (too many runs).</t>
        </r>
      </text>
    </comment>
  </commentList>
</comments>
</file>

<file path=xl/comments23.xml><?xml version="1.0" encoding="utf-8"?>
<comments xmlns="http://schemas.openxmlformats.org/spreadsheetml/2006/main">
  <authors>
    <author>Kamaljeet Kaur Sidhu</author>
  </authors>
  <commentList>
    <comment ref="A17" authorId="0" shapeId="0">
      <text>
        <r>
          <rPr>
            <b/>
            <u/>
            <sz val="9"/>
            <color indexed="81"/>
            <rFont val="Tahoma"/>
            <family val="2"/>
          </rPr>
          <t>StatTools Note:</t>
        </r>
        <r>
          <rPr>
            <sz val="9"/>
            <color indexed="81"/>
            <rFont val="Tahoma"/>
            <family val="2"/>
          </rPr>
          <t xml:space="preserve">
If this value is sufficiently small you can reject the null hypothesis of randomness and conclude that the series does not alternate enough (too few runs) or alternates too much (too many runs).</t>
        </r>
      </text>
    </comment>
  </commentList>
</comments>
</file>

<file path=xl/comments24.xml><?xml version="1.0" encoding="utf-8"?>
<comments xmlns="http://schemas.openxmlformats.org/spreadsheetml/2006/main">
  <authors>
    <author>Kamaljeet Kaur Sidhu</author>
  </authors>
  <commentList>
    <comment ref="A17" authorId="0" shapeId="0">
      <text>
        <r>
          <rPr>
            <b/>
            <u/>
            <sz val="9"/>
            <color indexed="81"/>
            <rFont val="Tahoma"/>
            <family val="2"/>
          </rPr>
          <t>StatTools Note:</t>
        </r>
        <r>
          <rPr>
            <sz val="9"/>
            <color indexed="81"/>
            <rFont val="Tahoma"/>
            <family val="2"/>
          </rPr>
          <t xml:space="preserve">
If this value is sufficiently small you can reject the null hypothesis of randomness and conclude that the series does not alternate enough (too few runs) or alternates too much (too many runs).</t>
        </r>
      </text>
    </comment>
  </commentList>
</comments>
</file>

<file path=xl/comments3.xml><?xml version="1.0" encoding="utf-8"?>
<comments xmlns="http://schemas.openxmlformats.org/spreadsheetml/2006/main">
  <authors>
    <author>Kamaljeet Kaur Sidhu</author>
  </authors>
  <commentList>
    <comment ref="A8" authorId="0" shapeId="0">
      <text>
        <r>
          <rPr>
            <b/>
            <u/>
            <sz val="9"/>
            <color indexed="81"/>
            <rFont val="Tahoma"/>
            <family val="2"/>
          </rPr>
          <t>StatTools Note:</t>
        </r>
        <r>
          <rPr>
            <sz val="9"/>
            <color indexed="81"/>
            <rFont val="Tahoma"/>
            <family val="2"/>
          </rPr>
          <t xml:space="preserve">
These constants are calculated to minimize Root Mean Sq Error if Optimize option is chosen.</t>
        </r>
      </text>
    </comment>
    <comment ref="A15" authorId="0" shapeId="0">
      <text>
        <r>
          <rPr>
            <b/>
            <u/>
            <sz val="9"/>
            <color indexed="81"/>
            <rFont val="Tahoma"/>
            <family val="2"/>
          </rPr>
          <t>StatTools Note:</t>
        </r>
        <r>
          <rPr>
            <sz val="9"/>
            <color indexed="81"/>
            <rFont val="Tahoma"/>
            <family val="2"/>
          </rPr>
          <t xml:space="preserve">
This is the average of absolute forecast errors.</t>
        </r>
      </text>
    </comment>
    <comment ref="A16" authorId="0" shapeId="0">
      <text>
        <r>
          <rPr>
            <b/>
            <u/>
            <sz val="9"/>
            <color indexed="81"/>
            <rFont val="Tahoma"/>
            <family val="2"/>
          </rPr>
          <t>StatTools Note:</t>
        </r>
        <r>
          <rPr>
            <sz val="9"/>
            <color indexed="81"/>
            <rFont val="Tahoma"/>
            <family val="2"/>
          </rPr>
          <t xml:space="preserve">
This is the square root of the sum of squared forecast errors.</t>
        </r>
      </text>
    </comment>
    <comment ref="A17" authorId="0" shapeId="0">
      <text>
        <r>
          <rPr>
            <b/>
            <u/>
            <sz val="9"/>
            <color indexed="81"/>
            <rFont val="Tahoma"/>
            <family val="2"/>
          </rPr>
          <t>StatTools Note:</t>
        </r>
        <r>
          <rPr>
            <sz val="9"/>
            <color indexed="81"/>
            <rFont val="Tahoma"/>
            <family val="2"/>
          </rPr>
          <t xml:space="preserve">
This is the average of the absolute percentage forecast errors.</t>
        </r>
      </text>
    </comment>
    <comment ref="B201" authorId="0" shapeId="0">
      <text>
        <r>
          <rPr>
            <b/>
            <u/>
            <sz val="9"/>
            <color indexed="81"/>
            <rFont val="Tahoma"/>
            <family val="2"/>
          </rPr>
          <t>StatTools Note:</t>
        </r>
        <r>
          <rPr>
            <sz val="9"/>
            <color indexed="81"/>
            <rFont val="Tahoma"/>
            <family val="2"/>
          </rPr>
          <t xml:space="preserve">
The future forecasting period begins here (below the line)</t>
        </r>
      </text>
    </comment>
  </commentList>
</comments>
</file>

<file path=xl/comments4.xml><?xml version="1.0" encoding="utf-8"?>
<comments xmlns="http://schemas.openxmlformats.org/spreadsheetml/2006/main">
  <authors>
    <author>Kamaljeet Kaur Sidhu</author>
  </authors>
  <commentList>
    <comment ref="A9" authorId="0" shapeId="0">
      <text>
        <r>
          <rPr>
            <b/>
            <u/>
            <sz val="9"/>
            <color indexed="81"/>
            <rFont val="Tahoma"/>
            <family val="2"/>
          </rPr>
          <t>StatTools Note:</t>
        </r>
        <r>
          <rPr>
            <sz val="9"/>
            <color indexed="81"/>
            <rFont val="Tahoma"/>
            <family val="2"/>
          </rPr>
          <t xml:space="preserve">
This is the number of observations included in each moving average forecast.</t>
        </r>
      </text>
    </comment>
    <comment ref="A13" authorId="0" shapeId="0">
      <text>
        <r>
          <rPr>
            <b/>
            <u/>
            <sz val="9"/>
            <color indexed="81"/>
            <rFont val="Tahoma"/>
            <family val="2"/>
          </rPr>
          <t>StatTools Note:</t>
        </r>
        <r>
          <rPr>
            <sz val="9"/>
            <color indexed="81"/>
            <rFont val="Tahoma"/>
            <family val="2"/>
          </rPr>
          <t xml:space="preserve">
This is the average of absolute forecast errors.</t>
        </r>
      </text>
    </comment>
    <comment ref="A14" authorId="0" shapeId="0">
      <text>
        <r>
          <rPr>
            <b/>
            <u/>
            <sz val="9"/>
            <color indexed="81"/>
            <rFont val="Tahoma"/>
            <family val="2"/>
          </rPr>
          <t>StatTools Note:</t>
        </r>
        <r>
          <rPr>
            <sz val="9"/>
            <color indexed="81"/>
            <rFont val="Tahoma"/>
            <family val="2"/>
          </rPr>
          <t xml:space="preserve">
This is the square root of the sum of squared forecast errors.</t>
        </r>
      </text>
    </comment>
    <comment ref="A15" authorId="0" shapeId="0">
      <text>
        <r>
          <rPr>
            <b/>
            <u/>
            <sz val="9"/>
            <color indexed="81"/>
            <rFont val="Tahoma"/>
            <family val="2"/>
          </rPr>
          <t>StatTools Note:</t>
        </r>
        <r>
          <rPr>
            <sz val="9"/>
            <color indexed="81"/>
            <rFont val="Tahoma"/>
            <family val="2"/>
          </rPr>
          <t xml:space="preserve">
This is the average of the absolute percentage forecast errors.</t>
        </r>
      </text>
    </comment>
    <comment ref="B199" authorId="0" shapeId="0">
      <text>
        <r>
          <rPr>
            <b/>
            <u/>
            <sz val="9"/>
            <color indexed="81"/>
            <rFont val="Tahoma"/>
            <family val="2"/>
          </rPr>
          <t>StatTools Note:</t>
        </r>
        <r>
          <rPr>
            <sz val="9"/>
            <color indexed="81"/>
            <rFont val="Tahoma"/>
            <family val="2"/>
          </rPr>
          <t xml:space="preserve">
The future forecasting period begins here (below the line)</t>
        </r>
      </text>
    </comment>
  </commentList>
</comments>
</file>

<file path=xl/comments5.xml><?xml version="1.0" encoding="utf-8"?>
<comments xmlns="http://schemas.openxmlformats.org/spreadsheetml/2006/main">
  <authors>
    <author>Kamaljeet Kaur Sidhu</author>
  </authors>
  <commentList>
    <comment ref="A8" authorId="0" shapeId="0">
      <text>
        <r>
          <rPr>
            <b/>
            <u/>
            <sz val="9"/>
            <color indexed="81"/>
            <rFont val="Tahoma"/>
            <family val="2"/>
          </rPr>
          <t>StatTools Note:</t>
        </r>
        <r>
          <rPr>
            <sz val="9"/>
            <color indexed="81"/>
            <rFont val="Tahoma"/>
            <family val="2"/>
          </rPr>
          <t xml:space="preserve">
These constants are calculated to minimize Root Mean Sq Error if Optimize option is chosen.</t>
        </r>
      </text>
    </comment>
    <comment ref="A13" authorId="0" shapeId="0">
      <text>
        <r>
          <rPr>
            <b/>
            <u/>
            <sz val="9"/>
            <color indexed="81"/>
            <rFont val="Tahoma"/>
            <family val="2"/>
          </rPr>
          <t>StatTools Note:</t>
        </r>
        <r>
          <rPr>
            <sz val="9"/>
            <color indexed="81"/>
            <rFont val="Tahoma"/>
            <family val="2"/>
          </rPr>
          <t xml:space="preserve">
This is the average of absolute forecast errors.</t>
        </r>
      </text>
    </comment>
    <comment ref="A14" authorId="0" shapeId="0">
      <text>
        <r>
          <rPr>
            <b/>
            <u/>
            <sz val="9"/>
            <color indexed="81"/>
            <rFont val="Tahoma"/>
            <family val="2"/>
          </rPr>
          <t>StatTools Note:</t>
        </r>
        <r>
          <rPr>
            <sz val="9"/>
            <color indexed="81"/>
            <rFont val="Tahoma"/>
            <family val="2"/>
          </rPr>
          <t xml:space="preserve">
This is the square root of the sum of squared forecast errors.</t>
        </r>
      </text>
    </comment>
    <comment ref="A15" authorId="0" shapeId="0">
      <text>
        <r>
          <rPr>
            <b/>
            <u/>
            <sz val="9"/>
            <color indexed="81"/>
            <rFont val="Tahoma"/>
            <family val="2"/>
          </rPr>
          <t>StatTools Note:</t>
        </r>
        <r>
          <rPr>
            <sz val="9"/>
            <color indexed="81"/>
            <rFont val="Tahoma"/>
            <family val="2"/>
          </rPr>
          <t xml:space="preserve">
This is the average of the absolute percentage forecast errors.</t>
        </r>
      </text>
    </comment>
    <comment ref="B199" authorId="0" shapeId="0">
      <text>
        <r>
          <rPr>
            <b/>
            <u/>
            <sz val="9"/>
            <color indexed="81"/>
            <rFont val="Tahoma"/>
            <family val="2"/>
          </rPr>
          <t>StatTools Note:</t>
        </r>
        <r>
          <rPr>
            <sz val="9"/>
            <color indexed="81"/>
            <rFont val="Tahoma"/>
            <family val="2"/>
          </rPr>
          <t xml:space="preserve">
The future forecasting period begins here (below the line)</t>
        </r>
      </text>
    </comment>
  </commentList>
</comments>
</file>

<file path=xl/comments6.xml><?xml version="1.0" encoding="utf-8"?>
<comments xmlns="http://schemas.openxmlformats.org/spreadsheetml/2006/main">
  <authors>
    <author>Kamaljeet Kaur Sidhu</author>
  </authors>
  <commentList>
    <comment ref="A8" authorId="0" shapeId="0">
      <text>
        <r>
          <rPr>
            <b/>
            <u/>
            <sz val="9"/>
            <color indexed="81"/>
            <rFont val="Tahoma"/>
            <family val="2"/>
          </rPr>
          <t>StatTools Note:</t>
        </r>
        <r>
          <rPr>
            <sz val="9"/>
            <color indexed="81"/>
            <rFont val="Tahoma"/>
            <family val="2"/>
          </rPr>
          <t xml:space="preserve">
These constants are calculated to minimize Root Mean Sq Error if Optimize option is chosen.</t>
        </r>
      </text>
    </comment>
    <comment ref="A14" authorId="0" shapeId="0">
      <text>
        <r>
          <rPr>
            <b/>
            <u/>
            <sz val="9"/>
            <color indexed="81"/>
            <rFont val="Tahoma"/>
            <family val="2"/>
          </rPr>
          <t>StatTools Note:</t>
        </r>
        <r>
          <rPr>
            <sz val="9"/>
            <color indexed="81"/>
            <rFont val="Tahoma"/>
            <family val="2"/>
          </rPr>
          <t xml:space="preserve">
This is the average of absolute forecast errors.</t>
        </r>
      </text>
    </comment>
    <comment ref="A15" authorId="0" shapeId="0">
      <text>
        <r>
          <rPr>
            <b/>
            <u/>
            <sz val="9"/>
            <color indexed="81"/>
            <rFont val="Tahoma"/>
            <family val="2"/>
          </rPr>
          <t>StatTools Note:</t>
        </r>
        <r>
          <rPr>
            <sz val="9"/>
            <color indexed="81"/>
            <rFont val="Tahoma"/>
            <family val="2"/>
          </rPr>
          <t xml:space="preserve">
This is the square root of the sum of squared forecast errors.</t>
        </r>
      </text>
    </comment>
    <comment ref="A16" authorId="0" shapeId="0">
      <text>
        <r>
          <rPr>
            <b/>
            <u/>
            <sz val="9"/>
            <color indexed="81"/>
            <rFont val="Tahoma"/>
            <family val="2"/>
          </rPr>
          <t>StatTools Note:</t>
        </r>
        <r>
          <rPr>
            <sz val="9"/>
            <color indexed="81"/>
            <rFont val="Tahoma"/>
            <family val="2"/>
          </rPr>
          <t xml:space="preserve">
This is the average of the absolute percentage forecast errors.</t>
        </r>
      </text>
    </comment>
    <comment ref="B263" authorId="0" shapeId="0">
      <text>
        <r>
          <rPr>
            <b/>
            <u/>
            <sz val="9"/>
            <color indexed="81"/>
            <rFont val="Tahoma"/>
            <family val="2"/>
          </rPr>
          <t>StatTools Note:</t>
        </r>
        <r>
          <rPr>
            <sz val="9"/>
            <color indexed="81"/>
            <rFont val="Tahoma"/>
            <family val="2"/>
          </rPr>
          <t xml:space="preserve">
The future forecasting period begins here (below the line)</t>
        </r>
      </text>
    </comment>
  </commentList>
</comments>
</file>

<file path=xl/comments7.xml><?xml version="1.0" encoding="utf-8"?>
<comments xmlns="http://schemas.openxmlformats.org/spreadsheetml/2006/main">
  <authors>
    <author>Kamaljeet Kaur Sidhu</author>
  </authors>
  <commentList>
    <comment ref="A8" authorId="0" shapeId="0">
      <text>
        <r>
          <rPr>
            <b/>
            <u/>
            <sz val="9"/>
            <color indexed="81"/>
            <rFont val="Tahoma"/>
            <family val="2"/>
          </rPr>
          <t>StatTools Note:</t>
        </r>
        <r>
          <rPr>
            <sz val="9"/>
            <color indexed="81"/>
            <rFont val="Tahoma"/>
            <family val="2"/>
          </rPr>
          <t xml:space="preserve">
These constants are calculated to minimize Root Mean Sq Error if Optimize option is chosen.</t>
        </r>
      </text>
    </comment>
    <comment ref="A15" authorId="0" shapeId="0">
      <text>
        <r>
          <rPr>
            <b/>
            <u/>
            <sz val="9"/>
            <color indexed="81"/>
            <rFont val="Tahoma"/>
            <family val="2"/>
          </rPr>
          <t>StatTools Note:</t>
        </r>
        <r>
          <rPr>
            <sz val="9"/>
            <color indexed="81"/>
            <rFont val="Tahoma"/>
            <family val="2"/>
          </rPr>
          <t xml:space="preserve">
This is the average of absolute forecast errors.</t>
        </r>
      </text>
    </comment>
    <comment ref="A16" authorId="0" shapeId="0">
      <text>
        <r>
          <rPr>
            <b/>
            <u/>
            <sz val="9"/>
            <color indexed="81"/>
            <rFont val="Tahoma"/>
            <family val="2"/>
          </rPr>
          <t>StatTools Note:</t>
        </r>
        <r>
          <rPr>
            <sz val="9"/>
            <color indexed="81"/>
            <rFont val="Tahoma"/>
            <family val="2"/>
          </rPr>
          <t xml:space="preserve">
This is the square root of the sum of squared forecast errors.</t>
        </r>
      </text>
    </comment>
    <comment ref="A17" authorId="0" shapeId="0">
      <text>
        <r>
          <rPr>
            <b/>
            <u/>
            <sz val="9"/>
            <color indexed="81"/>
            <rFont val="Tahoma"/>
            <family val="2"/>
          </rPr>
          <t>StatTools Note:</t>
        </r>
        <r>
          <rPr>
            <sz val="9"/>
            <color indexed="81"/>
            <rFont val="Tahoma"/>
            <family val="2"/>
          </rPr>
          <t xml:space="preserve">
This is the average of the absolute percentage forecast errors.</t>
        </r>
      </text>
    </comment>
    <comment ref="B201" authorId="0" shapeId="0">
      <text>
        <r>
          <rPr>
            <b/>
            <u/>
            <sz val="9"/>
            <color indexed="81"/>
            <rFont val="Tahoma"/>
            <family val="2"/>
          </rPr>
          <t>StatTools Note:</t>
        </r>
        <r>
          <rPr>
            <sz val="9"/>
            <color indexed="81"/>
            <rFont val="Tahoma"/>
            <family val="2"/>
          </rPr>
          <t xml:space="preserve">
The future forecasting period begins here (below the line)</t>
        </r>
      </text>
    </comment>
  </commentList>
</comments>
</file>

<file path=xl/comments8.xml><?xml version="1.0" encoding="utf-8"?>
<comments xmlns="http://schemas.openxmlformats.org/spreadsheetml/2006/main">
  <authors>
    <author>Kamaljeet Kaur Sidhu</author>
  </authors>
  <commentList>
    <comment ref="A9" authorId="0" shapeId="0">
      <text>
        <r>
          <rPr>
            <b/>
            <u/>
            <sz val="9"/>
            <color indexed="81"/>
            <rFont val="Tahoma"/>
            <family val="2"/>
          </rPr>
          <t>StatTools Note:</t>
        </r>
        <r>
          <rPr>
            <sz val="9"/>
            <color indexed="81"/>
            <rFont val="Tahoma"/>
            <family val="2"/>
          </rPr>
          <t xml:space="preserve">
This is the number of observations included in each moving average forecast.</t>
        </r>
      </text>
    </comment>
    <comment ref="A13" authorId="0" shapeId="0">
      <text>
        <r>
          <rPr>
            <b/>
            <u/>
            <sz val="9"/>
            <color indexed="81"/>
            <rFont val="Tahoma"/>
            <family val="2"/>
          </rPr>
          <t>StatTools Note:</t>
        </r>
        <r>
          <rPr>
            <sz val="9"/>
            <color indexed="81"/>
            <rFont val="Tahoma"/>
            <family val="2"/>
          </rPr>
          <t xml:space="preserve">
This is the average of absolute forecast errors.</t>
        </r>
      </text>
    </comment>
    <comment ref="A14" authorId="0" shapeId="0">
      <text>
        <r>
          <rPr>
            <b/>
            <u/>
            <sz val="9"/>
            <color indexed="81"/>
            <rFont val="Tahoma"/>
            <family val="2"/>
          </rPr>
          <t>StatTools Note:</t>
        </r>
        <r>
          <rPr>
            <sz val="9"/>
            <color indexed="81"/>
            <rFont val="Tahoma"/>
            <family val="2"/>
          </rPr>
          <t xml:space="preserve">
This is the square root of the sum of squared forecast errors.</t>
        </r>
      </text>
    </comment>
    <comment ref="A15" authorId="0" shapeId="0">
      <text>
        <r>
          <rPr>
            <b/>
            <u/>
            <sz val="9"/>
            <color indexed="81"/>
            <rFont val="Tahoma"/>
            <family val="2"/>
          </rPr>
          <t>StatTools Note:</t>
        </r>
        <r>
          <rPr>
            <sz val="9"/>
            <color indexed="81"/>
            <rFont val="Tahoma"/>
            <family val="2"/>
          </rPr>
          <t xml:space="preserve">
This is the average of the absolute percentage forecast errors.</t>
        </r>
      </text>
    </comment>
    <comment ref="B262" authorId="0" shapeId="0">
      <text>
        <r>
          <rPr>
            <b/>
            <u/>
            <sz val="9"/>
            <color indexed="81"/>
            <rFont val="Tahoma"/>
            <family val="2"/>
          </rPr>
          <t>StatTools Note:</t>
        </r>
        <r>
          <rPr>
            <sz val="9"/>
            <color indexed="81"/>
            <rFont val="Tahoma"/>
            <family val="2"/>
          </rPr>
          <t xml:space="preserve">
The future forecasting period begins here (below the line)</t>
        </r>
      </text>
    </comment>
  </commentList>
</comments>
</file>

<file path=xl/comments9.xml><?xml version="1.0" encoding="utf-8"?>
<comments xmlns="http://schemas.openxmlformats.org/spreadsheetml/2006/main">
  <authors>
    <author>Kamaljeet Kaur Sidhu</author>
  </authors>
  <commentList>
    <comment ref="A9" authorId="0" shapeId="0">
      <text>
        <r>
          <rPr>
            <b/>
            <u/>
            <sz val="9"/>
            <color indexed="81"/>
            <rFont val="Tahoma"/>
            <family val="2"/>
          </rPr>
          <t>StatTools Note:</t>
        </r>
        <r>
          <rPr>
            <sz val="9"/>
            <color indexed="81"/>
            <rFont val="Tahoma"/>
            <family val="2"/>
          </rPr>
          <t xml:space="preserve">
This is the number of observations included in each moving average forecast.</t>
        </r>
      </text>
    </comment>
    <comment ref="A13" authorId="0" shapeId="0">
      <text>
        <r>
          <rPr>
            <b/>
            <u/>
            <sz val="9"/>
            <color indexed="81"/>
            <rFont val="Tahoma"/>
            <family val="2"/>
          </rPr>
          <t>StatTools Note:</t>
        </r>
        <r>
          <rPr>
            <sz val="9"/>
            <color indexed="81"/>
            <rFont val="Tahoma"/>
            <family val="2"/>
          </rPr>
          <t xml:space="preserve">
This is the average of absolute forecast errors.</t>
        </r>
      </text>
    </comment>
    <comment ref="A14" authorId="0" shapeId="0">
      <text>
        <r>
          <rPr>
            <b/>
            <u/>
            <sz val="9"/>
            <color indexed="81"/>
            <rFont val="Tahoma"/>
            <family val="2"/>
          </rPr>
          <t>StatTools Note:</t>
        </r>
        <r>
          <rPr>
            <sz val="9"/>
            <color indexed="81"/>
            <rFont val="Tahoma"/>
            <family val="2"/>
          </rPr>
          <t xml:space="preserve">
This is the square root of the sum of squared forecast errors.</t>
        </r>
      </text>
    </comment>
    <comment ref="A15" authorId="0" shapeId="0">
      <text>
        <r>
          <rPr>
            <b/>
            <u/>
            <sz val="9"/>
            <color indexed="81"/>
            <rFont val="Tahoma"/>
            <family val="2"/>
          </rPr>
          <t>StatTools Note:</t>
        </r>
        <r>
          <rPr>
            <sz val="9"/>
            <color indexed="81"/>
            <rFont val="Tahoma"/>
            <family val="2"/>
          </rPr>
          <t xml:space="preserve">
This is the average of the absolute percentage forecast errors.</t>
        </r>
      </text>
    </comment>
    <comment ref="B262" authorId="0" shapeId="0">
      <text>
        <r>
          <rPr>
            <b/>
            <u/>
            <sz val="9"/>
            <color indexed="81"/>
            <rFont val="Tahoma"/>
            <family val="2"/>
          </rPr>
          <t>StatTools Note:</t>
        </r>
        <r>
          <rPr>
            <sz val="9"/>
            <color indexed="81"/>
            <rFont val="Tahoma"/>
            <family val="2"/>
          </rPr>
          <t xml:space="preserve">
The future forecasting period begins here (below the line)</t>
        </r>
      </text>
    </comment>
  </commentList>
</comments>
</file>

<file path=xl/sharedStrings.xml><?xml version="1.0" encoding="utf-8"?>
<sst xmlns="http://schemas.openxmlformats.org/spreadsheetml/2006/main" count="3174" uniqueCount="305">
  <si>
    <t>East</t>
  </si>
  <si>
    <t>South</t>
  </si>
  <si>
    <t>North</t>
  </si>
  <si>
    <t>West</t>
  </si>
  <si>
    <t>Time Period</t>
  </si>
  <si>
    <t>StatTools Version that generated sheet, Major</t>
  </si>
  <si>
    <t>StatTools Version that generated sheet, Minor</t>
  </si>
  <si>
    <t>StatTools Version that generated sheet, Revision</t>
  </si>
  <si>
    <t>Min. StatTools Version to Read Sheet, Major (note ST versions before 1.1.1 don't perform forward compatibility check)</t>
  </si>
  <si>
    <t>Min. StatTools Version to Read Sheet, Minor</t>
  </si>
  <si>
    <t>Min. StatTools Version to Read Sheet, Revision</t>
  </si>
  <si>
    <t>Min. StatTools version to not put up warning about extra info, Major</t>
  </si>
  <si>
    <t>Min. StatTools version to not put up warning about extra info, Minor</t>
  </si>
  <si>
    <t>Min. StatTools version to not put up warning about extra info, Revision</t>
  </si>
  <si>
    <t>Name</t>
  </si>
  <si>
    <t>GUID</t>
  </si>
  <si>
    <t>Format Range</t>
  </si>
  <si>
    <t>Variable Layout</t>
  </si>
  <si>
    <t>Columns</t>
  </si>
  <si>
    <t>Variable Names In Cells</t>
  </si>
  <si>
    <t>Variable Names In 2nd Cells</t>
  </si>
  <si>
    <t>Data Set Ranges</t>
  </si>
  <si>
    <t>Data Sheet Format</t>
  </si>
  <si>
    <t>Formula Eval Cell</t>
  </si>
  <si>
    <t>Num Stored Vars</t>
  </si>
  <si>
    <t>1 : Info</t>
  </si>
  <si>
    <t>var1</t>
  </si>
  <si>
    <t>ST_TimePeriod</t>
  </si>
  <si>
    <t>1 : Ranges</t>
  </si>
  <si>
    <t>1 : MultiRefs</t>
  </si>
  <si>
    <t>2 : Info</t>
  </si>
  <si>
    <t>var2</t>
  </si>
  <si>
    <t>ST_East</t>
  </si>
  <si>
    <t>2 : Ranges</t>
  </si>
  <si>
    <t>2 : MultiRefs</t>
  </si>
  <si>
    <t>ST_South</t>
  </si>
  <si>
    <t>ST_North</t>
  </si>
  <si>
    <t>ST_West</t>
  </si>
  <si>
    <t>DG1A945530</t>
  </si>
  <si>
    <t>VG3B3E079A9203672</t>
  </si>
  <si>
    <t>VG271449BB373A0E94</t>
  </si>
  <si>
    <t>DG392A1526</t>
  </si>
  <si>
    <t>VG1C198BAB3A8D518A</t>
  </si>
  <si>
    <t>ST_TimePeriod_7</t>
  </si>
  <si>
    <t>VGFFDAB1C2A34549B</t>
  </si>
  <si>
    <t>DG13AF8C24</t>
  </si>
  <si>
    <t>VG4301CC3246AB3A7</t>
  </si>
  <si>
    <t>ST_TimePeriod_10</t>
  </si>
  <si>
    <t>VG2D9FE545A7EF89C</t>
  </si>
  <si>
    <t>DG2CCBF83C</t>
  </si>
  <si>
    <t>VG52779581FDCDD76</t>
  </si>
  <si>
    <t>ST_TimePeriod_14</t>
  </si>
  <si>
    <t>VG1EB8F2BD33775850</t>
  </si>
  <si>
    <t>Ressidual East</t>
  </si>
  <si>
    <t>Residual South</t>
  </si>
  <si>
    <t>Residual North</t>
  </si>
  <si>
    <t xml:space="preserve">Residual West </t>
  </si>
  <si>
    <t>Row Labels</t>
  </si>
  <si>
    <t>Sales for East</t>
  </si>
  <si>
    <t>Sales for South</t>
  </si>
  <si>
    <t>Sales for North</t>
  </si>
  <si>
    <t>Sales for West</t>
  </si>
  <si>
    <t>Aug</t>
  </si>
  <si>
    <t>Sep</t>
  </si>
  <si>
    <t>Oct</t>
  </si>
  <si>
    <t>Nov</t>
  </si>
  <si>
    <t>Dec</t>
  </si>
  <si>
    <t>Jan</t>
  </si>
  <si>
    <t>Feb</t>
  </si>
  <si>
    <t>Mar</t>
  </si>
  <si>
    <t>Apr</t>
  </si>
  <si>
    <t>May</t>
  </si>
  <si>
    <t>Jun</t>
  </si>
  <si>
    <t>Jul</t>
  </si>
  <si>
    <t>Grand Total</t>
  </si>
  <si>
    <t>StatTools Report</t>
  </si>
  <si>
    <t>Analysis:</t>
  </si>
  <si>
    <t>Forecast</t>
  </si>
  <si>
    <t>Performed By:</t>
  </si>
  <si>
    <t>Kamaljeet Kaur Sidhu</t>
  </si>
  <si>
    <t>Date:</t>
  </si>
  <si>
    <t>Updating:</t>
  </si>
  <si>
    <t>Live/Unlinked</t>
  </si>
  <si>
    <t>Forecasting Constant</t>
  </si>
  <si>
    <t>Moving Averages Forecasts for East</t>
  </si>
  <si>
    <t>Moving Averages</t>
  </si>
  <si>
    <t>Forecasting Data</t>
  </si>
  <si>
    <t>Span</t>
  </si>
  <si>
    <t>Mean Abs Err</t>
  </si>
  <si>
    <t>Root Mean Sq Err</t>
  </si>
  <si>
    <t>Mean Abs Per% Err</t>
  </si>
  <si>
    <t>Aug-2013</t>
  </si>
  <si>
    <t>Sep-2013</t>
  </si>
  <si>
    <t>Oct-2013</t>
  </si>
  <si>
    <t>Nov-2013</t>
  </si>
  <si>
    <t>Dec-2013</t>
  </si>
  <si>
    <t>Jan-2014</t>
  </si>
  <si>
    <t>Feb-2014</t>
  </si>
  <si>
    <t>Mar-2014</t>
  </si>
  <si>
    <t>Apr-2014</t>
  </si>
  <si>
    <t>May-2014</t>
  </si>
  <si>
    <t>Jun-2014</t>
  </si>
  <si>
    <t>Jul-2014</t>
  </si>
  <si>
    <t>Aug-2014</t>
  </si>
  <si>
    <t>Sep-2014</t>
  </si>
  <si>
    <t>Oct-2014</t>
  </si>
  <si>
    <t>Nov-2014</t>
  </si>
  <si>
    <t>Dec-2014</t>
  </si>
  <si>
    <t>Jan-2015</t>
  </si>
  <si>
    <t>Feb-2015</t>
  </si>
  <si>
    <t>Mar-2015</t>
  </si>
  <si>
    <t>Apr-2015</t>
  </si>
  <si>
    <t>May-2015</t>
  </si>
  <si>
    <t>Jun-2015</t>
  </si>
  <si>
    <t>Jul-2015</t>
  </si>
  <si>
    <t>Aug-2015</t>
  </si>
  <si>
    <t>Sep-2015</t>
  </si>
  <si>
    <t>Oct-2015</t>
  </si>
  <si>
    <t>Nov-2015</t>
  </si>
  <si>
    <t>Dec-2015</t>
  </si>
  <si>
    <t>Jan-2016</t>
  </si>
  <si>
    <t>Feb-2016</t>
  </si>
  <si>
    <t>Mar-2016</t>
  </si>
  <si>
    <t>Apr-2016</t>
  </si>
  <si>
    <t>May-2016</t>
  </si>
  <si>
    <t>Jun-2016</t>
  </si>
  <si>
    <t>Jul-2016</t>
  </si>
  <si>
    <t>Aug-2016</t>
  </si>
  <si>
    <t>Sep-2016</t>
  </si>
  <si>
    <t>Oct-2016</t>
  </si>
  <si>
    <t>Nov-2016</t>
  </si>
  <si>
    <t>Dec-2016</t>
  </si>
  <si>
    <t>Jan-2017</t>
  </si>
  <si>
    <t>Feb-2017</t>
  </si>
  <si>
    <t>Mar-2017</t>
  </si>
  <si>
    <t>Apr-2017</t>
  </si>
  <si>
    <t>May-2017</t>
  </si>
  <si>
    <t>Jun-2017</t>
  </si>
  <si>
    <t>Jul-2017</t>
  </si>
  <si>
    <t>Aug-2017</t>
  </si>
  <si>
    <t>Sep-2017</t>
  </si>
  <si>
    <t>Oct-2017</t>
  </si>
  <si>
    <t>Nov-2017</t>
  </si>
  <si>
    <t>Dec-2017</t>
  </si>
  <si>
    <t>Jan-2018</t>
  </si>
  <si>
    <t>Feb-2018</t>
  </si>
  <si>
    <t>Mar-2018</t>
  </si>
  <si>
    <t>Apr-2018</t>
  </si>
  <si>
    <t>May-2018</t>
  </si>
  <si>
    <t>Jun-2018</t>
  </si>
  <si>
    <t>Jul-2018</t>
  </si>
  <si>
    <t>Aug-2018</t>
  </si>
  <si>
    <t>Sep-2018</t>
  </si>
  <si>
    <t>Oct-2018</t>
  </si>
  <si>
    <t>Nov-2018</t>
  </si>
  <si>
    <t>Dec-2018</t>
  </si>
  <si>
    <t>Jan-2019</t>
  </si>
  <si>
    <t>Feb-2019</t>
  </si>
  <si>
    <t>Mar-2019</t>
  </si>
  <si>
    <t>Apr-2019</t>
  </si>
  <si>
    <t>May-2019</t>
  </si>
  <si>
    <t>Jun-2019</t>
  </si>
  <si>
    <t>Jul-2019</t>
  </si>
  <si>
    <t>Aug-2019</t>
  </si>
  <si>
    <t>Sep-2019</t>
  </si>
  <si>
    <t>Oct-2019</t>
  </si>
  <si>
    <t>Nov-2019</t>
  </si>
  <si>
    <t>Dec-2019</t>
  </si>
  <si>
    <t>Jan-2020</t>
  </si>
  <si>
    <t>Feb-2020</t>
  </si>
  <si>
    <t>Mar-2020</t>
  </si>
  <si>
    <t>Apr-2020</t>
  </si>
  <si>
    <t>May-2020</t>
  </si>
  <si>
    <t>Jun-2020</t>
  </si>
  <si>
    <t>Jul-2020</t>
  </si>
  <si>
    <t>Aug-2020</t>
  </si>
  <si>
    <t>Sep-2020</t>
  </si>
  <si>
    <t>Oct-2020</t>
  </si>
  <si>
    <t>Nov-2020</t>
  </si>
  <si>
    <t>Dec-2020</t>
  </si>
  <si>
    <t>Jan-2021</t>
  </si>
  <si>
    <t>Feb-2021</t>
  </si>
  <si>
    <t>Mar-2021</t>
  </si>
  <si>
    <t>Apr-2021</t>
  </si>
  <si>
    <t>May-2021</t>
  </si>
  <si>
    <t>Jun-2021</t>
  </si>
  <si>
    <t>Jul-2021</t>
  </si>
  <si>
    <t>Aug-2021</t>
  </si>
  <si>
    <t>Sep-2021</t>
  </si>
  <si>
    <t>Oct-2021</t>
  </si>
  <si>
    <t>Nov-2021</t>
  </si>
  <si>
    <t>Dec-2021</t>
  </si>
  <si>
    <t>Jan-2022</t>
  </si>
  <si>
    <t>Feb-2022</t>
  </si>
  <si>
    <t>Mar-2022</t>
  </si>
  <si>
    <t>Apr-2022</t>
  </si>
  <si>
    <t>May-2022</t>
  </si>
  <si>
    <t>Jun-2022</t>
  </si>
  <si>
    <t>Jul-2022</t>
  </si>
  <si>
    <t>Aug-2022</t>
  </si>
  <si>
    <t>Sep-2022</t>
  </si>
  <si>
    <t>Oct-2022</t>
  </si>
  <si>
    <t>Nov-2022</t>
  </si>
  <si>
    <t>Dec-2022</t>
  </si>
  <si>
    <t>Jan-2023</t>
  </si>
  <si>
    <t>Feb-2023</t>
  </si>
  <si>
    <t>Mar-2023</t>
  </si>
  <si>
    <t>Apr-2023</t>
  </si>
  <si>
    <t>May-2023</t>
  </si>
  <si>
    <t>Error</t>
  </si>
  <si>
    <t>Time Series Graph</t>
  </si>
  <si>
    <t>Live</t>
  </si>
  <si>
    <t>Trend</t>
  </si>
  <si>
    <t>Jun-2023</t>
  </si>
  <si>
    <t>Jul-2023</t>
  </si>
  <si>
    <t>Aug-2023</t>
  </si>
  <si>
    <t>Sep-2023</t>
  </si>
  <si>
    <t>Oct-2023</t>
  </si>
  <si>
    <t>Nov-2023</t>
  </si>
  <si>
    <t>Dec-2023</t>
  </si>
  <si>
    <t>Deseason</t>
  </si>
  <si>
    <t xml:space="preserve">Deseason </t>
  </si>
  <si>
    <t>Season</t>
  </si>
  <si>
    <t>Index</t>
  </si>
  <si>
    <t>Errors</t>
  </si>
  <si>
    <t>Estimate</t>
  </si>
  <si>
    <t>Forecasting Constants (Optimized)</t>
  </si>
  <si>
    <t>Winters' Exponential Smoothing Forecasts for North</t>
  </si>
  <si>
    <t>Winters' Exponential</t>
  </si>
  <si>
    <t>Level (Alpha)</t>
  </si>
  <si>
    <t>Trend (Beta)</t>
  </si>
  <si>
    <t>Season (Gamma)</t>
  </si>
  <si>
    <t>Level</t>
  </si>
  <si>
    <t>Winters' Exponential Smoothing Forecasts for South</t>
  </si>
  <si>
    <t>Winters' Exponential Smoothing Forecasts for West</t>
  </si>
  <si>
    <t>Forecasting Constant (Optimized)</t>
  </si>
  <si>
    <t>Simple Exponential Smoothing Forecasts for East</t>
  </si>
  <si>
    <t>Simple Exponential</t>
  </si>
  <si>
    <t>Autocorrelation</t>
  </si>
  <si>
    <t>Autocorrelation Table</t>
  </si>
  <si>
    <t>Number of Values</t>
  </si>
  <si>
    <t>Standard Error</t>
  </si>
  <si>
    <t>Lag #1</t>
  </si>
  <si>
    <t>Lag #2</t>
  </si>
  <si>
    <t>Lag #3</t>
  </si>
  <si>
    <t>Lag #4</t>
  </si>
  <si>
    <t>Lag #5</t>
  </si>
  <si>
    <t>Lag #6</t>
  </si>
  <si>
    <t>Lag #7</t>
  </si>
  <si>
    <t>Lag #8</t>
  </si>
  <si>
    <t>Lag #9</t>
  </si>
  <si>
    <t>Lag #10</t>
  </si>
  <si>
    <t>Lag #11</t>
  </si>
  <si>
    <t>Lag #12</t>
  </si>
  <si>
    <t>Lag #13</t>
  </si>
  <si>
    <t>Lag #14</t>
  </si>
  <si>
    <t>Lag #15</t>
  </si>
  <si>
    <t>Lag #16</t>
  </si>
  <si>
    <t>Lag #17</t>
  </si>
  <si>
    <t>Lag #18</t>
  </si>
  <si>
    <t>Lag #19</t>
  </si>
  <si>
    <t>Lag #20</t>
  </si>
  <si>
    <t>Lag #21</t>
  </si>
  <si>
    <t>Lag #22</t>
  </si>
  <si>
    <t>Lag #23</t>
  </si>
  <si>
    <t>Lag #24</t>
  </si>
  <si>
    <t>Lag #25</t>
  </si>
  <si>
    <t>Lag #26</t>
  </si>
  <si>
    <t>Lag #27</t>
  </si>
  <si>
    <t>Lag #28</t>
  </si>
  <si>
    <t>Lag #29</t>
  </si>
  <si>
    <t>Winters' Exponential Smoothing Forecasts for East</t>
  </si>
  <si>
    <t>Residual east</t>
  </si>
  <si>
    <t>DG270E76AF</t>
  </si>
  <si>
    <t>VG13A84B51F21DEB2</t>
  </si>
  <si>
    <t>ST_RessidualEast</t>
  </si>
  <si>
    <t>r west</t>
  </si>
  <si>
    <t>DG1E9F5B1E</t>
  </si>
  <si>
    <t>VG195BA6B6C219AED</t>
  </si>
  <si>
    <t>ST_ResidualWest</t>
  </si>
  <si>
    <t>DG41BA21D</t>
  </si>
  <si>
    <t>VG74D4C15105F323D</t>
  </si>
  <si>
    <t>ST_ResidualSouth</t>
  </si>
  <si>
    <t>DG16BE9D00</t>
  </si>
  <si>
    <t>VG20D6CE95857F5CB</t>
  </si>
  <si>
    <t>ST_ResidualNorth</t>
  </si>
  <si>
    <t>Runs Test for Randomness</t>
  </si>
  <si>
    <t>Observations</t>
  </si>
  <si>
    <t>Number of Runs</t>
  </si>
  <si>
    <t>E(R)</t>
  </si>
  <si>
    <t>StdDev(R)</t>
  </si>
  <si>
    <t>Z-Value</t>
  </si>
  <si>
    <t>P-Value (two-tailed)</t>
  </si>
  <si>
    <t>Below Cutoff</t>
  </si>
  <si>
    <t>Above Cutoff</t>
  </si>
  <si>
    <t>Cutoff</t>
  </si>
  <si>
    <t>Moving Averages Forecasts for North</t>
  </si>
  <si>
    <t>Moving Averages Forecasts for South</t>
  </si>
  <si>
    <t>Holt's Exponential Smoothing Forecasts for South</t>
  </si>
  <si>
    <t>Holt's Exponential</t>
  </si>
  <si>
    <t>Moving Averages Forecasts for West</t>
  </si>
  <si>
    <t>Simple Exponential Smoothing Forecasts for West</t>
  </si>
  <si>
    <t>Holt's Exponential Smoothing Forecasts for West</t>
  </si>
  <si>
    <t>Simple Exponential Smoothing Forecasts for South</t>
  </si>
  <si>
    <t>Holt's Exponential Smoothing Forecasts for East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</si>
</sst>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000"/>
    <numFmt numFmtId="166" formatCode="[&lt;0.0001]&quot;&lt; 0.0001&quot;;0.0000"/>
  </numFmts>
  <fonts count="9" x14ac:knownFonts="1">
    <font>
      <sz val="11"/>
      <color theme="1"/>
      <name val="Calibri"/>
      <family val="2"/>
      <scheme val="minor"/>
    </font>
    <font>
      <b/>
      <sz val="11"/>
      <color theme="1"/>
      <name val="Calibri"/>
      <family val="2"/>
      <scheme val="minor"/>
    </font>
    <font>
      <sz val="8"/>
      <name val="Calibri"/>
      <family val="2"/>
      <scheme val="minor"/>
    </font>
    <font>
      <sz val="8"/>
      <color theme="1"/>
      <name val="Calibri"/>
      <family val="2"/>
      <scheme val="minor"/>
    </font>
    <font>
      <b/>
      <sz val="8"/>
      <color theme="1"/>
      <name val="Calibri"/>
      <family val="2"/>
      <scheme val="minor"/>
    </font>
    <font>
      <b/>
      <sz val="14"/>
      <color theme="1"/>
      <name val="Calibri"/>
      <family val="2"/>
      <scheme val="minor"/>
    </font>
    <font>
      <b/>
      <i/>
      <sz val="8"/>
      <color theme="1"/>
      <name val="Calibri"/>
      <family val="2"/>
      <scheme val="minor"/>
    </font>
    <font>
      <sz val="9"/>
      <color indexed="81"/>
      <name val="Tahoma"/>
      <family val="2"/>
    </font>
    <font>
      <b/>
      <u/>
      <sz val="9"/>
      <color indexed="81"/>
      <name val="Tahoma"/>
      <family val="2"/>
    </font>
  </fonts>
  <fills count="6">
    <fill>
      <patternFill patternType="none"/>
    </fill>
    <fill>
      <patternFill patternType="gray125"/>
    </fill>
    <fill>
      <patternFill patternType="solid">
        <fgColor rgb="FFFFFFFF"/>
        <bgColor indexed="64"/>
      </patternFill>
    </fill>
    <fill>
      <patternFill patternType="solid">
        <fgColor rgb="FF00CCFF"/>
        <bgColor indexed="64"/>
      </patternFill>
    </fill>
    <fill>
      <patternFill patternType="solid">
        <fgColor rgb="FFC0C0C0"/>
        <bgColor indexed="64"/>
      </patternFill>
    </fill>
    <fill>
      <patternFill patternType="solid">
        <fgColor rgb="FFFFC000"/>
        <bgColor indexed="64"/>
      </patternFill>
    </fill>
  </fills>
  <borders count="15">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style="dashed">
        <color indexed="64"/>
      </right>
      <top style="dashed">
        <color rgb="FF000000"/>
      </top>
      <bottom/>
      <diagonal/>
    </border>
    <border>
      <left style="dashed">
        <color indexed="64"/>
      </left>
      <right style="double">
        <color indexed="64"/>
      </right>
      <top style="dashed">
        <color rgb="FF000000"/>
      </top>
      <bottom/>
      <diagonal/>
    </border>
    <border>
      <left style="double">
        <color indexed="64"/>
      </left>
      <right style="dashed">
        <color indexed="64"/>
      </right>
      <top/>
      <bottom/>
      <diagonal/>
    </border>
    <border>
      <left style="dashed">
        <color indexed="64"/>
      </left>
      <right style="double">
        <color indexed="64"/>
      </right>
      <top/>
      <bottom/>
      <diagonal/>
    </border>
    <border>
      <left style="double">
        <color indexed="64"/>
      </left>
      <right style="dashed">
        <color indexed="64"/>
      </right>
      <top/>
      <bottom style="double">
        <color indexed="64"/>
      </bottom>
      <diagonal/>
    </border>
    <border>
      <left style="dashed">
        <color indexed="64"/>
      </left>
      <right style="double">
        <color indexed="64"/>
      </right>
      <top/>
      <bottom style="double">
        <color indexed="64"/>
      </bottom>
      <diagonal/>
    </border>
    <border>
      <left style="double">
        <color indexed="64"/>
      </left>
      <right style="double">
        <color indexed="64"/>
      </right>
      <top style="double">
        <color indexed="64"/>
      </top>
      <bottom style="dashed">
        <color rgb="FF000000"/>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right/>
      <top/>
      <bottom style="thin">
        <color rgb="FF000000"/>
      </bottom>
      <diagonal/>
    </border>
    <border>
      <left/>
      <right/>
      <top/>
      <bottom style="double">
        <color rgb="FF000000"/>
      </bottom>
      <diagonal/>
    </border>
    <border>
      <left/>
      <right/>
      <top/>
      <bottom style="hair">
        <color indexed="64"/>
      </bottom>
      <diagonal/>
    </border>
  </borders>
  <cellStyleXfs count="1">
    <xf numFmtId="0" fontId="0" fillId="0" borderId="0"/>
  </cellStyleXfs>
  <cellXfs count="48">
    <xf numFmtId="0" fontId="0" fillId="0" borderId="0" xfId="0"/>
    <xf numFmtId="0" fontId="0" fillId="0" borderId="0" xfId="0" applyAlignment="1">
      <alignment horizontal="left"/>
    </xf>
    <xf numFmtId="0" fontId="1" fillId="0" borderId="0" xfId="0" applyFont="1" applyAlignment="1">
      <alignment horizontal="left"/>
    </xf>
    <xf numFmtId="0" fontId="1" fillId="3" borderId="1" xfId="0" applyFont="1" applyFill="1" applyBorder="1"/>
    <xf numFmtId="0" fontId="1" fillId="3" borderId="2" xfId="0" applyFont="1" applyFill="1" applyBorder="1"/>
    <xf numFmtId="17" fontId="0" fillId="2" borderId="3" xfId="0" applyNumberFormat="1" applyFill="1" applyBorder="1"/>
    <xf numFmtId="0" fontId="0" fillId="2" borderId="4" xfId="0" applyFill="1" applyBorder="1"/>
    <xf numFmtId="17" fontId="0" fillId="2" borderId="5" xfId="0" applyNumberFormat="1" applyFill="1" applyBorder="1"/>
    <xf numFmtId="0" fontId="0" fillId="2" borderId="6" xfId="0" applyFill="1" applyBorder="1"/>
    <xf numFmtId="17" fontId="0" fillId="2" borderId="7" xfId="0" applyNumberFormat="1" applyFill="1" applyBorder="1"/>
    <xf numFmtId="0" fontId="0" fillId="2" borderId="8" xfId="0" applyFill="1" applyBorder="1"/>
    <xf numFmtId="164" fontId="0" fillId="2" borderId="10" xfId="0" applyNumberFormat="1" applyFill="1" applyBorder="1"/>
    <xf numFmtId="164" fontId="0" fillId="2" borderId="11" xfId="0" applyNumberFormat="1" applyFill="1" applyBorder="1"/>
    <xf numFmtId="0" fontId="1" fillId="3" borderId="9" xfId="0" applyFont="1" applyFill="1" applyBorder="1"/>
    <xf numFmtId="0" fontId="0" fillId="0" borderId="0" xfId="0" applyAlignment="1">
      <alignment horizontal="left" indent="1"/>
    </xf>
    <xf numFmtId="0" fontId="0" fillId="0" borderId="0" xfId="0" pivotButton="1"/>
    <xf numFmtId="0" fontId="3" fillId="4" borderId="0" xfId="0" applyFont="1" applyFill="1"/>
    <xf numFmtId="0" fontId="3" fillId="4" borderId="12" xfId="0" applyFont="1" applyFill="1" applyBorder="1"/>
    <xf numFmtId="0" fontId="4" fillId="4" borderId="0" xfId="0" applyFont="1" applyFill="1" applyAlignment="1">
      <alignment horizontal="right"/>
    </xf>
    <xf numFmtId="0" fontId="4" fillId="4" borderId="12" xfId="0" applyFont="1" applyFill="1" applyBorder="1" applyAlignment="1">
      <alignment horizontal="right"/>
    </xf>
    <xf numFmtId="0" fontId="3" fillId="4" borderId="0" xfId="0" applyFont="1" applyFill="1" applyAlignment="1">
      <alignment horizontal="left"/>
    </xf>
    <xf numFmtId="0" fontId="3" fillId="4" borderId="12" xfId="0" applyFont="1" applyFill="1" applyBorder="1" applyAlignment="1">
      <alignment horizontal="left"/>
    </xf>
    <xf numFmtId="0" fontId="5" fillId="4" borderId="0" xfId="0" applyFont="1" applyFill="1" applyAlignment="1">
      <alignment horizontal="left"/>
    </xf>
    <xf numFmtId="15" fontId="3" fillId="4" borderId="0" xfId="0" applyNumberFormat="1" applyFont="1" applyFill="1" applyAlignment="1">
      <alignment horizontal="left"/>
    </xf>
    <xf numFmtId="0" fontId="0" fillId="0" borderId="0" xfId="0" applyAlignment="1">
      <alignment horizontal="center"/>
    </xf>
    <xf numFmtId="49" fontId="4" fillId="0" borderId="0" xfId="0" applyNumberFormat="1" applyFont="1" applyAlignment="1">
      <alignment horizontal="center"/>
    </xf>
    <xf numFmtId="49" fontId="4" fillId="0" borderId="13" xfId="0" applyNumberFormat="1" applyFont="1" applyBorder="1" applyAlignment="1">
      <alignment horizontal="center"/>
    </xf>
    <xf numFmtId="49" fontId="4" fillId="0" borderId="0" xfId="0" applyNumberFormat="1" applyFont="1" applyAlignment="1">
      <alignment horizontal="left"/>
    </xf>
    <xf numFmtId="49" fontId="6" fillId="0" borderId="0" xfId="0" applyNumberFormat="1" applyFont="1" applyAlignment="1">
      <alignment horizontal="left"/>
    </xf>
    <xf numFmtId="49" fontId="6" fillId="0" borderId="13" xfId="0" applyNumberFormat="1" applyFont="1" applyBorder="1" applyAlignment="1">
      <alignment horizontal="left"/>
    </xf>
    <xf numFmtId="2" fontId="0" fillId="0" borderId="0" xfId="0" applyNumberFormat="1" applyAlignment="1">
      <alignment horizontal="center"/>
    </xf>
    <xf numFmtId="49" fontId="4" fillId="0" borderId="14" xfId="0" applyNumberFormat="1" applyFont="1" applyBorder="1" applyAlignment="1">
      <alignment horizontal="left"/>
    </xf>
    <xf numFmtId="2" fontId="0" fillId="0" borderId="14" xfId="0" applyNumberFormat="1" applyBorder="1" applyAlignment="1">
      <alignment horizontal="center"/>
    </xf>
    <xf numFmtId="10" fontId="0" fillId="0" borderId="0" xfId="0" applyNumberFormat="1" applyAlignment="1">
      <alignment horizontal="center"/>
    </xf>
    <xf numFmtId="2" fontId="0" fillId="0" borderId="0" xfId="0" applyNumberFormat="1"/>
    <xf numFmtId="164" fontId="0" fillId="0" borderId="0" xfId="0" applyNumberFormat="1" applyAlignment="1">
      <alignment horizontal="center"/>
    </xf>
    <xf numFmtId="165" fontId="0" fillId="0" borderId="0" xfId="0" applyNumberFormat="1" applyAlignment="1">
      <alignment horizontal="center"/>
    </xf>
    <xf numFmtId="0" fontId="0" fillId="0" borderId="0" xfId="0" applyNumberFormat="1" applyAlignment="1">
      <alignment horizontal="left"/>
    </xf>
    <xf numFmtId="49" fontId="4" fillId="0" borderId="13" xfId="0" applyNumberFormat="1" applyFont="1" applyFill="1" applyBorder="1" applyAlignment="1">
      <alignment horizontal="center"/>
    </xf>
    <xf numFmtId="49" fontId="6" fillId="0" borderId="13" xfId="0" applyNumberFormat="1" applyFont="1" applyFill="1" applyBorder="1" applyAlignment="1">
      <alignment horizontal="left"/>
    </xf>
    <xf numFmtId="49" fontId="4" fillId="0" borderId="14" xfId="0" applyNumberFormat="1" applyFont="1" applyFill="1" applyBorder="1" applyAlignment="1">
      <alignment horizontal="left"/>
    </xf>
    <xf numFmtId="2" fontId="0" fillId="0" borderId="14" xfId="0" applyNumberFormat="1" applyFill="1" applyBorder="1" applyAlignment="1">
      <alignment horizontal="center"/>
    </xf>
    <xf numFmtId="0" fontId="0" fillId="0" borderId="0" xfId="0" applyNumberFormat="1"/>
    <xf numFmtId="0" fontId="0" fillId="0" borderId="0" xfId="0" applyNumberFormat="1" applyAlignment="1">
      <alignment horizontal="center"/>
    </xf>
    <xf numFmtId="165" fontId="0" fillId="0" borderId="14" xfId="0" applyNumberFormat="1" applyFill="1" applyBorder="1" applyAlignment="1">
      <alignment horizontal="center"/>
    </xf>
    <xf numFmtId="166" fontId="0" fillId="0" borderId="0" xfId="0" applyNumberFormat="1" applyAlignment="1">
      <alignment horizontal="center"/>
    </xf>
    <xf numFmtId="0" fontId="0" fillId="0" borderId="14" xfId="0" applyNumberFormat="1" applyFill="1" applyBorder="1" applyAlignment="1">
      <alignment horizontal="center"/>
    </xf>
    <xf numFmtId="0" fontId="1" fillId="5" borderId="0" xfId="0" applyFont="1" applyFill="1" applyAlignment="1">
      <alignment horizontal="center"/>
    </xf>
  </cellXfs>
  <cellStyles count="1">
    <cellStyle name="Normal" xfId="0" builtinId="0"/>
  </cellStyles>
  <dxfs count="116">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49.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68.xml"/></Relationships>
</file>

<file path=xl/charts/_rels/chart54.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56.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57.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58.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60.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61.xml.rels><?xml version="1.0" encoding="UTF-8" standalone="yes"?>
<Relationships xmlns="http://schemas.openxmlformats.org/package/2006/relationships"><Relationship Id="rId1" Type="http://schemas.openxmlformats.org/officeDocument/2006/relationships/chartUserShapes" Target="../drawings/drawing77.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79.xml"/></Relationships>
</file>

<file path=xl/charts/_rels/chart63.xml.rels><?xml version="1.0" encoding="UTF-8" standalone="yes"?>
<Relationships xmlns="http://schemas.openxmlformats.org/package/2006/relationships"><Relationship Id="rId1" Type="http://schemas.openxmlformats.org/officeDocument/2006/relationships/chartUserShapes" Target="../drawings/drawing80.xml"/></Relationships>
</file>

<file path=xl/charts/_rels/chart64.xml.rels><?xml version="1.0" encoding="UTF-8" standalone="yes"?>
<Relationships xmlns="http://schemas.openxmlformats.org/package/2006/relationships"><Relationship Id="rId1" Type="http://schemas.openxmlformats.org/officeDocument/2006/relationships/chartUserShapes" Target="../drawings/drawing81.xml"/></Relationships>
</file>

<file path=xl/charts/_rels/chart65.xml.rels><?xml version="1.0" encoding="UTF-8" standalone="yes"?>
<Relationships xmlns="http://schemas.openxmlformats.org/package/2006/relationships"><Relationship Id="rId1" Type="http://schemas.openxmlformats.org/officeDocument/2006/relationships/chartUserShapes" Target="../drawings/drawing83.xml"/></Relationships>
</file>

<file path=xl/charts/_rels/chart66.xml.rels><?xml version="1.0" encoding="UTF-8" standalone="yes"?>
<Relationships xmlns="http://schemas.openxmlformats.org/package/2006/relationships"><Relationship Id="rId1" Type="http://schemas.openxmlformats.org/officeDocument/2006/relationships/chartUserShapes" Target="../drawings/drawing84.xml"/></Relationships>
</file>

<file path=xl/charts/_rels/chart67.xml.rels><?xml version="1.0" encoding="UTF-8" standalone="yes"?>
<Relationships xmlns="http://schemas.openxmlformats.org/package/2006/relationships"><Relationship Id="rId1" Type="http://schemas.openxmlformats.org/officeDocument/2006/relationships/chartUserShapes" Target="../drawings/drawing85.xml"/></Relationships>
</file>

<file path=xl/charts/_rels/chart68.xml.rels><?xml version="1.0" encoding="UTF-8" standalone="yes"?>
<Relationships xmlns="http://schemas.openxmlformats.org/package/2006/relationships"><Relationship Id="rId1" Type="http://schemas.openxmlformats.org/officeDocument/2006/relationships/chartUserShapes" Target="../drawings/drawing86.xml"/></Relationships>
</file>

<file path=xl/charts/_rels/chart69.xml.rels><?xml version="1.0" encoding="UTF-8" standalone="yes"?>
<Relationships xmlns="http://schemas.openxmlformats.org/package/2006/relationships"><Relationship Id="rId1" Type="http://schemas.openxmlformats.org/officeDocument/2006/relationships/chartUserShapes" Target="../drawings/drawing8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88.xml"/></Relationships>
</file>

<file path=xl/charts/_rels/chart71.xml.rels><?xml version="1.0" encoding="UTF-8" standalone="yes"?>
<Relationships xmlns="http://schemas.openxmlformats.org/package/2006/relationships"><Relationship Id="rId1" Type="http://schemas.openxmlformats.org/officeDocument/2006/relationships/chartUserShapes" Target="../drawings/drawing90.xml"/></Relationships>
</file>

<file path=xl/charts/_rels/chart72.xml.rels><?xml version="1.0" encoding="UTF-8" standalone="yes"?>
<Relationships xmlns="http://schemas.openxmlformats.org/package/2006/relationships"><Relationship Id="rId1" Type="http://schemas.openxmlformats.org/officeDocument/2006/relationships/chartUserShapes" Target="../drawings/drawing91.xml"/></Relationships>
</file>

<file path=xl/charts/_rels/chart73.xml.rels><?xml version="1.0" encoding="UTF-8" standalone="yes"?>
<Relationships xmlns="http://schemas.openxmlformats.org/package/2006/relationships"><Relationship Id="rId1" Type="http://schemas.openxmlformats.org/officeDocument/2006/relationships/chartUserShapes" Target="../drawings/drawing92.xml"/></Relationships>
</file>

<file path=xl/charts/_rels/chart74.xml.rels><?xml version="1.0" encoding="UTF-8" standalone="yes"?>
<Relationships xmlns="http://schemas.openxmlformats.org/package/2006/relationships"><Relationship Id="rId1" Type="http://schemas.openxmlformats.org/officeDocument/2006/relationships/chartUserShapes" Target="../drawings/drawing93.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94.xml"/></Relationships>
</file>

<file path=xl/charts/_rels/chart76.xml.rels><?xml version="1.0" encoding="UTF-8" standalone="yes"?>
<Relationships xmlns="http://schemas.openxmlformats.org/package/2006/relationships"><Relationship Id="rId1" Type="http://schemas.openxmlformats.org/officeDocument/2006/relationships/chartUserShapes" Target="../drawings/drawing95.xml"/></Relationships>
</file>

<file path=xl/charts/_rels/chart77.xml.rels><?xml version="1.0" encoding="UTF-8" standalone="yes"?>
<Relationships xmlns="http://schemas.openxmlformats.org/package/2006/relationships"><Relationship Id="rId1" Type="http://schemas.openxmlformats.org/officeDocument/2006/relationships/chartUserShapes" Target="../drawings/drawing97.xml"/></Relationships>
</file>

<file path=xl/charts/_rels/chart78.xml.rels><?xml version="1.0" encoding="UTF-8" standalone="yes"?>
<Relationships xmlns="http://schemas.openxmlformats.org/package/2006/relationships"><Relationship Id="rId1" Type="http://schemas.openxmlformats.org/officeDocument/2006/relationships/chartUserShapes" Target="../drawings/drawing98.xml"/></Relationships>
</file>

<file path=xl/charts/_rels/chart79.xml.rels><?xml version="1.0" encoding="UTF-8" standalone="yes"?>
<Relationships xmlns="http://schemas.openxmlformats.org/package/2006/relationships"><Relationship Id="rId1" Type="http://schemas.openxmlformats.org/officeDocument/2006/relationships/chartUserShapes" Target="../drawings/drawing9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80.xml.rels><?xml version="1.0" encoding="UTF-8" standalone="yes"?>
<Relationships xmlns="http://schemas.openxmlformats.org/package/2006/relationships"><Relationship Id="rId1" Type="http://schemas.openxmlformats.org/officeDocument/2006/relationships/chartUserShapes" Target="../drawings/drawing100.xml"/></Relationships>
</file>

<file path=xl/charts/_rels/chart81.xml.rels><?xml version="1.0" encoding="UTF-8" standalone="yes"?>
<Relationships xmlns="http://schemas.openxmlformats.org/package/2006/relationships"><Relationship Id="rId1" Type="http://schemas.openxmlformats.org/officeDocument/2006/relationships/chartUserShapes" Target="../drawings/drawing101.xml"/></Relationships>
</file>

<file path=xl/charts/_rels/chart82.xml.rels><?xml version="1.0" encoding="UTF-8" standalone="yes"?>
<Relationships xmlns="http://schemas.openxmlformats.org/package/2006/relationships"><Relationship Id="rId1" Type="http://schemas.openxmlformats.org/officeDocument/2006/relationships/chartUserShapes" Target="../drawings/drawing102.xml"/></Relationships>
</file>

<file path=xl/charts/_rels/chart83.xml.rels><?xml version="1.0" encoding="UTF-8" standalone="yes"?>
<Relationships xmlns="http://schemas.openxmlformats.org/package/2006/relationships"><Relationship Id="rId1" Type="http://schemas.openxmlformats.org/officeDocument/2006/relationships/chartUserShapes" Target="../drawings/drawing104.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106.xml"/></Relationships>
</file>

<file path=xl/charts/_rels/chart85.xml.rels><?xml version="1.0" encoding="UTF-8" standalone="yes"?>
<Relationships xmlns="http://schemas.openxmlformats.org/package/2006/relationships"><Relationship Id="rId1" Type="http://schemas.openxmlformats.org/officeDocument/2006/relationships/chartUserShapes" Target="../drawings/drawing108.xml"/></Relationships>
</file>

<file path=xl/charts/_rels/chart86.xml.rels><?xml version="1.0" encoding="UTF-8" standalone="yes"?>
<Relationships xmlns="http://schemas.openxmlformats.org/package/2006/relationships"><Relationship Id="rId1" Type="http://schemas.openxmlformats.org/officeDocument/2006/relationships/chartUserShapes" Target="../drawings/drawing110.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Time Series of North</a:t>
            </a:r>
          </a:p>
        </c:rich>
      </c:tx>
      <c:layout/>
      <c:overlay val="0"/>
    </c:title>
    <c:autoTitleDeleted val="0"/>
    <c:plotArea>
      <c:layout/>
      <c:lineChart>
        <c:grouping val="standard"/>
        <c:varyColors val="0"/>
        <c:ser>
          <c:idx val="0"/>
          <c:order val="0"/>
          <c:spPr>
            <a:ln>
              <a:solidFill>
                <a:srgbClr val="333399"/>
              </a:solidFill>
              <a:prstDash val="solid"/>
            </a:ln>
          </c:spPr>
          <c:marker>
            <c:symbol val="diamond"/>
            <c:size val="3"/>
          </c:marker>
          <c:cat>
            <c:numRef>
              <c:f>'Problem 4 a(1)'!$G$2:$G$118</c:f>
              <c:numCache>
                <c:formatCode>mmm\-yy</c:formatCode>
                <c:ptCount val="117"/>
                <c:pt idx="0">
                  <c:v>41487</c:v>
                </c:pt>
                <c:pt idx="1">
                  <c:v>41518</c:v>
                </c:pt>
                <c:pt idx="2">
                  <c:v>41548</c:v>
                </c:pt>
                <c:pt idx="3">
                  <c:v>41579</c:v>
                </c:pt>
                <c:pt idx="4">
                  <c:v>41609</c:v>
                </c:pt>
                <c:pt idx="5">
                  <c:v>41640</c:v>
                </c:pt>
                <c:pt idx="6">
                  <c:v>41671</c:v>
                </c:pt>
                <c:pt idx="7">
                  <c:v>41699</c:v>
                </c:pt>
                <c:pt idx="8">
                  <c:v>41730</c:v>
                </c:pt>
                <c:pt idx="9">
                  <c:v>41760</c:v>
                </c:pt>
                <c:pt idx="10">
                  <c:v>41791</c:v>
                </c:pt>
                <c:pt idx="11">
                  <c:v>41821</c:v>
                </c:pt>
                <c:pt idx="12">
                  <c:v>41852</c:v>
                </c:pt>
                <c:pt idx="13">
                  <c:v>41883</c:v>
                </c:pt>
                <c:pt idx="14">
                  <c:v>41913</c:v>
                </c:pt>
                <c:pt idx="15">
                  <c:v>41944</c:v>
                </c:pt>
                <c:pt idx="16">
                  <c:v>41974</c:v>
                </c:pt>
                <c:pt idx="17">
                  <c:v>42005</c:v>
                </c:pt>
                <c:pt idx="18">
                  <c:v>42036</c:v>
                </c:pt>
                <c:pt idx="19">
                  <c:v>42064</c:v>
                </c:pt>
                <c:pt idx="20">
                  <c:v>42095</c:v>
                </c:pt>
                <c:pt idx="21">
                  <c:v>42125</c:v>
                </c:pt>
                <c:pt idx="22">
                  <c:v>42156</c:v>
                </c:pt>
                <c:pt idx="23">
                  <c:v>42186</c:v>
                </c:pt>
                <c:pt idx="24">
                  <c:v>42217</c:v>
                </c:pt>
                <c:pt idx="25">
                  <c:v>42248</c:v>
                </c:pt>
                <c:pt idx="26">
                  <c:v>42278</c:v>
                </c:pt>
                <c:pt idx="27">
                  <c:v>42309</c:v>
                </c:pt>
                <c:pt idx="28">
                  <c:v>42339</c:v>
                </c:pt>
                <c:pt idx="29">
                  <c:v>42370</c:v>
                </c:pt>
                <c:pt idx="30">
                  <c:v>42401</c:v>
                </c:pt>
                <c:pt idx="31">
                  <c:v>42430</c:v>
                </c:pt>
                <c:pt idx="32">
                  <c:v>42461</c:v>
                </c:pt>
                <c:pt idx="33">
                  <c:v>42491</c:v>
                </c:pt>
                <c:pt idx="34">
                  <c:v>42522</c:v>
                </c:pt>
                <c:pt idx="35">
                  <c:v>42552</c:v>
                </c:pt>
                <c:pt idx="36">
                  <c:v>42583</c:v>
                </c:pt>
                <c:pt idx="37">
                  <c:v>42614</c:v>
                </c:pt>
                <c:pt idx="38">
                  <c:v>42644</c:v>
                </c:pt>
                <c:pt idx="39">
                  <c:v>42675</c:v>
                </c:pt>
                <c:pt idx="40">
                  <c:v>42705</c:v>
                </c:pt>
                <c:pt idx="41">
                  <c:v>42736</c:v>
                </c:pt>
                <c:pt idx="42">
                  <c:v>42767</c:v>
                </c:pt>
                <c:pt idx="43">
                  <c:v>42795</c:v>
                </c:pt>
                <c:pt idx="44">
                  <c:v>42826</c:v>
                </c:pt>
                <c:pt idx="45">
                  <c:v>42856</c:v>
                </c:pt>
                <c:pt idx="46">
                  <c:v>42887</c:v>
                </c:pt>
                <c:pt idx="47">
                  <c:v>42917</c:v>
                </c:pt>
                <c:pt idx="48">
                  <c:v>42948</c:v>
                </c:pt>
                <c:pt idx="49">
                  <c:v>42979</c:v>
                </c:pt>
                <c:pt idx="50">
                  <c:v>43009</c:v>
                </c:pt>
                <c:pt idx="51">
                  <c:v>43040</c:v>
                </c:pt>
                <c:pt idx="52">
                  <c:v>43070</c:v>
                </c:pt>
                <c:pt idx="53">
                  <c:v>43101</c:v>
                </c:pt>
                <c:pt idx="54">
                  <c:v>43132</c:v>
                </c:pt>
                <c:pt idx="55">
                  <c:v>43160</c:v>
                </c:pt>
                <c:pt idx="56">
                  <c:v>43191</c:v>
                </c:pt>
                <c:pt idx="57">
                  <c:v>43221</c:v>
                </c:pt>
                <c:pt idx="58">
                  <c:v>43252</c:v>
                </c:pt>
                <c:pt idx="59">
                  <c:v>43282</c:v>
                </c:pt>
                <c:pt idx="60">
                  <c:v>43313</c:v>
                </c:pt>
                <c:pt idx="61">
                  <c:v>43344</c:v>
                </c:pt>
                <c:pt idx="62">
                  <c:v>43374</c:v>
                </c:pt>
                <c:pt idx="63">
                  <c:v>43405</c:v>
                </c:pt>
                <c:pt idx="64">
                  <c:v>43435</c:v>
                </c:pt>
                <c:pt idx="65">
                  <c:v>43466</c:v>
                </c:pt>
                <c:pt idx="66">
                  <c:v>43497</c:v>
                </c:pt>
                <c:pt idx="67">
                  <c:v>43525</c:v>
                </c:pt>
                <c:pt idx="68">
                  <c:v>43556</c:v>
                </c:pt>
                <c:pt idx="69">
                  <c:v>43586</c:v>
                </c:pt>
                <c:pt idx="70">
                  <c:v>43617</c:v>
                </c:pt>
                <c:pt idx="71">
                  <c:v>43647</c:v>
                </c:pt>
                <c:pt idx="72">
                  <c:v>43678</c:v>
                </c:pt>
                <c:pt idx="73">
                  <c:v>43709</c:v>
                </c:pt>
                <c:pt idx="74">
                  <c:v>43739</c:v>
                </c:pt>
                <c:pt idx="75">
                  <c:v>43770</c:v>
                </c:pt>
                <c:pt idx="76">
                  <c:v>43800</c:v>
                </c:pt>
                <c:pt idx="77">
                  <c:v>43831</c:v>
                </c:pt>
                <c:pt idx="78">
                  <c:v>43862</c:v>
                </c:pt>
                <c:pt idx="79">
                  <c:v>43891</c:v>
                </c:pt>
                <c:pt idx="80">
                  <c:v>43922</c:v>
                </c:pt>
                <c:pt idx="81">
                  <c:v>43952</c:v>
                </c:pt>
                <c:pt idx="82">
                  <c:v>43983</c:v>
                </c:pt>
                <c:pt idx="83">
                  <c:v>44013</c:v>
                </c:pt>
                <c:pt idx="84">
                  <c:v>44044</c:v>
                </c:pt>
                <c:pt idx="85">
                  <c:v>44075</c:v>
                </c:pt>
                <c:pt idx="86">
                  <c:v>44105</c:v>
                </c:pt>
                <c:pt idx="87">
                  <c:v>44136</c:v>
                </c:pt>
                <c:pt idx="88">
                  <c:v>44166</c:v>
                </c:pt>
                <c:pt idx="89">
                  <c:v>44197</c:v>
                </c:pt>
                <c:pt idx="90">
                  <c:v>44228</c:v>
                </c:pt>
                <c:pt idx="91">
                  <c:v>44256</c:v>
                </c:pt>
                <c:pt idx="92">
                  <c:v>44287</c:v>
                </c:pt>
                <c:pt idx="93">
                  <c:v>44317</c:v>
                </c:pt>
                <c:pt idx="94">
                  <c:v>44348</c:v>
                </c:pt>
                <c:pt idx="95">
                  <c:v>44378</c:v>
                </c:pt>
                <c:pt idx="96">
                  <c:v>44409</c:v>
                </c:pt>
                <c:pt idx="97">
                  <c:v>44440</c:v>
                </c:pt>
                <c:pt idx="98">
                  <c:v>44470</c:v>
                </c:pt>
                <c:pt idx="99">
                  <c:v>44501</c:v>
                </c:pt>
                <c:pt idx="100">
                  <c:v>44531</c:v>
                </c:pt>
                <c:pt idx="101">
                  <c:v>44562</c:v>
                </c:pt>
                <c:pt idx="102">
                  <c:v>44593</c:v>
                </c:pt>
                <c:pt idx="103">
                  <c:v>44621</c:v>
                </c:pt>
                <c:pt idx="104">
                  <c:v>44652</c:v>
                </c:pt>
                <c:pt idx="105">
                  <c:v>44682</c:v>
                </c:pt>
                <c:pt idx="106">
                  <c:v>44713</c:v>
                </c:pt>
                <c:pt idx="107">
                  <c:v>44743</c:v>
                </c:pt>
                <c:pt idx="108">
                  <c:v>44774</c:v>
                </c:pt>
                <c:pt idx="109">
                  <c:v>44805</c:v>
                </c:pt>
                <c:pt idx="110">
                  <c:v>44835</c:v>
                </c:pt>
                <c:pt idx="111">
                  <c:v>44866</c:v>
                </c:pt>
                <c:pt idx="112">
                  <c:v>44896</c:v>
                </c:pt>
                <c:pt idx="113">
                  <c:v>44927</c:v>
                </c:pt>
                <c:pt idx="114">
                  <c:v>44958</c:v>
                </c:pt>
                <c:pt idx="115">
                  <c:v>44986</c:v>
                </c:pt>
                <c:pt idx="116">
                  <c:v>45017</c:v>
                </c:pt>
              </c:numCache>
            </c:numRef>
          </c:cat>
          <c:val>
            <c:numRef>
              <c:f>'Problem 4 a(1)'!$H$2:$H$118</c:f>
              <c:numCache>
                <c:formatCode>General</c:formatCode>
                <c:ptCount val="117"/>
                <c:pt idx="0">
                  <c:v>6722</c:v>
                </c:pt>
                <c:pt idx="1">
                  <c:v>7266</c:v>
                </c:pt>
                <c:pt idx="2">
                  <c:v>8341</c:v>
                </c:pt>
                <c:pt idx="3">
                  <c:v>10213</c:v>
                </c:pt>
                <c:pt idx="4">
                  <c:v>11024</c:v>
                </c:pt>
                <c:pt idx="5">
                  <c:v>12501</c:v>
                </c:pt>
                <c:pt idx="6">
                  <c:v>14247</c:v>
                </c:pt>
                <c:pt idx="7">
                  <c:v>15045</c:v>
                </c:pt>
                <c:pt idx="8">
                  <c:v>13563</c:v>
                </c:pt>
                <c:pt idx="9">
                  <c:v>12887</c:v>
                </c:pt>
                <c:pt idx="10">
                  <c:v>11118</c:v>
                </c:pt>
                <c:pt idx="11">
                  <c:v>9484</c:v>
                </c:pt>
                <c:pt idx="12">
                  <c:v>7312</c:v>
                </c:pt>
                <c:pt idx="13">
                  <c:v>7790</c:v>
                </c:pt>
                <c:pt idx="14">
                  <c:v>7346</c:v>
                </c:pt>
                <c:pt idx="15">
                  <c:v>9951</c:v>
                </c:pt>
                <c:pt idx="16">
                  <c:v>9804</c:v>
                </c:pt>
                <c:pt idx="17">
                  <c:v>11158</c:v>
                </c:pt>
                <c:pt idx="18">
                  <c:v>13327</c:v>
                </c:pt>
                <c:pt idx="19">
                  <c:v>15167</c:v>
                </c:pt>
                <c:pt idx="20">
                  <c:v>14777</c:v>
                </c:pt>
                <c:pt idx="21">
                  <c:v>12486</c:v>
                </c:pt>
                <c:pt idx="22">
                  <c:v>12014</c:v>
                </c:pt>
                <c:pt idx="23">
                  <c:v>9619</c:v>
                </c:pt>
                <c:pt idx="24">
                  <c:v>7657</c:v>
                </c:pt>
                <c:pt idx="25">
                  <c:v>7914</c:v>
                </c:pt>
                <c:pt idx="26">
                  <c:v>7622</c:v>
                </c:pt>
                <c:pt idx="27">
                  <c:v>9501</c:v>
                </c:pt>
                <c:pt idx="28">
                  <c:v>9487</c:v>
                </c:pt>
                <c:pt idx="29">
                  <c:v>12667</c:v>
                </c:pt>
                <c:pt idx="30">
                  <c:v>13970</c:v>
                </c:pt>
                <c:pt idx="31">
                  <c:v>15183</c:v>
                </c:pt>
                <c:pt idx="32">
                  <c:v>14585</c:v>
                </c:pt>
                <c:pt idx="33">
                  <c:v>13024</c:v>
                </c:pt>
                <c:pt idx="34">
                  <c:v>11841</c:v>
                </c:pt>
                <c:pt idx="35">
                  <c:v>9120</c:v>
                </c:pt>
                <c:pt idx="36">
                  <c:v>7158</c:v>
                </c:pt>
                <c:pt idx="37">
                  <c:v>8923</c:v>
                </c:pt>
                <c:pt idx="38">
                  <c:v>9262</c:v>
                </c:pt>
                <c:pt idx="39">
                  <c:v>8734</c:v>
                </c:pt>
                <c:pt idx="40">
                  <c:v>10014</c:v>
                </c:pt>
                <c:pt idx="41">
                  <c:v>13052</c:v>
                </c:pt>
                <c:pt idx="42">
                  <c:v>14418</c:v>
                </c:pt>
                <c:pt idx="43">
                  <c:v>16075</c:v>
                </c:pt>
                <c:pt idx="44">
                  <c:v>14566</c:v>
                </c:pt>
                <c:pt idx="45">
                  <c:v>11815</c:v>
                </c:pt>
                <c:pt idx="46">
                  <c:v>12019</c:v>
                </c:pt>
                <c:pt idx="47">
                  <c:v>9754</c:v>
                </c:pt>
                <c:pt idx="48">
                  <c:v>6934</c:v>
                </c:pt>
                <c:pt idx="49">
                  <c:v>7675</c:v>
                </c:pt>
                <c:pt idx="50">
                  <c:v>8528</c:v>
                </c:pt>
                <c:pt idx="51">
                  <c:v>10118</c:v>
                </c:pt>
                <c:pt idx="52">
                  <c:v>11197</c:v>
                </c:pt>
                <c:pt idx="53">
                  <c:v>12917</c:v>
                </c:pt>
                <c:pt idx="54">
                  <c:v>13052</c:v>
                </c:pt>
                <c:pt idx="55">
                  <c:v>14445</c:v>
                </c:pt>
                <c:pt idx="56">
                  <c:v>14451</c:v>
                </c:pt>
                <c:pt idx="57">
                  <c:v>12037</c:v>
                </c:pt>
                <c:pt idx="58">
                  <c:v>10517</c:v>
                </c:pt>
                <c:pt idx="59">
                  <c:v>10013</c:v>
                </c:pt>
                <c:pt idx="60">
                  <c:v>7375</c:v>
                </c:pt>
                <c:pt idx="61">
                  <c:v>8185</c:v>
                </c:pt>
                <c:pt idx="62">
                  <c:v>8498</c:v>
                </c:pt>
                <c:pt idx="63">
                  <c:v>9690</c:v>
                </c:pt>
                <c:pt idx="64">
                  <c:v>10048</c:v>
                </c:pt>
                <c:pt idx="65">
                  <c:v>12811</c:v>
                </c:pt>
                <c:pt idx="66">
                  <c:v>11745</c:v>
                </c:pt>
                <c:pt idx="67">
                  <c:v>16120</c:v>
                </c:pt>
                <c:pt idx="68">
                  <c:v>13229</c:v>
                </c:pt>
                <c:pt idx="69">
                  <c:v>12419</c:v>
                </c:pt>
                <c:pt idx="70">
                  <c:v>11209</c:v>
                </c:pt>
                <c:pt idx="71">
                  <c:v>10227</c:v>
                </c:pt>
                <c:pt idx="72">
                  <c:v>7275</c:v>
                </c:pt>
                <c:pt idx="73">
                  <c:v>8200</c:v>
                </c:pt>
                <c:pt idx="74">
                  <c:v>7470</c:v>
                </c:pt>
                <c:pt idx="75">
                  <c:v>10347</c:v>
                </c:pt>
                <c:pt idx="76">
                  <c:v>10090</c:v>
                </c:pt>
                <c:pt idx="77">
                  <c:v>12014</c:v>
                </c:pt>
                <c:pt idx="78">
                  <c:v>13217</c:v>
                </c:pt>
                <c:pt idx="79">
                  <c:v>15777</c:v>
                </c:pt>
                <c:pt idx="80">
                  <c:v>14014</c:v>
                </c:pt>
                <c:pt idx="81">
                  <c:v>11875</c:v>
                </c:pt>
                <c:pt idx="82">
                  <c:v>11140</c:v>
                </c:pt>
                <c:pt idx="83">
                  <c:v>9117</c:v>
                </c:pt>
                <c:pt idx="84">
                  <c:v>7315</c:v>
                </c:pt>
                <c:pt idx="85">
                  <c:v>8128</c:v>
                </c:pt>
                <c:pt idx="86">
                  <c:v>9076</c:v>
                </c:pt>
                <c:pt idx="87">
                  <c:v>9826</c:v>
                </c:pt>
                <c:pt idx="88">
                  <c:v>10262</c:v>
                </c:pt>
                <c:pt idx="89">
                  <c:v>13074</c:v>
                </c:pt>
                <c:pt idx="90">
                  <c:v>14261</c:v>
                </c:pt>
                <c:pt idx="91">
                  <c:v>14601</c:v>
                </c:pt>
                <c:pt idx="92">
                  <c:v>14353</c:v>
                </c:pt>
                <c:pt idx="93">
                  <c:v>13868</c:v>
                </c:pt>
                <c:pt idx="94">
                  <c:v>11311</c:v>
                </c:pt>
                <c:pt idx="95">
                  <c:v>9305</c:v>
                </c:pt>
                <c:pt idx="96">
                  <c:v>7075</c:v>
                </c:pt>
                <c:pt idx="97">
                  <c:v>7826</c:v>
                </c:pt>
                <c:pt idx="98">
                  <c:v>8147</c:v>
                </c:pt>
                <c:pt idx="99">
                  <c:v>9648</c:v>
                </c:pt>
                <c:pt idx="100">
                  <c:v>10941</c:v>
                </c:pt>
                <c:pt idx="101">
                  <c:v>12023</c:v>
                </c:pt>
                <c:pt idx="102">
                  <c:v>13805</c:v>
                </c:pt>
                <c:pt idx="103">
                  <c:v>14622</c:v>
                </c:pt>
                <c:pt idx="104">
                  <c:v>13921</c:v>
                </c:pt>
                <c:pt idx="105">
                  <c:v>12680</c:v>
                </c:pt>
                <c:pt idx="106">
                  <c:v>11076</c:v>
                </c:pt>
                <c:pt idx="107">
                  <c:v>8288</c:v>
                </c:pt>
                <c:pt idx="108">
                  <c:v>7061</c:v>
                </c:pt>
                <c:pt idx="109">
                  <c:v>7365</c:v>
                </c:pt>
                <c:pt idx="110">
                  <c:v>7969</c:v>
                </c:pt>
                <c:pt idx="111">
                  <c:v>10018</c:v>
                </c:pt>
                <c:pt idx="112">
                  <c:v>10512</c:v>
                </c:pt>
                <c:pt idx="113">
                  <c:v>11937</c:v>
                </c:pt>
                <c:pt idx="114">
                  <c:v>13453</c:v>
                </c:pt>
                <c:pt idx="115">
                  <c:v>14793</c:v>
                </c:pt>
                <c:pt idx="116">
                  <c:v>13661</c:v>
                </c:pt>
              </c:numCache>
            </c:numRef>
          </c:val>
          <c:smooth val="0"/>
          <c:extLst>
            <c:ext xmlns:c16="http://schemas.microsoft.com/office/drawing/2014/chart" uri="{C3380CC4-5D6E-409C-BE32-E72D297353CC}">
              <c16:uniqueId val="{00000000-4713-4B01-B8DC-05574BDE47C6}"/>
            </c:ext>
          </c:extLst>
        </c:ser>
        <c:dLbls>
          <c:showLegendKey val="0"/>
          <c:showVal val="0"/>
          <c:showCatName val="0"/>
          <c:showSerName val="0"/>
          <c:showPercent val="0"/>
          <c:showBubbleSize val="0"/>
        </c:dLbls>
        <c:marker val="1"/>
        <c:smooth val="0"/>
        <c:axId val="390585935"/>
        <c:axId val="390593135"/>
      </c:lineChart>
      <c:dateAx>
        <c:axId val="390585935"/>
        <c:scaling>
          <c:orientation val="minMax"/>
        </c:scaling>
        <c:delete val="0"/>
        <c:axPos val="b"/>
        <c:numFmt formatCode="mmm\-yy" sourceLinked="1"/>
        <c:majorTickMark val="none"/>
        <c:minorTickMark val="none"/>
        <c:tickLblPos val="low"/>
        <c:txPr>
          <a:bodyPr rot="-5400000" vert="horz"/>
          <a:lstStyle/>
          <a:p>
            <a:pPr>
              <a:defRPr sz="800"/>
            </a:pPr>
            <a:endParaRPr lang="en-US"/>
          </a:p>
        </c:txPr>
        <c:crossAx val="390593135"/>
        <c:crosses val="autoZero"/>
        <c:auto val="1"/>
        <c:lblOffset val="100"/>
        <c:baseTimeUnit val="months"/>
      </c:dateAx>
      <c:valAx>
        <c:axId val="390593135"/>
        <c:scaling>
          <c:orientation val="minMax"/>
        </c:scaling>
        <c:delete val="0"/>
        <c:axPos val="l"/>
        <c:numFmt formatCode="General" sourceLinked="0"/>
        <c:majorTickMark val="out"/>
        <c:minorTickMark val="none"/>
        <c:tickLblPos val="nextTo"/>
        <c:txPr>
          <a:bodyPr/>
          <a:lstStyle/>
          <a:p>
            <a:pPr>
              <a:defRPr sz="800" b="0"/>
            </a:pPr>
            <a:endParaRPr lang="en-US"/>
          </a:p>
        </c:txPr>
        <c:crossAx val="390585935"/>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Deseasonalized Errors</a:t>
            </a:r>
          </a:p>
        </c:rich>
      </c:tx>
      <c:overlay val="0"/>
    </c:title>
    <c:autoTitleDeleted val="0"/>
    <c:plotArea>
      <c:layout/>
      <c:lineChart>
        <c:grouping val="standard"/>
        <c:varyColors val="0"/>
        <c:ser>
          <c:idx val="0"/>
          <c:order val="0"/>
          <c:tx>
            <c:v>Deseasonalized Errors</c:v>
          </c:tx>
          <c:spPr>
            <a:ln>
              <a:solidFill>
                <a:srgbClr val="333399"/>
              </a:solidFill>
              <a:prstDash val="solid"/>
            </a:ln>
          </c:spPr>
          <c:marker>
            <c:symbol val="none"/>
          </c:marker>
          <c:cat>
            <c:strRef>
              <c:f>'Moving Averages Ds(East) a(3)'!$A$146:$A$270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'Moving Averages Ds(East) a(3)'!$F$150:$F$270</c:f>
              <c:numCache>
                <c:formatCode>0.00</c:formatCode>
                <c:ptCount val="121"/>
                <c:pt idx="0">
                  <c:v>1588.5474333336406</c:v>
                </c:pt>
                <c:pt idx="1">
                  <c:v>362.21492249876064</c:v>
                </c:pt>
                <c:pt idx="2">
                  <c:v>-700.91684215525856</c:v>
                </c:pt>
                <c:pt idx="3">
                  <c:v>2943.3091316667251</c:v>
                </c:pt>
                <c:pt idx="4">
                  <c:v>927.23955165344159</c:v>
                </c:pt>
                <c:pt idx="5">
                  <c:v>-338.11844219090563</c:v>
                </c:pt>
                <c:pt idx="6">
                  <c:v>-1297.3488451611083</c:v>
                </c:pt>
                <c:pt idx="7">
                  <c:v>-2092.9501717768271</c:v>
                </c:pt>
                <c:pt idx="8">
                  <c:v>115.41119217934283</c:v>
                </c:pt>
                <c:pt idx="9">
                  <c:v>-156.35227297103665</c:v>
                </c:pt>
                <c:pt idx="10">
                  <c:v>-84.752807411539834</c:v>
                </c:pt>
                <c:pt idx="11">
                  <c:v>2197.1908228595312</c:v>
                </c:pt>
                <c:pt idx="12">
                  <c:v>-774.40299655517447</c:v>
                </c:pt>
                <c:pt idx="13">
                  <c:v>836.65797765726529</c:v>
                </c:pt>
                <c:pt idx="14">
                  <c:v>740.49422132241489</c:v>
                </c:pt>
                <c:pt idx="15">
                  <c:v>-1603.2319197373745</c:v>
                </c:pt>
                <c:pt idx="16">
                  <c:v>-554.59990023429236</c:v>
                </c:pt>
                <c:pt idx="17">
                  <c:v>-3608.2156754526368</c:v>
                </c:pt>
                <c:pt idx="18">
                  <c:v>2704.7081632735662</c:v>
                </c:pt>
                <c:pt idx="19">
                  <c:v>1035.2597441676098</c:v>
                </c:pt>
                <c:pt idx="20">
                  <c:v>2656.9476600429189</c:v>
                </c:pt>
                <c:pt idx="21">
                  <c:v>629.19645894782116</c:v>
                </c:pt>
                <c:pt idx="22">
                  <c:v>-2962.3011205470211</c:v>
                </c:pt>
                <c:pt idx="23">
                  <c:v>-1216.9824599023068</c:v>
                </c:pt>
                <c:pt idx="24">
                  <c:v>-1060.4378678538651</c:v>
                </c:pt>
                <c:pt idx="25">
                  <c:v>410.58066994321052</c:v>
                </c:pt>
                <c:pt idx="26">
                  <c:v>-1740.8151097855225</c:v>
                </c:pt>
                <c:pt idx="27">
                  <c:v>1102.6993725803368</c:v>
                </c:pt>
                <c:pt idx="28">
                  <c:v>-1194.2140740902832</c:v>
                </c:pt>
                <c:pt idx="29">
                  <c:v>2307.3740459631535</c:v>
                </c:pt>
                <c:pt idx="30">
                  <c:v>280.66870352470869</c:v>
                </c:pt>
                <c:pt idx="31">
                  <c:v>1250.8357698840373</c:v>
                </c:pt>
                <c:pt idx="32">
                  <c:v>239.60457447823865</c:v>
                </c:pt>
                <c:pt idx="33">
                  <c:v>-3194.1407184245545</c:v>
                </c:pt>
                <c:pt idx="34">
                  <c:v>-253.72692478207864</c:v>
                </c:pt>
                <c:pt idx="35">
                  <c:v>100.52575840467762</c:v>
                </c:pt>
                <c:pt idx="36">
                  <c:v>406.18710102152909</c:v>
                </c:pt>
                <c:pt idx="37">
                  <c:v>1642.4061296735417</c:v>
                </c:pt>
                <c:pt idx="38">
                  <c:v>-646.69154040087415</c:v>
                </c:pt>
                <c:pt idx="39">
                  <c:v>-152.722491217075</c:v>
                </c:pt>
                <c:pt idx="40">
                  <c:v>-240.47322090084162</c:v>
                </c:pt>
                <c:pt idx="41">
                  <c:v>-1303.1158866440637</c:v>
                </c:pt>
                <c:pt idx="42">
                  <c:v>915.85089159913514</c:v>
                </c:pt>
                <c:pt idx="43">
                  <c:v>-862.97415845255091</c:v>
                </c:pt>
                <c:pt idx="44">
                  <c:v>326.06571894337867</c:v>
                </c:pt>
                <c:pt idx="45">
                  <c:v>998.4739700002574</c:v>
                </c:pt>
                <c:pt idx="46">
                  <c:v>2642.653915850402</c:v>
                </c:pt>
                <c:pt idx="47">
                  <c:v>-1110.0343400913025</c:v>
                </c:pt>
                <c:pt idx="48">
                  <c:v>2840.915304982791</c:v>
                </c:pt>
                <c:pt idx="49">
                  <c:v>-2364.5281515642928</c:v>
                </c:pt>
                <c:pt idx="50">
                  <c:v>-463.51920621260433</c:v>
                </c:pt>
                <c:pt idx="51">
                  <c:v>69.340670602799946</c:v>
                </c:pt>
                <c:pt idx="52">
                  <c:v>-1665.5429044917564</c:v>
                </c:pt>
                <c:pt idx="53">
                  <c:v>1015.8080473567879</c:v>
                </c:pt>
                <c:pt idx="54">
                  <c:v>-1917.9548014698594</c:v>
                </c:pt>
                <c:pt idx="55">
                  <c:v>-387.6779150238217</c:v>
                </c:pt>
                <c:pt idx="56">
                  <c:v>-916.27063302950774</c:v>
                </c:pt>
                <c:pt idx="57">
                  <c:v>1241.4071290039519</c:v>
                </c:pt>
                <c:pt idx="58">
                  <c:v>674.86474549084596</c:v>
                </c:pt>
                <c:pt idx="59">
                  <c:v>-1115.6883915434792</c:v>
                </c:pt>
                <c:pt idx="60">
                  <c:v>2191.2477800918277</c:v>
                </c:pt>
                <c:pt idx="61">
                  <c:v>-1641.5046529317806</c:v>
                </c:pt>
                <c:pt idx="62">
                  <c:v>445.26597209899046</c:v>
                </c:pt>
                <c:pt idx="63">
                  <c:v>226.38248949836452</c:v>
                </c:pt>
                <c:pt idx="64">
                  <c:v>552.31374162968132</c:v>
                </c:pt>
                <c:pt idx="65">
                  <c:v>1306.0544508116236</c:v>
                </c:pt>
                <c:pt idx="66">
                  <c:v>1428.129538576115</c:v>
                </c:pt>
                <c:pt idx="67">
                  <c:v>211.91097746562264</c:v>
                </c:pt>
                <c:pt idx="68">
                  <c:v>-385.36733856944738</c:v>
                </c:pt>
                <c:pt idx="69">
                  <c:v>23.875703053092366</c:v>
                </c:pt>
                <c:pt idx="70">
                  <c:v>-2043.9921332441372</c:v>
                </c:pt>
                <c:pt idx="71">
                  <c:v>-896.3919505341637</c:v>
                </c:pt>
                <c:pt idx="72">
                  <c:v>-2498.467317311939</c:v>
                </c:pt>
                <c:pt idx="73">
                  <c:v>-647.37903196494335</c:v>
                </c:pt>
                <c:pt idx="74">
                  <c:v>972.80300478713616</c:v>
                </c:pt>
                <c:pt idx="75">
                  <c:v>-427.49535696896601</c:v>
                </c:pt>
                <c:pt idx="76">
                  <c:v>1480.5888044819076</c:v>
                </c:pt>
                <c:pt idx="77">
                  <c:v>-51.657057981452454</c:v>
                </c:pt>
                <c:pt idx="78">
                  <c:v>-302.02511761767892</c:v>
                </c:pt>
                <c:pt idx="79">
                  <c:v>2313.908776518696</c:v>
                </c:pt>
                <c:pt idx="80">
                  <c:v>-692.59172523224152</c:v>
                </c:pt>
                <c:pt idx="81">
                  <c:v>-74.053471113222258</c:v>
                </c:pt>
                <c:pt idx="82">
                  <c:v>-180.03175643242139</c:v>
                </c:pt>
                <c:pt idx="83">
                  <c:v>-254.63041319499644</c:v>
                </c:pt>
                <c:pt idx="84">
                  <c:v>-1094.6196798603323</c:v>
                </c:pt>
                <c:pt idx="85">
                  <c:v>536.37891908591155</c:v>
                </c:pt>
                <c:pt idx="86">
                  <c:v>1733.7060590904111</c:v>
                </c:pt>
                <c:pt idx="87">
                  <c:v>-1073.7686106779165</c:v>
                </c:pt>
                <c:pt idx="88">
                  <c:v>132.73367804323789</c:v>
                </c:pt>
                <c:pt idx="89">
                  <c:v>-522.29912784565022</c:v>
                </c:pt>
                <c:pt idx="90">
                  <c:v>-2299.2131208070414</c:v>
                </c:pt>
                <c:pt idx="91">
                  <c:v>466.93982302835502</c:v>
                </c:pt>
                <c:pt idx="92">
                  <c:v>530.40509624012157</c:v>
                </c:pt>
                <c:pt idx="93">
                  <c:v>-403.36933534847412</c:v>
                </c:pt>
                <c:pt idx="94">
                  <c:v>597.11418820345716</c:v>
                </c:pt>
                <c:pt idx="95">
                  <c:v>1264.8775051111879</c:v>
                </c:pt>
                <c:pt idx="96">
                  <c:v>-317.53716778827948</c:v>
                </c:pt>
                <c:pt idx="97">
                  <c:v>1275.765378328615</c:v>
                </c:pt>
                <c:pt idx="98">
                  <c:v>-377.39392006358503</c:v>
                </c:pt>
                <c:pt idx="99">
                  <c:v>-450.25286377736302</c:v>
                </c:pt>
                <c:pt idx="100">
                  <c:v>281.3015966401108</c:v>
                </c:pt>
                <c:pt idx="101">
                  <c:v>1012.6924856984424</c:v>
                </c:pt>
                <c:pt idx="102">
                  <c:v>946.27708979200543</c:v>
                </c:pt>
                <c:pt idx="103">
                  <c:v>-2083.3251607285183</c:v>
                </c:pt>
                <c:pt idx="104">
                  <c:v>-1658.1550388117666</c:v>
                </c:pt>
                <c:pt idx="105">
                  <c:v>868.63403913168077</c:v>
                </c:pt>
                <c:pt idx="106">
                  <c:v>1289.9023030884109</c:v>
                </c:pt>
                <c:pt idx="107">
                  <c:v>1785.1461272892066</c:v>
                </c:pt>
                <c:pt idx="108">
                  <c:v>993.72659769621714</c:v>
                </c:pt>
                <c:pt idx="109">
                  <c:v>-597.88617188477474</c:v>
                </c:pt>
                <c:pt idx="110">
                  <c:v>-7.7176724603341427</c:v>
                </c:pt>
                <c:pt idx="111">
                  <c:v>-2492.8913635578356</c:v>
                </c:pt>
                <c:pt idx="112">
                  <c:v>1150.0736155078794</c:v>
                </c:pt>
              </c:numCache>
            </c:numRef>
          </c:val>
          <c:smooth val="0"/>
          <c:extLst>
            <c:ext xmlns:c16="http://schemas.microsoft.com/office/drawing/2014/chart" uri="{C3380CC4-5D6E-409C-BE32-E72D297353CC}">
              <c16:uniqueId val="{00000000-0E87-4E52-9D00-D776F4CCAC53}"/>
            </c:ext>
          </c:extLst>
        </c:ser>
        <c:dLbls>
          <c:showLegendKey val="0"/>
          <c:showVal val="0"/>
          <c:showCatName val="0"/>
          <c:showSerName val="0"/>
          <c:showPercent val="0"/>
          <c:showBubbleSize val="0"/>
        </c:dLbls>
        <c:smooth val="0"/>
        <c:axId val="562973439"/>
        <c:axId val="562952799"/>
      </c:lineChart>
      <c:catAx>
        <c:axId val="562973439"/>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562952799"/>
        <c:crosses val="autoZero"/>
        <c:auto val="1"/>
        <c:lblAlgn val="ctr"/>
        <c:lblOffset val="100"/>
        <c:noMultiLvlLbl val="0"/>
      </c:catAx>
      <c:valAx>
        <c:axId val="562952799"/>
        <c:scaling>
          <c:orientation val="minMax"/>
        </c:scaling>
        <c:delete val="0"/>
        <c:axPos val="l"/>
        <c:numFmt formatCode="0.00" sourceLinked="0"/>
        <c:majorTickMark val="out"/>
        <c:minorTickMark val="none"/>
        <c:tickLblPos val="nextTo"/>
        <c:txPr>
          <a:bodyPr/>
          <a:lstStyle/>
          <a:p>
            <a:pPr>
              <a:defRPr sz="800" b="0"/>
            </a:pPr>
            <a:endParaRPr lang="en-US"/>
          </a:p>
        </c:txPr>
        <c:crossAx val="562973439"/>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Forecast and Original Observations</a:t>
            </a:r>
          </a:p>
        </c:rich>
      </c:tx>
      <c:overlay val="0"/>
    </c:title>
    <c:autoTitleDeleted val="0"/>
    <c:plotArea>
      <c:layout/>
      <c:lineChart>
        <c:grouping val="standard"/>
        <c:varyColors val="0"/>
        <c:ser>
          <c:idx val="0"/>
          <c:order val="0"/>
          <c:tx>
            <c:v>East</c:v>
          </c:tx>
          <c:spPr>
            <a:ln>
              <a:solidFill>
                <a:srgbClr val="333399"/>
              </a:solidFill>
              <a:prstDash val="solid"/>
            </a:ln>
          </c:spPr>
          <c:marker>
            <c:symbol val="none"/>
          </c:marker>
          <c:cat>
            <c:strRef>
              <c:f>'Expo.Smoothing Ds(East) a(3)'!$A$146:$A$270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'Expo.Smoothing Ds(East) a(3)'!$B$146:$B$270</c:f>
              <c:numCache>
                <c:formatCode>0.00</c:formatCode>
                <c:ptCount val="125"/>
                <c:pt idx="0">
                  <c:v>7419</c:v>
                </c:pt>
                <c:pt idx="1">
                  <c:v>8824</c:v>
                </c:pt>
                <c:pt idx="2">
                  <c:v>11583</c:v>
                </c:pt>
                <c:pt idx="3">
                  <c:v>7958</c:v>
                </c:pt>
                <c:pt idx="4">
                  <c:v>11933</c:v>
                </c:pt>
                <c:pt idx="5">
                  <c:v>11227</c:v>
                </c:pt>
                <c:pt idx="6">
                  <c:v>11258</c:v>
                </c:pt>
                <c:pt idx="7">
                  <c:v>15904</c:v>
                </c:pt>
                <c:pt idx="8">
                  <c:v>14470</c:v>
                </c:pt>
                <c:pt idx="9">
                  <c:v>10916</c:v>
                </c:pt>
                <c:pt idx="10">
                  <c:v>10391</c:v>
                </c:pt>
                <c:pt idx="11">
                  <c:v>8481</c:v>
                </c:pt>
                <c:pt idx="12">
                  <c:v>10120</c:v>
                </c:pt>
                <c:pt idx="13">
                  <c:v>8910</c:v>
                </c:pt>
                <c:pt idx="14">
                  <c:v>9375</c:v>
                </c:pt>
                <c:pt idx="15">
                  <c:v>12366</c:v>
                </c:pt>
                <c:pt idx="16">
                  <c:v>10808</c:v>
                </c:pt>
                <c:pt idx="17">
                  <c:v>11982</c:v>
                </c:pt>
                <c:pt idx="18">
                  <c:v>13330</c:v>
                </c:pt>
                <c:pt idx="19">
                  <c:v>12233</c:v>
                </c:pt>
                <c:pt idx="20">
                  <c:v>12302</c:v>
                </c:pt>
                <c:pt idx="21">
                  <c:v>7227</c:v>
                </c:pt>
                <c:pt idx="22">
                  <c:v>12660</c:v>
                </c:pt>
                <c:pt idx="23">
                  <c:v>9800</c:v>
                </c:pt>
                <c:pt idx="24">
                  <c:v>12004</c:v>
                </c:pt>
                <c:pt idx="25">
                  <c:v>10006</c:v>
                </c:pt>
                <c:pt idx="26">
                  <c:v>8394</c:v>
                </c:pt>
                <c:pt idx="27">
                  <c:v>9953</c:v>
                </c:pt>
                <c:pt idx="28">
                  <c:v>10461</c:v>
                </c:pt>
                <c:pt idx="29">
                  <c:v>10893</c:v>
                </c:pt>
                <c:pt idx="30">
                  <c:v>9212</c:v>
                </c:pt>
                <c:pt idx="31">
                  <c:v>13209</c:v>
                </c:pt>
                <c:pt idx="32">
                  <c:v>10294</c:v>
                </c:pt>
                <c:pt idx="33">
                  <c:v>11540</c:v>
                </c:pt>
                <c:pt idx="34">
                  <c:v>10219</c:v>
                </c:pt>
                <c:pt idx="35">
                  <c:v>10230</c:v>
                </c:pt>
                <c:pt idx="36">
                  <c:v>9985</c:v>
                </c:pt>
                <c:pt idx="37">
                  <c:v>6832</c:v>
                </c:pt>
                <c:pt idx="38">
                  <c:v>9050</c:v>
                </c:pt>
                <c:pt idx="39">
                  <c:v>10082</c:v>
                </c:pt>
                <c:pt idx="40">
                  <c:v>10659</c:v>
                </c:pt>
                <c:pt idx="41">
                  <c:v>11458</c:v>
                </c:pt>
                <c:pt idx="42">
                  <c:v>10867</c:v>
                </c:pt>
                <c:pt idx="43">
                  <c:v>12409</c:v>
                </c:pt>
                <c:pt idx="44">
                  <c:v>11869</c:v>
                </c:pt>
                <c:pt idx="45">
                  <c:v>8729</c:v>
                </c:pt>
                <c:pt idx="46">
                  <c:v>10665</c:v>
                </c:pt>
                <c:pt idx="47">
                  <c:v>8003</c:v>
                </c:pt>
                <c:pt idx="48">
                  <c:v>9224</c:v>
                </c:pt>
                <c:pt idx="49">
                  <c:v>9140</c:v>
                </c:pt>
                <c:pt idx="50">
                  <c:v>11616</c:v>
                </c:pt>
                <c:pt idx="51">
                  <c:v>9428</c:v>
                </c:pt>
                <c:pt idx="52">
                  <c:v>14249</c:v>
                </c:pt>
                <c:pt idx="53">
                  <c:v>9511</c:v>
                </c:pt>
                <c:pt idx="54">
                  <c:v>12094</c:v>
                </c:pt>
                <c:pt idx="55">
                  <c:v>13273</c:v>
                </c:pt>
                <c:pt idx="56">
                  <c:v>11184</c:v>
                </c:pt>
                <c:pt idx="57">
                  <c:v>10793</c:v>
                </c:pt>
                <c:pt idx="58">
                  <c:v>8693</c:v>
                </c:pt>
                <c:pt idx="59">
                  <c:v>8479</c:v>
                </c:pt>
                <c:pt idx="60">
                  <c:v>8120</c:v>
                </c:pt>
                <c:pt idx="61">
                  <c:v>9239</c:v>
                </c:pt>
                <c:pt idx="62">
                  <c:v>9266</c:v>
                </c:pt>
                <c:pt idx="63">
                  <c:v>8652</c:v>
                </c:pt>
                <c:pt idx="64">
                  <c:v>12405</c:v>
                </c:pt>
                <c:pt idx="65">
                  <c:v>8964</c:v>
                </c:pt>
                <c:pt idx="66">
                  <c:v>11521</c:v>
                </c:pt>
                <c:pt idx="67">
                  <c:v>12368</c:v>
                </c:pt>
                <c:pt idx="68">
                  <c:v>12729</c:v>
                </c:pt>
                <c:pt idx="69">
                  <c:v>10956</c:v>
                </c:pt>
                <c:pt idx="70">
                  <c:v>12069</c:v>
                </c:pt>
                <c:pt idx="71">
                  <c:v>9902</c:v>
                </c:pt>
                <c:pt idx="72">
                  <c:v>10091</c:v>
                </c:pt>
                <c:pt idx="73">
                  <c:v>9769</c:v>
                </c:pt>
                <c:pt idx="74">
                  <c:v>8578</c:v>
                </c:pt>
                <c:pt idx="75">
                  <c:v>9763</c:v>
                </c:pt>
                <c:pt idx="76">
                  <c:v>8348</c:v>
                </c:pt>
                <c:pt idx="77">
                  <c:v>9237</c:v>
                </c:pt>
                <c:pt idx="78">
                  <c:v>11204</c:v>
                </c:pt>
                <c:pt idx="79">
                  <c:v>10737</c:v>
                </c:pt>
                <c:pt idx="80">
                  <c:v>12276</c:v>
                </c:pt>
                <c:pt idx="81">
                  <c:v>9230</c:v>
                </c:pt>
                <c:pt idx="82">
                  <c:v>9405</c:v>
                </c:pt>
                <c:pt idx="83">
                  <c:v>10378</c:v>
                </c:pt>
                <c:pt idx="84">
                  <c:v>8827</c:v>
                </c:pt>
                <c:pt idx="85">
                  <c:v>8559</c:v>
                </c:pt>
                <c:pt idx="86">
                  <c:v>9143</c:v>
                </c:pt>
                <c:pt idx="87">
                  <c:v>9989</c:v>
                </c:pt>
                <c:pt idx="88">
                  <c:v>9299</c:v>
                </c:pt>
                <c:pt idx="89">
                  <c:v>10524</c:v>
                </c:pt>
                <c:pt idx="90">
                  <c:v>12887</c:v>
                </c:pt>
                <c:pt idx="91">
                  <c:v>11145</c:v>
                </c:pt>
                <c:pt idx="92">
                  <c:v>11882</c:v>
                </c:pt>
                <c:pt idx="93">
                  <c:v>9448</c:v>
                </c:pt>
                <c:pt idx="94">
                  <c:v>7857</c:v>
                </c:pt>
                <c:pt idx="95">
                  <c:v>8482</c:v>
                </c:pt>
                <c:pt idx="96">
                  <c:v>9064</c:v>
                </c:pt>
                <c:pt idx="97">
                  <c:v>7591</c:v>
                </c:pt>
                <c:pt idx="98">
                  <c:v>8801</c:v>
                </c:pt>
                <c:pt idx="99">
                  <c:v>10634</c:v>
                </c:pt>
                <c:pt idx="100">
                  <c:v>9951</c:v>
                </c:pt>
                <c:pt idx="101">
                  <c:v>11214</c:v>
                </c:pt>
                <c:pt idx="102">
                  <c:v>10990</c:v>
                </c:pt>
                <c:pt idx="103">
                  <c:v>11975</c:v>
                </c:pt>
                <c:pt idx="104">
                  <c:v>12137</c:v>
                </c:pt>
                <c:pt idx="105">
                  <c:v>10892</c:v>
                </c:pt>
                <c:pt idx="106">
                  <c:v>11249</c:v>
                </c:pt>
                <c:pt idx="107">
                  <c:v>7531</c:v>
                </c:pt>
                <c:pt idx="108">
                  <c:v>7992</c:v>
                </c:pt>
                <c:pt idx="109">
                  <c:v>9230</c:v>
                </c:pt>
                <c:pt idx="110">
                  <c:v>10123</c:v>
                </c:pt>
                <c:pt idx="111">
                  <c:v>11419</c:v>
                </c:pt>
                <c:pt idx="112">
                  <c:v>12102</c:v>
                </c:pt>
                <c:pt idx="113">
                  <c:v>10903</c:v>
                </c:pt>
                <c:pt idx="114">
                  <c:v>12513</c:v>
                </c:pt>
                <c:pt idx="115">
                  <c:v>10696</c:v>
                </c:pt>
                <c:pt idx="116">
                  <c:v>13758</c:v>
                </c:pt>
              </c:numCache>
            </c:numRef>
          </c:val>
          <c:smooth val="0"/>
          <c:extLst>
            <c:ext xmlns:c16="http://schemas.microsoft.com/office/drawing/2014/chart" uri="{C3380CC4-5D6E-409C-BE32-E72D297353CC}">
              <c16:uniqueId val="{00000000-6E7F-4634-958E-4EB55ADD7396}"/>
            </c:ext>
          </c:extLst>
        </c:ser>
        <c:ser>
          <c:idx val="1"/>
          <c:order val="1"/>
          <c:tx>
            <c:v>Forecast</c:v>
          </c:tx>
          <c:spPr>
            <a:ln>
              <a:solidFill>
                <a:srgbClr val="993366"/>
              </a:solidFill>
              <a:prstDash val="solid"/>
            </a:ln>
          </c:spPr>
          <c:marker>
            <c:symbol val="none"/>
          </c:marker>
          <c:cat>
            <c:strRef>
              <c:f>'Expo.Smoothing Ds(East) a(3)'!$A$146:$A$270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'Expo.Smoothing Ds(East) a(3)'!$H$146:$H$270</c:f>
              <c:numCache>
                <c:formatCode>0.00</c:formatCode>
                <c:ptCount val="125"/>
                <c:pt idx="1">
                  <c:v>6900.0131701010787</c:v>
                </c:pt>
                <c:pt idx="2">
                  <c:v>7842.7950109340427</c:v>
                </c:pt>
                <c:pt idx="3">
                  <c:v>9454.9990700388389</c:v>
                </c:pt>
                <c:pt idx="4">
                  <c:v>9677.5735342313947</c:v>
                </c:pt>
                <c:pt idx="5">
                  <c:v>9950.40755822137</c:v>
                </c:pt>
                <c:pt idx="6">
                  <c:v>11189.461718512617</c:v>
                </c:pt>
                <c:pt idx="7">
                  <c:v>12242.040898890726</c:v>
                </c:pt>
                <c:pt idx="8">
                  <c:v>12658.39259585527</c:v>
                </c:pt>
                <c:pt idx="9">
                  <c:v>10771.107685106757</c:v>
                </c:pt>
                <c:pt idx="10">
                  <c:v>11156.995676119606</c:v>
                </c:pt>
                <c:pt idx="11">
                  <c:v>9620.1147759630439</c:v>
                </c:pt>
                <c:pt idx="12">
                  <c:v>9794.0325463529571</c:v>
                </c:pt>
                <c:pt idx="13">
                  <c:v>9180.6371434402772</c:v>
                </c:pt>
                <c:pt idx="14">
                  <c:v>9720.8826107406603</c:v>
                </c:pt>
                <c:pt idx="15">
                  <c:v>10442.176709949448</c:v>
                </c:pt>
                <c:pt idx="16">
                  <c:v>11588.039730471752</c:v>
                </c:pt>
                <c:pt idx="17">
                  <c:v>11112.17751715438</c:v>
                </c:pt>
                <c:pt idx="18">
                  <c:v>12352.362979376723</c:v>
                </c:pt>
                <c:pt idx="19">
                  <c:v>13747.495824255511</c:v>
                </c:pt>
                <c:pt idx="20">
                  <c:v>12929.375920996077</c:v>
                </c:pt>
                <c:pt idx="21">
                  <c:v>10519.159376941734</c:v>
                </c:pt>
                <c:pt idx="22">
                  <c:v>10057.121988161301</c:v>
                </c:pt>
                <c:pt idx="23">
                  <c:v>9354.7649389526141</c:v>
                </c:pt>
                <c:pt idx="24">
                  <c:v>9908.7609242863018</c:v>
                </c:pt>
                <c:pt idx="25">
                  <c:v>9676.6936191094246</c:v>
                </c:pt>
                <c:pt idx="26">
                  <c:v>10401.185645896705</c:v>
                </c:pt>
                <c:pt idx="27">
                  <c:v>10753.3185046463</c:v>
                </c:pt>
                <c:pt idx="28">
                  <c:v>11233.471699120129</c:v>
                </c:pt>
                <c:pt idx="29">
                  <c:v>10768.411600980739</c:v>
                </c:pt>
                <c:pt idx="30">
                  <c:v>11784.729349310501</c:v>
                </c:pt>
                <c:pt idx="31">
                  <c:v>12209.593741291181</c:v>
                </c:pt>
                <c:pt idx="32">
                  <c:v>12018.688747577497</c:v>
                </c:pt>
                <c:pt idx="33">
                  <c:v>9555.9363555955551</c:v>
                </c:pt>
                <c:pt idx="34">
                  <c:v>10351.622216992391</c:v>
                </c:pt>
                <c:pt idx="35">
                  <c:v>9045.5707988548602</c:v>
                </c:pt>
                <c:pt idx="36">
                  <c:v>9768.1038062463795</c:v>
                </c:pt>
                <c:pt idx="37">
                  <c:v>9132.5195095308536</c:v>
                </c:pt>
                <c:pt idx="38">
                  <c:v>9157.435192808769</c:v>
                </c:pt>
                <c:pt idx="39">
                  <c:v>9892.9038858688291</c:v>
                </c:pt>
                <c:pt idx="40">
                  <c:v>10567.475268463761</c:v>
                </c:pt>
                <c:pt idx="41">
                  <c:v>10318.641291010121</c:v>
                </c:pt>
                <c:pt idx="42">
                  <c:v>11555.909530683621</c:v>
                </c:pt>
                <c:pt idx="43">
                  <c:v>12446.579334787864</c:v>
                </c:pt>
                <c:pt idx="44">
                  <c:v>12010.59410954516</c:v>
                </c:pt>
                <c:pt idx="45">
                  <c:v>9857.5722784689406</c:v>
                </c:pt>
                <c:pt idx="46">
                  <c:v>9902.6062124028722</c:v>
                </c:pt>
                <c:pt idx="47">
                  <c:v>8837.63245558772</c:v>
                </c:pt>
                <c:pt idx="48">
                  <c:v>9049.9033560986609</c:v>
                </c:pt>
                <c:pt idx="49">
                  <c:v>8455.1412109399898</c:v>
                </c:pt>
                <c:pt idx="50">
                  <c:v>9188.3701787940608</c:v>
                </c:pt>
                <c:pt idx="51">
                  <c:v>10576.234269571336</c:v>
                </c:pt>
                <c:pt idx="52">
                  <c:v>10957.624107645284</c:v>
                </c:pt>
                <c:pt idx="53">
                  <c:v>11436.621787729844</c:v>
                </c:pt>
                <c:pt idx="54">
                  <c:v>11984.559123505516</c:v>
                </c:pt>
                <c:pt idx="55">
                  <c:v>13121.24654913821</c:v>
                </c:pt>
                <c:pt idx="56">
                  <c:v>12705.355111866502</c:v>
                </c:pt>
                <c:pt idx="57">
                  <c:v>10160.685233236412</c:v>
                </c:pt>
                <c:pt idx="58">
                  <c:v>10645.795421043382</c:v>
                </c:pt>
                <c:pt idx="59">
                  <c:v>8925.9212853087647</c:v>
                </c:pt>
                <c:pt idx="60">
                  <c:v>9238.4689267716876</c:v>
                </c:pt>
                <c:pt idx="61">
                  <c:v>8346.0681890845062</c:v>
                </c:pt>
                <c:pt idx="62">
                  <c:v>9124.5643149118278</c:v>
                </c:pt>
                <c:pt idx="63">
                  <c:v>9921.0876977616754</c:v>
                </c:pt>
                <c:pt idx="64">
                  <c:v>10230.547375616214</c:v>
                </c:pt>
                <c:pt idx="65">
                  <c:v>10470.585817766614</c:v>
                </c:pt>
                <c:pt idx="66">
                  <c:v>11038.447913917111</c:v>
                </c:pt>
                <c:pt idx="67">
                  <c:v>12184.083194904648</c:v>
                </c:pt>
                <c:pt idx="68">
                  <c:v>11807.721732306622</c:v>
                </c:pt>
                <c:pt idx="69">
                  <c:v>9897.5890458801987</c:v>
                </c:pt>
                <c:pt idx="70">
                  <c:v>10478.240324492594</c:v>
                </c:pt>
                <c:pt idx="71">
                  <c:v>9513.9652471813242</c:v>
                </c:pt>
                <c:pt idx="72">
                  <c:v>10061.33488495524</c:v>
                </c:pt>
                <c:pt idx="73">
                  <c:v>9364.0350729002239</c:v>
                </c:pt>
                <c:pt idx="74">
                  <c:v>10086.891598670027</c:v>
                </c:pt>
                <c:pt idx="75">
                  <c:v>10540.565751673965</c:v>
                </c:pt>
                <c:pt idx="76">
                  <c:v>11012.959991990812</c:v>
                </c:pt>
                <c:pt idx="77">
                  <c:v>10117.17692340292</c:v>
                </c:pt>
                <c:pt idx="78">
                  <c:v>10814.505123298213</c:v>
                </c:pt>
                <c:pt idx="79">
                  <c:v>11915.373649648667</c:v>
                </c:pt>
                <c:pt idx="80">
                  <c:v>11236.967422324249</c:v>
                </c:pt>
                <c:pt idx="81">
                  <c:v>9450.7698526285749</c:v>
                </c:pt>
                <c:pt idx="82">
                  <c:v>9704.35731041283</c:v>
                </c:pt>
                <c:pt idx="83">
                  <c:v>8443.6712139417195</c:v>
                </c:pt>
                <c:pt idx="84">
                  <c:v>9323.5129060783693</c:v>
                </c:pt>
                <c:pt idx="85">
                  <c:v>8562.0334300356935</c:v>
                </c:pt>
                <c:pt idx="86">
                  <c:v>9128.7920577551777</c:v>
                </c:pt>
                <c:pt idx="87">
                  <c:v>9893.0551804292518</c:v>
                </c:pt>
                <c:pt idx="88">
                  <c:v>10544.198079269408</c:v>
                </c:pt>
                <c:pt idx="89">
                  <c:v>9987.7471805622899</c:v>
                </c:pt>
                <c:pt idx="90">
                  <c:v>11039.02747760652</c:v>
                </c:pt>
                <c:pt idx="91">
                  <c:v>12537.677894121105</c:v>
                </c:pt>
                <c:pt idx="92">
                  <c:v>11788.935869013609</c:v>
                </c:pt>
                <c:pt idx="93">
                  <c:v>9720.8379210828662</c:v>
                </c:pt>
                <c:pt idx="94">
                  <c:v>9970.4922417530961</c:v>
                </c:pt>
                <c:pt idx="95">
                  <c:v>8300.6987708326651</c:v>
                </c:pt>
                <c:pt idx="96">
                  <c:v>8739.2927795298347</c:v>
                </c:pt>
                <c:pt idx="97">
                  <c:v>8199.4030401872842</c:v>
                </c:pt>
                <c:pt idx="98">
                  <c:v>8589.3900898600859</c:v>
                </c:pt>
                <c:pt idx="99">
                  <c:v>9359.3100447880279</c:v>
                </c:pt>
                <c:pt idx="100">
                  <c:v>10273.212797401082</c:v>
                </c:pt>
                <c:pt idx="101">
                  <c:v>9936.4990062064335</c:v>
                </c:pt>
                <c:pt idx="102">
                  <c:v>11174.516665562618</c:v>
                </c:pt>
                <c:pt idx="103">
                  <c:v>12160.298877542049</c:v>
                </c:pt>
                <c:pt idx="104">
                  <c:v>11700.391464764769</c:v>
                </c:pt>
                <c:pt idx="105">
                  <c:v>9714.865914935197</c:v>
                </c:pt>
                <c:pt idx="106">
                  <c:v>10318.577412369574</c:v>
                </c:pt>
                <c:pt idx="107">
                  <c:v>9237.0741215123853</c:v>
                </c:pt>
                <c:pt idx="108">
                  <c:v>9252.3119984961832</c:v>
                </c:pt>
                <c:pt idx="109">
                  <c:v>8327.7282692674107</c:v>
                </c:pt>
                <c:pt idx="110">
                  <c:v>9107.3652224088728</c:v>
                </c:pt>
                <c:pt idx="111">
                  <c:v>10126.540612794472</c:v>
                </c:pt>
                <c:pt idx="112">
                  <c:v>11093.539914958357</c:v>
                </c:pt>
                <c:pt idx="113">
                  <c:v>11042.688143292697</c:v>
                </c:pt>
                <c:pt idx="114">
                  <c:v>12015.825337480061</c:v>
                </c:pt>
                <c:pt idx="115">
                  <c:v>13255.633715421909</c:v>
                </c:pt>
                <c:pt idx="116">
                  <c:v>12215.59849153307</c:v>
                </c:pt>
                <c:pt idx="117">
                  <c:v>10354.246142367359</c:v>
                </c:pt>
                <c:pt idx="118">
                  <c:v>10691.170064394679</c:v>
                </c:pt>
                <c:pt idx="119">
                  <c:v>9370.6852592563355</c:v>
                </c:pt>
                <c:pt idx="120">
                  <c:v>9815.0900043021556</c:v>
                </c:pt>
                <c:pt idx="121">
                  <c:v>9128.4877066198042</c:v>
                </c:pt>
                <c:pt idx="122">
                  <c:v>9733.5584024983436</c:v>
                </c:pt>
                <c:pt idx="123">
                  <c:v>10544.569386241124</c:v>
                </c:pt>
                <c:pt idx="124">
                  <c:v>11212.862985460672</c:v>
                </c:pt>
              </c:numCache>
            </c:numRef>
          </c:val>
          <c:smooth val="0"/>
          <c:extLst>
            <c:ext xmlns:c16="http://schemas.microsoft.com/office/drawing/2014/chart" uri="{C3380CC4-5D6E-409C-BE32-E72D297353CC}">
              <c16:uniqueId val="{00000001-6E7F-4634-958E-4EB55ADD7396}"/>
            </c:ext>
          </c:extLst>
        </c:ser>
        <c:dLbls>
          <c:showLegendKey val="0"/>
          <c:showVal val="0"/>
          <c:showCatName val="0"/>
          <c:showSerName val="0"/>
          <c:showPercent val="0"/>
          <c:showBubbleSize val="0"/>
        </c:dLbls>
        <c:smooth val="0"/>
        <c:axId val="2141660400"/>
        <c:axId val="2141661840"/>
      </c:lineChart>
      <c:catAx>
        <c:axId val="2141660400"/>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2141661840"/>
        <c:crosses val="autoZero"/>
        <c:auto val="1"/>
        <c:lblAlgn val="ctr"/>
        <c:lblOffset val="100"/>
        <c:noMultiLvlLbl val="0"/>
      </c:catAx>
      <c:valAx>
        <c:axId val="2141661840"/>
        <c:scaling>
          <c:orientation val="minMax"/>
        </c:scaling>
        <c:delete val="0"/>
        <c:axPos val="l"/>
        <c:numFmt formatCode="0.00" sourceLinked="0"/>
        <c:majorTickMark val="out"/>
        <c:minorTickMark val="none"/>
        <c:tickLblPos val="nextTo"/>
        <c:txPr>
          <a:bodyPr/>
          <a:lstStyle/>
          <a:p>
            <a:pPr>
              <a:defRPr sz="800" b="0"/>
            </a:pPr>
            <a:endParaRPr lang="en-US"/>
          </a:p>
        </c:txPr>
        <c:crossAx val="2141660400"/>
        <c:crosses val="autoZero"/>
        <c:crossBetween val="between"/>
      </c:valAx>
    </c:plotArea>
    <c:legend>
      <c:legendPos val="r"/>
      <c:overlay val="0"/>
      <c:spPr>
        <a:ln>
          <a:solidFill>
            <a:srgbClr val="000000"/>
          </a:solidFill>
          <a:prstDash val="solid"/>
        </a:ln>
      </c:sp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Original Observations</a:t>
            </a:r>
          </a:p>
        </c:rich>
      </c:tx>
      <c:overlay val="0"/>
    </c:title>
    <c:autoTitleDeleted val="0"/>
    <c:plotArea>
      <c:layout/>
      <c:lineChart>
        <c:grouping val="standard"/>
        <c:varyColors val="0"/>
        <c:ser>
          <c:idx val="0"/>
          <c:order val="0"/>
          <c:tx>
            <c:v>East</c:v>
          </c:tx>
          <c:spPr>
            <a:ln>
              <a:solidFill>
                <a:srgbClr val="333399"/>
              </a:solidFill>
              <a:prstDash val="solid"/>
            </a:ln>
          </c:spPr>
          <c:marker>
            <c:symbol val="none"/>
          </c:marker>
          <c:cat>
            <c:strRef>
              <c:f>'Expo.Smoothing Ds(East) a(3)'!$A$146:$A$262</c:f>
              <c:strCache>
                <c:ptCount val="117"/>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strCache>
            </c:strRef>
          </c:cat>
          <c:val>
            <c:numRef>
              <c:f>'Expo.Smoothing Ds(East) a(3)'!$B$146:$B$262</c:f>
              <c:numCache>
                <c:formatCode>0.00</c:formatCode>
                <c:ptCount val="117"/>
                <c:pt idx="0">
                  <c:v>7419</c:v>
                </c:pt>
                <c:pt idx="1">
                  <c:v>8824</c:v>
                </c:pt>
                <c:pt idx="2">
                  <c:v>11583</c:v>
                </c:pt>
                <c:pt idx="3">
                  <c:v>7958</c:v>
                </c:pt>
                <c:pt idx="4">
                  <c:v>11933</c:v>
                </c:pt>
                <c:pt idx="5">
                  <c:v>11227</c:v>
                </c:pt>
                <c:pt idx="6">
                  <c:v>11258</c:v>
                </c:pt>
                <c:pt idx="7">
                  <c:v>15904</c:v>
                </c:pt>
                <c:pt idx="8">
                  <c:v>14470</c:v>
                </c:pt>
                <c:pt idx="9">
                  <c:v>10916</c:v>
                </c:pt>
                <c:pt idx="10">
                  <c:v>10391</c:v>
                </c:pt>
                <c:pt idx="11">
                  <c:v>8481</c:v>
                </c:pt>
                <c:pt idx="12">
                  <c:v>10120</c:v>
                </c:pt>
                <c:pt idx="13">
                  <c:v>8910</c:v>
                </c:pt>
                <c:pt idx="14">
                  <c:v>9375</c:v>
                </c:pt>
                <c:pt idx="15">
                  <c:v>12366</c:v>
                </c:pt>
                <c:pt idx="16">
                  <c:v>10808</c:v>
                </c:pt>
                <c:pt idx="17">
                  <c:v>11982</c:v>
                </c:pt>
                <c:pt idx="18">
                  <c:v>13330</c:v>
                </c:pt>
                <c:pt idx="19">
                  <c:v>12233</c:v>
                </c:pt>
                <c:pt idx="20">
                  <c:v>12302</c:v>
                </c:pt>
                <c:pt idx="21">
                  <c:v>7227</c:v>
                </c:pt>
                <c:pt idx="22">
                  <c:v>12660</c:v>
                </c:pt>
                <c:pt idx="23">
                  <c:v>9800</c:v>
                </c:pt>
                <c:pt idx="24">
                  <c:v>12004</c:v>
                </c:pt>
                <c:pt idx="25">
                  <c:v>10006</c:v>
                </c:pt>
                <c:pt idx="26">
                  <c:v>8394</c:v>
                </c:pt>
                <c:pt idx="27">
                  <c:v>9953</c:v>
                </c:pt>
                <c:pt idx="28">
                  <c:v>10461</c:v>
                </c:pt>
                <c:pt idx="29">
                  <c:v>10893</c:v>
                </c:pt>
                <c:pt idx="30">
                  <c:v>9212</c:v>
                </c:pt>
                <c:pt idx="31">
                  <c:v>13209</c:v>
                </c:pt>
                <c:pt idx="32">
                  <c:v>10294</c:v>
                </c:pt>
                <c:pt idx="33">
                  <c:v>11540</c:v>
                </c:pt>
                <c:pt idx="34">
                  <c:v>10219</c:v>
                </c:pt>
                <c:pt idx="35">
                  <c:v>10230</c:v>
                </c:pt>
                <c:pt idx="36">
                  <c:v>9985</c:v>
                </c:pt>
                <c:pt idx="37">
                  <c:v>6832</c:v>
                </c:pt>
                <c:pt idx="38">
                  <c:v>9050</c:v>
                </c:pt>
                <c:pt idx="39">
                  <c:v>10082</c:v>
                </c:pt>
                <c:pt idx="40">
                  <c:v>10659</c:v>
                </c:pt>
                <c:pt idx="41">
                  <c:v>11458</c:v>
                </c:pt>
                <c:pt idx="42">
                  <c:v>10867</c:v>
                </c:pt>
                <c:pt idx="43">
                  <c:v>12409</c:v>
                </c:pt>
                <c:pt idx="44">
                  <c:v>11869</c:v>
                </c:pt>
                <c:pt idx="45">
                  <c:v>8729</c:v>
                </c:pt>
                <c:pt idx="46">
                  <c:v>10665</c:v>
                </c:pt>
                <c:pt idx="47">
                  <c:v>8003</c:v>
                </c:pt>
                <c:pt idx="48">
                  <c:v>9224</c:v>
                </c:pt>
                <c:pt idx="49">
                  <c:v>9140</c:v>
                </c:pt>
                <c:pt idx="50">
                  <c:v>11616</c:v>
                </c:pt>
                <c:pt idx="51">
                  <c:v>9428</c:v>
                </c:pt>
                <c:pt idx="52">
                  <c:v>14249</c:v>
                </c:pt>
                <c:pt idx="53">
                  <c:v>9511</c:v>
                </c:pt>
                <c:pt idx="54">
                  <c:v>12094</c:v>
                </c:pt>
                <c:pt idx="55">
                  <c:v>13273</c:v>
                </c:pt>
                <c:pt idx="56">
                  <c:v>11184</c:v>
                </c:pt>
                <c:pt idx="57">
                  <c:v>10793</c:v>
                </c:pt>
                <c:pt idx="58">
                  <c:v>8693</c:v>
                </c:pt>
                <c:pt idx="59">
                  <c:v>8479</c:v>
                </c:pt>
                <c:pt idx="60">
                  <c:v>8120</c:v>
                </c:pt>
                <c:pt idx="61">
                  <c:v>9239</c:v>
                </c:pt>
                <c:pt idx="62">
                  <c:v>9266</c:v>
                </c:pt>
                <c:pt idx="63">
                  <c:v>8652</c:v>
                </c:pt>
                <c:pt idx="64">
                  <c:v>12405</c:v>
                </c:pt>
                <c:pt idx="65">
                  <c:v>8964</c:v>
                </c:pt>
                <c:pt idx="66">
                  <c:v>11521</c:v>
                </c:pt>
                <c:pt idx="67">
                  <c:v>12368</c:v>
                </c:pt>
                <c:pt idx="68">
                  <c:v>12729</c:v>
                </c:pt>
                <c:pt idx="69">
                  <c:v>10956</c:v>
                </c:pt>
                <c:pt idx="70">
                  <c:v>12069</c:v>
                </c:pt>
                <c:pt idx="71">
                  <c:v>9902</c:v>
                </c:pt>
                <c:pt idx="72">
                  <c:v>10091</c:v>
                </c:pt>
                <c:pt idx="73">
                  <c:v>9769</c:v>
                </c:pt>
                <c:pt idx="74">
                  <c:v>8578</c:v>
                </c:pt>
                <c:pt idx="75">
                  <c:v>9763</c:v>
                </c:pt>
                <c:pt idx="76">
                  <c:v>8348</c:v>
                </c:pt>
                <c:pt idx="77">
                  <c:v>9237</c:v>
                </c:pt>
                <c:pt idx="78">
                  <c:v>11204</c:v>
                </c:pt>
                <c:pt idx="79">
                  <c:v>10737</c:v>
                </c:pt>
                <c:pt idx="80">
                  <c:v>12276</c:v>
                </c:pt>
                <c:pt idx="81">
                  <c:v>9230</c:v>
                </c:pt>
                <c:pt idx="82">
                  <c:v>9405</c:v>
                </c:pt>
                <c:pt idx="83">
                  <c:v>10378</c:v>
                </c:pt>
                <c:pt idx="84">
                  <c:v>8827</c:v>
                </c:pt>
                <c:pt idx="85">
                  <c:v>8559</c:v>
                </c:pt>
                <c:pt idx="86">
                  <c:v>9143</c:v>
                </c:pt>
                <c:pt idx="87">
                  <c:v>9989</c:v>
                </c:pt>
                <c:pt idx="88">
                  <c:v>9299</c:v>
                </c:pt>
                <c:pt idx="89">
                  <c:v>10524</c:v>
                </c:pt>
                <c:pt idx="90">
                  <c:v>12887</c:v>
                </c:pt>
                <c:pt idx="91">
                  <c:v>11145</c:v>
                </c:pt>
                <c:pt idx="92">
                  <c:v>11882</c:v>
                </c:pt>
                <c:pt idx="93">
                  <c:v>9448</c:v>
                </c:pt>
                <c:pt idx="94">
                  <c:v>7857</c:v>
                </c:pt>
                <c:pt idx="95">
                  <c:v>8482</c:v>
                </c:pt>
                <c:pt idx="96">
                  <c:v>9064</c:v>
                </c:pt>
                <c:pt idx="97">
                  <c:v>7591</c:v>
                </c:pt>
                <c:pt idx="98">
                  <c:v>8801</c:v>
                </c:pt>
                <c:pt idx="99">
                  <c:v>10634</c:v>
                </c:pt>
                <c:pt idx="100">
                  <c:v>9951</c:v>
                </c:pt>
                <c:pt idx="101">
                  <c:v>11214</c:v>
                </c:pt>
                <c:pt idx="102">
                  <c:v>10990</c:v>
                </c:pt>
                <c:pt idx="103">
                  <c:v>11975</c:v>
                </c:pt>
                <c:pt idx="104">
                  <c:v>12137</c:v>
                </c:pt>
                <c:pt idx="105">
                  <c:v>10892</c:v>
                </c:pt>
                <c:pt idx="106">
                  <c:v>11249</c:v>
                </c:pt>
                <c:pt idx="107">
                  <c:v>7531</c:v>
                </c:pt>
                <c:pt idx="108">
                  <c:v>7992</c:v>
                </c:pt>
                <c:pt idx="109">
                  <c:v>9230</c:v>
                </c:pt>
                <c:pt idx="110">
                  <c:v>10123</c:v>
                </c:pt>
                <c:pt idx="111">
                  <c:v>11419</c:v>
                </c:pt>
                <c:pt idx="112">
                  <c:v>12102</c:v>
                </c:pt>
                <c:pt idx="113">
                  <c:v>10903</c:v>
                </c:pt>
                <c:pt idx="114">
                  <c:v>12513</c:v>
                </c:pt>
                <c:pt idx="115">
                  <c:v>10696</c:v>
                </c:pt>
                <c:pt idx="116">
                  <c:v>13758</c:v>
                </c:pt>
              </c:numCache>
            </c:numRef>
          </c:val>
          <c:smooth val="0"/>
          <c:extLst>
            <c:ext xmlns:c16="http://schemas.microsoft.com/office/drawing/2014/chart" uri="{C3380CC4-5D6E-409C-BE32-E72D297353CC}">
              <c16:uniqueId val="{00000000-B0E9-41DB-A197-362710327CED}"/>
            </c:ext>
          </c:extLst>
        </c:ser>
        <c:dLbls>
          <c:showLegendKey val="0"/>
          <c:showVal val="0"/>
          <c:showCatName val="0"/>
          <c:showSerName val="0"/>
          <c:showPercent val="0"/>
          <c:showBubbleSize val="0"/>
        </c:dLbls>
        <c:smooth val="0"/>
        <c:axId val="2016485792"/>
        <c:axId val="2016484352"/>
      </c:lineChart>
      <c:catAx>
        <c:axId val="2016485792"/>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2016484352"/>
        <c:crosses val="autoZero"/>
        <c:auto val="1"/>
        <c:lblAlgn val="ctr"/>
        <c:lblOffset val="100"/>
        <c:noMultiLvlLbl val="0"/>
      </c:catAx>
      <c:valAx>
        <c:axId val="2016484352"/>
        <c:scaling>
          <c:orientation val="minMax"/>
        </c:scaling>
        <c:delete val="0"/>
        <c:axPos val="l"/>
        <c:numFmt formatCode="0.00" sourceLinked="0"/>
        <c:majorTickMark val="out"/>
        <c:minorTickMark val="none"/>
        <c:tickLblPos val="nextTo"/>
        <c:txPr>
          <a:bodyPr/>
          <a:lstStyle/>
          <a:p>
            <a:pPr>
              <a:defRPr sz="800" b="0"/>
            </a:pPr>
            <a:endParaRPr lang="en-US"/>
          </a:p>
        </c:txPr>
        <c:crossAx val="2016485792"/>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Forecast Errors</a:t>
            </a:r>
          </a:p>
        </c:rich>
      </c:tx>
      <c:overlay val="0"/>
    </c:title>
    <c:autoTitleDeleted val="0"/>
    <c:plotArea>
      <c:layout/>
      <c:lineChart>
        <c:grouping val="standard"/>
        <c:varyColors val="0"/>
        <c:ser>
          <c:idx val="0"/>
          <c:order val="0"/>
          <c:tx>
            <c:v>Errors</c:v>
          </c:tx>
          <c:spPr>
            <a:ln>
              <a:solidFill>
                <a:srgbClr val="333399"/>
              </a:solidFill>
              <a:prstDash val="solid"/>
            </a:ln>
          </c:spPr>
          <c:marker>
            <c:symbol val="none"/>
          </c:marker>
          <c:cat>
            <c:strRef>
              <c:f>'Expo.Smoothing Ds(East) a(3)'!$A$146:$A$262</c:f>
              <c:strCache>
                <c:ptCount val="117"/>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strCache>
            </c:strRef>
          </c:cat>
          <c:val>
            <c:numRef>
              <c:f>'Expo.Smoothing Ds(East) a(3)'!$I$147:$I$270</c:f>
              <c:numCache>
                <c:formatCode>0.00</c:formatCode>
                <c:ptCount val="124"/>
                <c:pt idx="0">
                  <c:v>1923.9868298989213</c:v>
                </c:pt>
                <c:pt idx="1">
                  <c:v>3740.2049890659573</c:v>
                </c:pt>
                <c:pt idx="2">
                  <c:v>-1496.9990700388389</c:v>
                </c:pt>
                <c:pt idx="3">
                  <c:v>2255.4264657686053</c:v>
                </c:pt>
                <c:pt idx="4">
                  <c:v>1276.59244177863</c:v>
                </c:pt>
                <c:pt idx="5">
                  <c:v>68.538281487382847</c:v>
                </c:pt>
                <c:pt idx="6">
                  <c:v>3661.9591011092743</c:v>
                </c:pt>
                <c:pt idx="7">
                  <c:v>1811.60740414473</c:v>
                </c:pt>
                <c:pt idx="8">
                  <c:v>144.89231489324266</c:v>
                </c:pt>
                <c:pt idx="9">
                  <c:v>-765.99567611960629</c:v>
                </c:pt>
                <c:pt idx="10">
                  <c:v>-1139.1147759630439</c:v>
                </c:pt>
                <c:pt idx="11">
                  <c:v>325.96745364704293</c:v>
                </c:pt>
                <c:pt idx="12">
                  <c:v>-270.63714344027721</c:v>
                </c:pt>
                <c:pt idx="13">
                  <c:v>-345.88261074066031</c:v>
                </c:pt>
                <c:pt idx="14">
                  <c:v>1923.8232900505518</c:v>
                </c:pt>
                <c:pt idx="15">
                  <c:v>-780.03973047175168</c:v>
                </c:pt>
                <c:pt idx="16">
                  <c:v>869.82248284562047</c:v>
                </c:pt>
                <c:pt idx="17">
                  <c:v>977.63702062327684</c:v>
                </c:pt>
                <c:pt idx="18">
                  <c:v>-1514.4958242555113</c:v>
                </c:pt>
                <c:pt idx="19">
                  <c:v>-627.37592099607718</c:v>
                </c:pt>
                <c:pt idx="20">
                  <c:v>-3292.1593769417341</c:v>
                </c:pt>
                <c:pt idx="21">
                  <c:v>2602.8780118386985</c:v>
                </c:pt>
                <c:pt idx="22">
                  <c:v>445.2350610473859</c:v>
                </c:pt>
                <c:pt idx="23">
                  <c:v>2095.2390757136982</c:v>
                </c:pt>
                <c:pt idx="24">
                  <c:v>329.30638089057538</c:v>
                </c:pt>
                <c:pt idx="25">
                  <c:v>-2007.185645896705</c:v>
                </c:pt>
                <c:pt idx="26">
                  <c:v>-800.31850464630043</c:v>
                </c:pt>
                <c:pt idx="27">
                  <c:v>-772.47169912012941</c:v>
                </c:pt>
                <c:pt idx="28">
                  <c:v>124.58839901926149</c:v>
                </c:pt>
                <c:pt idx="29">
                  <c:v>-2572.7293493105008</c:v>
                </c:pt>
                <c:pt idx="30">
                  <c:v>999.40625870881922</c:v>
                </c:pt>
                <c:pt idx="31">
                  <c:v>-1724.6887475774965</c:v>
                </c:pt>
                <c:pt idx="32">
                  <c:v>1984.0636444044449</c:v>
                </c:pt>
                <c:pt idx="33">
                  <c:v>-132.62221699239126</c:v>
                </c:pt>
                <c:pt idx="34">
                  <c:v>1184.4292011451398</c:v>
                </c:pt>
                <c:pt idx="35">
                  <c:v>216.89619375362054</c:v>
                </c:pt>
                <c:pt idx="36">
                  <c:v>-2300.5195095308536</c:v>
                </c:pt>
                <c:pt idx="37">
                  <c:v>-107.43519280876899</c:v>
                </c:pt>
                <c:pt idx="38">
                  <c:v>189.09611413117091</c:v>
                </c:pt>
                <c:pt idx="39">
                  <c:v>91.524731536239415</c:v>
                </c:pt>
                <c:pt idx="40">
                  <c:v>1139.3587089898792</c:v>
                </c:pt>
                <c:pt idx="41">
                  <c:v>-688.90953068362069</c:v>
                </c:pt>
                <c:pt idx="42">
                  <c:v>-37.579334787864354</c:v>
                </c:pt>
                <c:pt idx="43">
                  <c:v>-141.59410954515988</c:v>
                </c:pt>
                <c:pt idx="44">
                  <c:v>-1128.5722784689406</c:v>
                </c:pt>
                <c:pt idx="45">
                  <c:v>762.39378759712781</c:v>
                </c:pt>
                <c:pt idx="46">
                  <c:v>-834.63245558771996</c:v>
                </c:pt>
                <c:pt idx="47">
                  <c:v>174.09664390133912</c:v>
                </c:pt>
                <c:pt idx="48">
                  <c:v>684.85878906001017</c:v>
                </c:pt>
                <c:pt idx="49">
                  <c:v>2427.6298212059392</c:v>
                </c:pt>
                <c:pt idx="50">
                  <c:v>-1148.234269571336</c:v>
                </c:pt>
                <c:pt idx="51">
                  <c:v>3291.3758923547157</c:v>
                </c:pt>
                <c:pt idx="52">
                  <c:v>-1925.6217877298441</c:v>
                </c:pt>
                <c:pt idx="53">
                  <c:v>109.44087649448375</c:v>
                </c:pt>
                <c:pt idx="54">
                  <c:v>151.75345086179004</c:v>
                </c:pt>
                <c:pt idx="55">
                  <c:v>-1521.3551118665018</c:v>
                </c:pt>
                <c:pt idx="56">
                  <c:v>632.31476676358761</c:v>
                </c:pt>
                <c:pt idx="57">
                  <c:v>-1952.7954210433818</c:v>
                </c:pt>
                <c:pt idx="58">
                  <c:v>-446.92128530876471</c:v>
                </c:pt>
                <c:pt idx="59">
                  <c:v>-1118.4689267716876</c:v>
                </c:pt>
                <c:pt idx="60">
                  <c:v>892.93181091549377</c:v>
                </c:pt>
                <c:pt idx="61">
                  <c:v>141.43568508817225</c:v>
                </c:pt>
                <c:pt idx="62">
                  <c:v>-1269.0876977616754</c:v>
                </c:pt>
                <c:pt idx="63">
                  <c:v>2174.4526243837863</c:v>
                </c:pt>
                <c:pt idx="64">
                  <c:v>-1506.5858177666141</c:v>
                </c:pt>
                <c:pt idx="65">
                  <c:v>482.55208608288922</c:v>
                </c:pt>
                <c:pt idx="66">
                  <c:v>183.91680509535217</c:v>
                </c:pt>
                <c:pt idx="67">
                  <c:v>921.27826769337844</c:v>
                </c:pt>
                <c:pt idx="68">
                  <c:v>1058.4109541198013</c:v>
                </c:pt>
                <c:pt idx="69">
                  <c:v>1590.7596755074064</c:v>
                </c:pt>
                <c:pt idx="70">
                  <c:v>388.03475281867577</c:v>
                </c:pt>
                <c:pt idx="71">
                  <c:v>29.665115044759659</c:v>
                </c:pt>
                <c:pt idx="72">
                  <c:v>404.96492709977611</c:v>
                </c:pt>
                <c:pt idx="73">
                  <c:v>-1508.8915986700267</c:v>
                </c:pt>
                <c:pt idx="74">
                  <c:v>-777.56575167396477</c:v>
                </c:pt>
                <c:pt idx="75">
                  <c:v>-2664.9599919908123</c:v>
                </c:pt>
                <c:pt idx="76">
                  <c:v>-880.17692340291978</c:v>
                </c:pt>
                <c:pt idx="77">
                  <c:v>389.49487670178678</c:v>
                </c:pt>
                <c:pt idx="78">
                  <c:v>-1178.3736496486672</c:v>
                </c:pt>
                <c:pt idx="79">
                  <c:v>1039.0325776757509</c:v>
                </c:pt>
                <c:pt idx="80">
                  <c:v>-220.76985262857488</c:v>
                </c:pt>
                <c:pt idx="81">
                  <c:v>-299.35731041282997</c:v>
                </c:pt>
                <c:pt idx="82">
                  <c:v>1934.3287860582805</c:v>
                </c:pt>
                <c:pt idx="83">
                  <c:v>-496.51290607836927</c:v>
                </c:pt>
                <c:pt idx="84">
                  <c:v>-3.0334300356935273</c:v>
                </c:pt>
                <c:pt idx="85">
                  <c:v>14.207942244822334</c:v>
                </c:pt>
                <c:pt idx="86">
                  <c:v>95.944819570748223</c:v>
                </c:pt>
                <c:pt idx="87">
                  <c:v>-1245.1980792694085</c:v>
                </c:pt>
                <c:pt idx="88">
                  <c:v>536.25281943771006</c:v>
                </c:pt>
                <c:pt idx="89">
                  <c:v>1847.9725223934802</c:v>
                </c:pt>
                <c:pt idx="90">
                  <c:v>-1392.6778941211051</c:v>
                </c:pt>
                <c:pt idx="91">
                  <c:v>93.064130986391319</c:v>
                </c:pt>
                <c:pt idx="92">
                  <c:v>-272.83792108286616</c:v>
                </c:pt>
                <c:pt idx="93">
                  <c:v>-2113.4922417530961</c:v>
                </c:pt>
                <c:pt idx="94">
                  <c:v>181.3012291673349</c:v>
                </c:pt>
                <c:pt idx="95">
                  <c:v>324.70722047016534</c:v>
                </c:pt>
                <c:pt idx="96">
                  <c:v>-608.4030401872842</c:v>
                </c:pt>
                <c:pt idx="97">
                  <c:v>211.60991013991406</c:v>
                </c:pt>
                <c:pt idx="98">
                  <c:v>1274.6899552119721</c:v>
                </c:pt>
                <c:pt idx="99">
                  <c:v>-322.21279740108184</c:v>
                </c:pt>
                <c:pt idx="100">
                  <c:v>1277.5009937935665</c:v>
                </c:pt>
                <c:pt idx="101">
                  <c:v>-184.51666556261807</c:v>
                </c:pt>
                <c:pt idx="102">
                  <c:v>-185.29887754204901</c:v>
                </c:pt>
                <c:pt idx="103">
                  <c:v>436.6085352352311</c:v>
                </c:pt>
                <c:pt idx="104">
                  <c:v>1177.134085064803</c:v>
                </c:pt>
                <c:pt idx="105">
                  <c:v>930.42258763042628</c:v>
                </c:pt>
                <c:pt idx="106">
                  <c:v>-1706.0741215123853</c:v>
                </c:pt>
                <c:pt idx="107">
                  <c:v>-1260.3119984961832</c:v>
                </c:pt>
                <c:pt idx="108">
                  <c:v>902.27173073258928</c:v>
                </c:pt>
                <c:pt idx="109">
                  <c:v>1015.6347775911272</c:v>
                </c:pt>
                <c:pt idx="110">
                  <c:v>1292.4593872055284</c:v>
                </c:pt>
                <c:pt idx="111">
                  <c:v>1008.4600850416427</c:v>
                </c:pt>
                <c:pt idx="112">
                  <c:v>-139.68814329269662</c:v>
                </c:pt>
                <c:pt idx="113">
                  <c:v>497.17466251993937</c:v>
                </c:pt>
                <c:pt idx="114">
                  <c:v>-2559.6337154219091</c:v>
                </c:pt>
                <c:pt idx="115">
                  <c:v>1542.40150846693</c:v>
                </c:pt>
              </c:numCache>
            </c:numRef>
          </c:val>
          <c:smooth val="0"/>
          <c:extLst>
            <c:ext xmlns:c16="http://schemas.microsoft.com/office/drawing/2014/chart" uri="{C3380CC4-5D6E-409C-BE32-E72D297353CC}">
              <c16:uniqueId val="{00000000-B445-4DA2-B1CB-CA5BCF34404F}"/>
            </c:ext>
          </c:extLst>
        </c:ser>
        <c:dLbls>
          <c:showLegendKey val="0"/>
          <c:showVal val="0"/>
          <c:showCatName val="0"/>
          <c:showSerName val="0"/>
          <c:showPercent val="0"/>
          <c:showBubbleSize val="0"/>
        </c:dLbls>
        <c:smooth val="0"/>
        <c:axId val="2141660880"/>
        <c:axId val="2141662800"/>
      </c:lineChart>
      <c:catAx>
        <c:axId val="2141660880"/>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2141662800"/>
        <c:crosses val="autoZero"/>
        <c:auto val="1"/>
        <c:lblAlgn val="ctr"/>
        <c:lblOffset val="100"/>
        <c:noMultiLvlLbl val="0"/>
      </c:catAx>
      <c:valAx>
        <c:axId val="2141662800"/>
        <c:scaling>
          <c:orientation val="minMax"/>
        </c:scaling>
        <c:delete val="0"/>
        <c:axPos val="l"/>
        <c:numFmt formatCode="0.00" sourceLinked="0"/>
        <c:majorTickMark val="out"/>
        <c:minorTickMark val="none"/>
        <c:tickLblPos val="nextTo"/>
        <c:txPr>
          <a:bodyPr/>
          <a:lstStyle/>
          <a:p>
            <a:pPr>
              <a:defRPr sz="800" b="0"/>
            </a:pPr>
            <a:endParaRPr lang="en-US"/>
          </a:p>
        </c:txPr>
        <c:crossAx val="2141660880"/>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Deseasonalized Forecast and Original Observations</a:t>
            </a:r>
          </a:p>
        </c:rich>
      </c:tx>
      <c:overlay val="0"/>
    </c:title>
    <c:autoTitleDeleted val="0"/>
    <c:plotArea>
      <c:layout/>
      <c:lineChart>
        <c:grouping val="standard"/>
        <c:varyColors val="0"/>
        <c:ser>
          <c:idx val="0"/>
          <c:order val="0"/>
          <c:tx>
            <c:v>East</c:v>
          </c:tx>
          <c:spPr>
            <a:ln>
              <a:solidFill>
                <a:srgbClr val="333399"/>
              </a:solidFill>
              <a:prstDash val="solid"/>
            </a:ln>
          </c:spPr>
          <c:marker>
            <c:symbol val="none"/>
          </c:marker>
          <c:cat>
            <c:strRef>
              <c:f>'Expo.Smoothing Ds(East) a(3)'!$A$146:$A$270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'Expo.Smoothing Ds(East) a(3)'!$D$146:$D$270</c:f>
              <c:numCache>
                <c:formatCode>0.00</c:formatCode>
                <c:ptCount val="125"/>
                <c:pt idx="0">
                  <c:v>8145.242261508587</c:v>
                </c:pt>
                <c:pt idx="1">
                  <c:v>10416.446453608565</c:v>
                </c:pt>
                <c:pt idx="2">
                  <c:v>12823.374877466002</c:v>
                </c:pt>
                <c:pt idx="3">
                  <c:v>8132.5736898867053</c:v>
                </c:pt>
                <c:pt idx="4">
                  <c:v>11467.956753951106</c:v>
                </c:pt>
                <c:pt idx="5">
                  <c:v>11072.302866226855</c:v>
                </c:pt>
                <c:pt idx="6">
                  <c:v>10173.135204727409</c:v>
                </c:pt>
                <c:pt idx="7">
                  <c:v>13154.801260364744</c:v>
                </c:pt>
                <c:pt idx="8">
                  <c:v>12394.288572970971</c:v>
                </c:pt>
                <c:pt idx="9">
                  <c:v>11360.513533881589</c:v>
                </c:pt>
                <c:pt idx="10">
                  <c:v>10473.33579782507</c:v>
                </c:pt>
                <c:pt idx="11">
                  <c:v>9752.7846194837675</c:v>
                </c:pt>
                <c:pt idx="12">
                  <c:v>11110.641823219692</c:v>
                </c:pt>
                <c:pt idx="13">
                  <c:v>10517.966670631495</c:v>
                </c:pt>
                <c:pt idx="14">
                  <c:v>10378.929420378467</c:v>
                </c:pt>
                <c:pt idx="15">
                  <c:v>12637.271456287886</c:v>
                </c:pt>
                <c:pt idx="16">
                  <c:v>10386.799346074211</c:v>
                </c:pt>
                <c:pt idx="17">
                  <c:v>11816.899701000282</c:v>
                </c:pt>
                <c:pt idx="18">
                  <c:v>12045.469202257626</c:v>
                </c:pt>
                <c:pt idx="19">
                  <c:v>10118.378006667626</c:v>
                </c:pt>
                <c:pt idx="20">
                  <c:v>10537.286663765644</c:v>
                </c:pt>
                <c:pt idx="21">
                  <c:v>7521.2927179701583</c:v>
                </c:pt>
                <c:pt idx="22">
                  <c:v>12760.314810938829</c:v>
                </c:pt>
                <c:pt idx="23">
                  <c:v>11269.577794003175</c:v>
                </c:pt>
                <c:pt idx="24">
                  <c:v>13179.065656712371</c:v>
                </c:pt>
                <c:pt idx="25">
                  <c:v>11811.759203853955</c:v>
                </c:pt>
                <c:pt idx="26">
                  <c:v>9292.878245830063</c:v>
                </c:pt>
                <c:pt idx="27">
                  <c:v>10171.337765197584</c:v>
                </c:pt>
                <c:pt idx="28">
                  <c:v>10053.322350044627</c:v>
                </c:pt>
                <c:pt idx="29">
                  <c:v>10742.905061174768</c:v>
                </c:pt>
                <c:pt idx="30">
                  <c:v>8324.2957457762368</c:v>
                </c:pt>
                <c:pt idx="31">
                  <c:v>10925.664603128642</c:v>
                </c:pt>
                <c:pt idx="32">
                  <c:v>8817.3328659407853</c:v>
                </c:pt>
                <c:pt idx="33">
                  <c:v>12009.923614968262</c:v>
                </c:pt>
                <c:pt idx="34">
                  <c:v>10299.972910978191</c:v>
                </c:pt>
                <c:pt idx="35">
                  <c:v>11764.059268638008</c:v>
                </c:pt>
                <c:pt idx="36">
                  <c:v>10962.426739609549</c:v>
                </c:pt>
                <c:pt idx="37">
                  <c:v>8064.954915123948</c:v>
                </c:pt>
                <c:pt idx="38">
                  <c:v>10019.126533805345</c:v>
                </c:pt>
                <c:pt idx="39">
                  <c:v>10303.167622698889</c:v>
                </c:pt>
                <c:pt idx="40">
                  <c:v>10243.606053830961</c:v>
                </c:pt>
                <c:pt idx="41">
                  <c:v>11300.119911038328</c:v>
                </c:pt>
                <c:pt idx="42">
                  <c:v>9819.8134899425077</c:v>
                </c:pt>
                <c:pt idx="43">
                  <c:v>10263.954278160596</c:v>
                </c:pt>
                <c:pt idx="44">
                  <c:v>10166.400212342256</c:v>
                </c:pt>
                <c:pt idx="45">
                  <c:v>9084.456086226859</c:v>
                </c:pt>
                <c:pt idx="46">
                  <c:v>10749.506908267189</c:v>
                </c:pt>
                <c:pt idx="47">
                  <c:v>9203.1052127966741</c:v>
                </c:pt>
                <c:pt idx="48">
                  <c:v>10126.932823851625</c:v>
                </c:pt>
                <c:pt idx="49">
                  <c:v>10789.474227785844</c:v>
                </c:pt>
                <c:pt idx="50">
                  <c:v>12859.908709025734</c:v>
                </c:pt>
                <c:pt idx="51">
                  <c:v>9634.8209032736686</c:v>
                </c:pt>
                <c:pt idx="52">
                  <c:v>13693.699470967009</c:v>
                </c:pt>
                <c:pt idx="53">
                  <c:v>9379.9476761987717</c:v>
                </c:pt>
                <c:pt idx="54">
                  <c:v>10928.574983653692</c:v>
                </c:pt>
                <c:pt idx="55">
                  <c:v>10978.601429126085</c:v>
                </c:pt>
                <c:pt idx="56">
                  <c:v>9579.6629854946332</c:v>
                </c:pt>
                <c:pt idx="57">
                  <c:v>11232.504815975082</c:v>
                </c:pt>
                <c:pt idx="58">
                  <c:v>8761.8812520925148</c:v>
                </c:pt>
                <c:pt idx="59">
                  <c:v>9750.4847056482558</c:v>
                </c:pt>
                <c:pt idx="60">
                  <c:v>8914.8628067731133</c:v>
                </c:pt>
                <c:pt idx="61">
                  <c:v>10906.340524126193</c:v>
                </c:pt>
                <c:pt idx="62">
                  <c:v>10258.257067650866</c:v>
                </c:pt>
                <c:pt idx="63">
                  <c:v>8841.797884506128</c:v>
                </c:pt>
                <c:pt idx="64">
                  <c:v>11921.562350855902</c:v>
                </c:pt>
                <c:pt idx="65">
                  <c:v>8840.4848038529908</c:v>
                </c:pt>
                <c:pt idx="66">
                  <c:v>10410.791498815461</c:v>
                </c:pt>
                <c:pt idx="67">
                  <c:v>10230.041624005984</c:v>
                </c:pt>
                <c:pt idx="68">
                  <c:v>10903.033811012267</c:v>
                </c:pt>
                <c:pt idx="69">
                  <c:v>11402.142385233299</c:v>
                </c:pt>
                <c:pt idx="70">
                  <c:v>12164.631868342869</c:v>
                </c:pt>
                <c:pt idx="71">
                  <c:v>11386.873399614227</c:v>
                </c:pt>
                <c:pt idx="72">
                  <c:v>11078.803027481217</c:v>
                </c:pt>
                <c:pt idx="73">
                  <c:v>11531.988373220996</c:v>
                </c:pt>
                <c:pt idx="74">
                  <c:v>9496.5820339206912</c:v>
                </c:pt>
                <c:pt idx="75">
                  <c:v>9977.1697580251202</c:v>
                </c:pt>
                <c:pt idx="76">
                  <c:v>8022.6684808500668</c:v>
                </c:pt>
                <c:pt idx="77">
                  <c:v>9109.7231295392758</c:v>
                </c:pt>
                <c:pt idx="78">
                  <c:v>10124.338855370925</c:v>
                </c:pt>
                <c:pt idx="79">
                  <c:v>8880.9796989773804</c:v>
                </c:pt>
                <c:pt idx="80">
                  <c:v>10515.016345666319</c:v>
                </c:pt>
                <c:pt idx="81">
                  <c:v>9605.8574494070235</c:v>
                </c:pt>
                <c:pt idx="82">
                  <c:v>9479.5229697377326</c:v>
                </c:pt>
                <c:pt idx="83">
                  <c:v>11934.252892465811</c:v>
                </c:pt>
                <c:pt idx="84">
                  <c:v>9691.0706890869787</c:v>
                </c:pt>
                <c:pt idx="85">
                  <c:v>10103.622529061164</c:v>
                </c:pt>
                <c:pt idx="86">
                  <c:v>10122.0855136555</c:v>
                </c:pt>
                <c:pt idx="87">
                  <c:v>10208.127492872367</c:v>
                </c:pt>
                <c:pt idx="88">
                  <c:v>8936.6068763086696</c:v>
                </c:pt>
                <c:pt idx="89">
                  <c:v>10378.989522060338</c:v>
                </c:pt>
                <c:pt idx="90">
                  <c:v>11645.158410314631</c:v>
                </c:pt>
                <c:pt idx="91">
                  <c:v>9218.4519647110847</c:v>
                </c:pt>
                <c:pt idx="92">
                  <c:v>10177.535371391919</c:v>
                </c:pt>
                <c:pt idx="93">
                  <c:v>9832.7346892738424</c:v>
                </c:pt>
                <c:pt idx="94">
                  <c:v>7919.2569881158279</c:v>
                </c:pt>
                <c:pt idx="95">
                  <c:v>9753.9345764015234</c:v>
                </c:pt>
                <c:pt idx="96">
                  <c:v>9951.2705025358991</c:v>
                </c:pt>
                <c:pt idx="97">
                  <c:v>8960.9298537332979</c:v>
                </c:pt>
                <c:pt idx="98">
                  <c:v>9743.462168400094</c:v>
                </c:pt>
                <c:pt idx="99">
                  <c:v>10867.276780378892</c:v>
                </c:pt>
                <c:pt idx="100">
                  <c:v>9563.1976584737677</c:v>
                </c:pt>
                <c:pt idx="101">
                  <c:v>11059.481993575127</c:v>
                </c:pt>
                <c:pt idx="102">
                  <c:v>9930.9607301433844</c:v>
                </c:pt>
                <c:pt idx="103">
                  <c:v>9904.9764268654308</c:v>
                </c:pt>
                <c:pt idx="104">
                  <c:v>10395.955798904539</c:v>
                </c:pt>
                <c:pt idx="105">
                  <c:v>11335.536223070563</c:v>
                </c:pt>
                <c:pt idx="106">
                  <c:v>11338.134384537985</c:v>
                </c:pt>
                <c:pt idx="107">
                  <c:v>8660.3255476161121</c:v>
                </c:pt>
                <c:pt idx="108">
                  <c:v>8774.3329497205323</c:v>
                </c:pt>
                <c:pt idx="109">
                  <c:v>10895.716315367979</c:v>
                </c:pt>
                <c:pt idx="110">
                  <c:v>11207.029602399063</c:v>
                </c:pt>
                <c:pt idx="111">
                  <c:v>11669.497231065128</c:v>
                </c:pt>
                <c:pt idx="112">
                  <c:v>11630.370622334392</c:v>
                </c:pt>
                <c:pt idx="113">
                  <c:v>10752.767270906867</c:v>
                </c:pt>
                <c:pt idx="114">
                  <c:v>11307.198509216028</c:v>
                </c:pt>
                <c:pt idx="115">
                  <c:v>8847.0670448227684</c:v>
                </c:pt>
                <c:pt idx="116">
                  <c:v>11784.424477327893</c:v>
                </c:pt>
              </c:numCache>
            </c:numRef>
          </c:val>
          <c:smooth val="0"/>
          <c:extLst>
            <c:ext xmlns:c16="http://schemas.microsoft.com/office/drawing/2014/chart" uri="{C3380CC4-5D6E-409C-BE32-E72D297353CC}">
              <c16:uniqueId val="{00000000-441E-4509-AFCB-B5D1DCB2D2C0}"/>
            </c:ext>
          </c:extLst>
        </c:ser>
        <c:ser>
          <c:idx val="1"/>
          <c:order val="1"/>
          <c:tx>
            <c:v>Deseasonalized Forecast</c:v>
          </c:tx>
          <c:spPr>
            <a:ln>
              <a:solidFill>
                <a:srgbClr val="993366"/>
              </a:solidFill>
              <a:prstDash val="solid"/>
            </a:ln>
          </c:spPr>
          <c:marker>
            <c:symbol val="none"/>
          </c:marker>
          <c:cat>
            <c:strRef>
              <c:f>'Expo.Smoothing Ds(East) a(3)'!$A$146:$A$270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'Expo.Smoothing Ds(East) a(3)'!$F$146:$F$270</c:f>
              <c:numCache>
                <c:formatCode>0.00</c:formatCode>
                <c:ptCount val="125"/>
                <c:pt idx="1">
                  <c:v>8145.242261508587</c:v>
                </c:pt>
                <c:pt idx="2">
                  <c:v>8682.6470268779503</c:v>
                </c:pt>
                <c:pt idx="3">
                  <c:v>9662.4122486681481</c:v>
                </c:pt>
                <c:pt idx="4">
                  <c:v>9300.426948273478</c:v>
                </c:pt>
                <c:pt idx="5">
                  <c:v>9813.3006259036101</c:v>
                </c:pt>
                <c:pt idx="6">
                  <c:v>10111.20153939868</c:v>
                </c:pt>
                <c:pt idx="7">
                  <c:v>10125.856076846358</c:v>
                </c:pt>
                <c:pt idx="8">
                  <c:v>10842.554989840311</c:v>
                </c:pt>
                <c:pt idx="9">
                  <c:v>11209.721017914191</c:v>
                </c:pt>
                <c:pt idx="10">
                  <c:v>11245.401040408333</c:v>
                </c:pt>
                <c:pt idx="11">
                  <c:v>11062.717536219892</c:v>
                </c:pt>
                <c:pt idx="12">
                  <c:v>10752.765575838343</c:v>
                </c:pt>
                <c:pt idx="13">
                  <c:v>10837.445060591062</c:v>
                </c:pt>
                <c:pt idx="14">
                  <c:v>10761.851148870577</c:v>
                </c:pt>
                <c:pt idx="15">
                  <c:v>10671.245485861096</c:v>
                </c:pt>
                <c:pt idx="16">
                  <c:v>11136.439997663396</c:v>
                </c:pt>
                <c:pt idx="17">
                  <c:v>10959.062525448477</c:v>
                </c:pt>
                <c:pt idx="18">
                  <c:v>11162.041098513846</c:v>
                </c:pt>
                <c:pt idx="19">
                  <c:v>11371.074911706204</c:v>
                </c:pt>
                <c:pt idx="20">
                  <c:v>11074.665945628729</c:v>
                </c:pt>
                <c:pt idx="21">
                  <c:v>10947.513051191278</c:v>
                </c:pt>
                <c:pt idx="22">
                  <c:v>10136.812216504994</c:v>
                </c:pt>
                <c:pt idx="23">
                  <c:v>10757.576655524474</c:v>
                </c:pt>
                <c:pt idx="24">
                  <c:v>10878.724658266838</c:v>
                </c:pt>
                <c:pt idx="25">
                  <c:v>11423.023677632478</c:v>
                </c:pt>
                <c:pt idx="26">
                  <c:v>11515.004982081653</c:v>
                </c:pt>
                <c:pt idx="27">
                  <c:v>10989.212760726106</c:v>
                </c:pt>
                <c:pt idx="28">
                  <c:v>10795.689905492609</c:v>
                </c:pt>
                <c:pt idx="29">
                  <c:v>10620.033369043336</c:v>
                </c:pt>
                <c:pt idx="30">
                  <c:v>10649.106859269406</c:v>
                </c:pt>
                <c:pt idx="31">
                  <c:v>10099.017802847002</c:v>
                </c:pt>
                <c:pt idx="32">
                  <c:v>10294.616213282277</c:v>
                </c:pt>
                <c:pt idx="33">
                  <c:v>9945.0663518371584</c:v>
                </c:pt>
                <c:pt idx="34">
                  <c:v>10433.645994686529</c:v>
                </c:pt>
                <c:pt idx="35">
                  <c:v>10402.01671518962</c:v>
                </c:pt>
                <c:pt idx="36">
                  <c:v>10724.298684113883</c:v>
                </c:pt>
                <c:pt idx="37">
                  <c:v>10780.643750857173</c:v>
                </c:pt>
                <c:pt idx="38">
                  <c:v>10138.066510704222</c:v>
                </c:pt>
                <c:pt idx="39">
                  <c:v>10109.923329830961</c:v>
                </c:pt>
                <c:pt idx="40">
                  <c:v>10155.64815027154</c:v>
                </c:pt>
                <c:pt idx="41">
                  <c:v>10176.460456223223</c:v>
                </c:pt>
                <c:pt idx="42">
                  <c:v>10442.337010947105</c:v>
                </c:pt>
                <c:pt idx="43">
                  <c:v>10295.037570453796</c:v>
                </c:pt>
                <c:pt idx="44">
                  <c:v>10287.682745440776</c:v>
                </c:pt>
                <c:pt idx="45">
                  <c:v>10258.985276727957</c:v>
                </c:pt>
                <c:pt idx="46">
                  <c:v>9981.0720947092595</c:v>
                </c:pt>
                <c:pt idx="47">
                  <c:v>10162.89657888297</c:v>
                </c:pt>
                <c:pt idx="48">
                  <c:v>9935.7939450954582</c:v>
                </c:pt>
                <c:pt idx="49">
                  <c:v>9981.0205894668507</c:v>
                </c:pt>
                <c:pt idx="50">
                  <c:v>10172.314194561475</c:v>
                </c:pt>
                <c:pt idx="51">
                  <c:v>10808.243850062074</c:v>
                </c:pt>
                <c:pt idx="52">
                  <c:v>10530.59242374325</c:v>
                </c:pt>
                <c:pt idx="53">
                  <c:v>11279.036269727767</c:v>
                </c:pt>
                <c:pt idx="54">
                  <c:v>10829.680256925833</c:v>
                </c:pt>
                <c:pt idx="55">
                  <c:v>10853.080397520112</c:v>
                </c:pt>
                <c:pt idx="56">
                  <c:v>10882.780765621652</c:v>
                </c:pt>
                <c:pt idx="57">
                  <c:v>10574.441380147771</c:v>
                </c:pt>
                <c:pt idx="58">
                  <c:v>10730.150156821852</c:v>
                </c:pt>
                <c:pt idx="59">
                  <c:v>10264.424929381217</c:v>
                </c:pt>
                <c:pt idx="60">
                  <c:v>10142.818106749512</c:v>
                </c:pt>
                <c:pt idx="61">
                  <c:v>9852.2634167910874</c:v>
                </c:pt>
                <c:pt idx="62">
                  <c:v>10101.675628391877</c:v>
                </c:pt>
                <c:pt idx="63">
                  <c:v>10138.725406619158</c:v>
                </c:pt>
                <c:pt idx="64">
                  <c:v>9831.8507393626696</c:v>
                </c:pt>
                <c:pt idx="65">
                  <c:v>10326.311335274921</c:v>
                </c:pt>
                <c:pt idx="66">
                  <c:v>9974.7400140895334</c:v>
                </c:pt>
                <c:pt idx="67">
                  <c:v>10077.91706292257</c:v>
                </c:pt>
                <c:pt idx="68">
                  <c:v>10113.912269491981</c:v>
                </c:pt>
                <c:pt idx="69">
                  <c:v>10300.631578281436</c:v>
                </c:pt>
                <c:pt idx="70">
                  <c:v>10561.267393775619</c:v>
                </c:pt>
                <c:pt idx="71">
                  <c:v>10940.650151280875</c:v>
                </c:pt>
                <c:pt idx="72">
                  <c:v>11046.234008913339</c:v>
                </c:pt>
                <c:pt idx="73">
                  <c:v>11053.94038152513</c:v>
                </c:pt>
                <c:pt idx="74">
                  <c:v>11167.05450385117</c:v>
                </c:pt>
                <c:pt idx="75">
                  <c:v>10771.792876172978</c:v>
                </c:pt>
                <c:pt idx="76">
                  <c:v>10583.771802660216</c:v>
                </c:pt>
                <c:pt idx="77">
                  <c:v>9977.7720715345458</c:v>
                </c:pt>
                <c:pt idx="78">
                  <c:v>9772.3772243320273</c:v>
                </c:pt>
                <c:pt idx="79">
                  <c:v>9855.657212280883</c:v>
                </c:pt>
                <c:pt idx="80">
                  <c:v>9625.0322679585697</c:v>
                </c:pt>
                <c:pt idx="81">
                  <c:v>9835.6173338573681</c:v>
                </c:pt>
                <c:pt idx="82">
                  <c:v>9781.252315853344</c:v>
                </c:pt>
                <c:pt idx="83">
                  <c:v>9709.8581237246362</c:v>
                </c:pt>
                <c:pt idx="84">
                  <c:v>10236.186999367876</c:v>
                </c:pt>
                <c:pt idx="85">
                  <c:v>10107.203395055902</c:v>
                </c:pt>
                <c:pt idx="86">
                  <c:v>10106.356102480266</c:v>
                </c:pt>
                <c:pt idx="87">
                  <c:v>10110.077943321978</c:v>
                </c:pt>
                <c:pt idx="88">
                  <c:v>10133.278100909738</c:v>
                </c:pt>
                <c:pt idx="89">
                  <c:v>9850.1257445879601</c:v>
                </c:pt>
                <c:pt idx="90">
                  <c:v>9975.2637287610669</c:v>
                </c:pt>
                <c:pt idx="91">
                  <c:v>10370.388642079446</c:v>
                </c:pt>
                <c:pt idx="92">
                  <c:v>10097.821225210986</c:v>
                </c:pt>
                <c:pt idx="93">
                  <c:v>10116.682920770545</c:v>
                </c:pt>
                <c:pt idx="94">
                  <c:v>10049.496036713485</c:v>
                </c:pt>
                <c:pt idx="95">
                  <c:v>9545.4459737229845</c:v>
                </c:pt>
                <c:pt idx="96">
                  <c:v>9594.7778519373569</c:v>
                </c:pt>
                <c:pt idx="97">
                  <c:v>9679.1299546312475</c:v>
                </c:pt>
                <c:pt idx="98">
                  <c:v>9509.1918407206485</c:v>
                </c:pt>
                <c:pt idx="99">
                  <c:v>9564.624104766961</c:v>
                </c:pt>
                <c:pt idx="100">
                  <c:v>9872.8534387608051</c:v>
                </c:pt>
                <c:pt idx="101">
                  <c:v>9799.5837201995</c:v>
                </c:pt>
                <c:pt idx="102">
                  <c:v>10097.696650048694</c:v>
                </c:pt>
                <c:pt idx="103">
                  <c:v>10058.244152458636</c:v>
                </c:pt>
                <c:pt idx="104">
                  <c:v>10021.97845411341</c:v>
                </c:pt>
                <c:pt idx="105">
                  <c:v>10110.467726865725</c:v>
                </c:pt>
                <c:pt idx="106">
                  <c:v>10400.339350938257</c:v>
                </c:pt>
                <c:pt idx="107">
                  <c:v>10622.237285852791</c:v>
                </c:pt>
                <c:pt idx="108">
                  <c:v>10158.016269957418</c:v>
                </c:pt>
                <c:pt idx="109">
                  <c:v>9830.6137349304518</c:v>
                </c:pt>
                <c:pt idx="110">
                  <c:v>10082.63475722572</c:v>
                </c:pt>
                <c:pt idx="111">
                  <c:v>10348.685317564905</c:v>
                </c:pt>
                <c:pt idx="112">
                  <c:v>10661.211429898005</c:v>
                </c:pt>
                <c:pt idx="113">
                  <c:v>10890.530647530866</c:v>
                </c:pt>
                <c:pt idx="114">
                  <c:v>10857.933536558357</c:v>
                </c:pt>
                <c:pt idx="115">
                  <c:v>10964.237116861515</c:v>
                </c:pt>
                <c:pt idx="116">
                  <c:v>10463.279391541793</c:v>
                </c:pt>
                <c:pt idx="117">
                  <c:v>10775.884337990621</c:v>
                </c:pt>
                <c:pt idx="118">
                  <c:v>10775.884337990621</c:v>
                </c:pt>
                <c:pt idx="119">
                  <c:v>10775.884337990621</c:v>
                </c:pt>
                <c:pt idx="120">
                  <c:v>10775.884337990621</c:v>
                </c:pt>
                <c:pt idx="121">
                  <c:v>10775.884337990621</c:v>
                </c:pt>
                <c:pt idx="122">
                  <c:v>10775.884337990621</c:v>
                </c:pt>
                <c:pt idx="123">
                  <c:v>10775.884337990621</c:v>
                </c:pt>
                <c:pt idx="124">
                  <c:v>10775.884337990621</c:v>
                </c:pt>
              </c:numCache>
            </c:numRef>
          </c:val>
          <c:smooth val="0"/>
          <c:extLst>
            <c:ext xmlns:c16="http://schemas.microsoft.com/office/drawing/2014/chart" uri="{C3380CC4-5D6E-409C-BE32-E72D297353CC}">
              <c16:uniqueId val="{00000001-441E-4509-AFCB-B5D1DCB2D2C0}"/>
            </c:ext>
          </c:extLst>
        </c:ser>
        <c:dLbls>
          <c:showLegendKey val="0"/>
          <c:showVal val="0"/>
          <c:showCatName val="0"/>
          <c:showSerName val="0"/>
          <c:showPercent val="0"/>
          <c:showBubbleSize val="0"/>
        </c:dLbls>
        <c:smooth val="0"/>
        <c:axId val="2146000144"/>
        <c:axId val="2146001584"/>
      </c:lineChart>
      <c:catAx>
        <c:axId val="2146000144"/>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2146001584"/>
        <c:crosses val="autoZero"/>
        <c:auto val="1"/>
        <c:lblAlgn val="ctr"/>
        <c:lblOffset val="100"/>
        <c:noMultiLvlLbl val="0"/>
      </c:catAx>
      <c:valAx>
        <c:axId val="2146001584"/>
        <c:scaling>
          <c:orientation val="minMax"/>
        </c:scaling>
        <c:delete val="0"/>
        <c:axPos val="l"/>
        <c:numFmt formatCode="0.00" sourceLinked="0"/>
        <c:majorTickMark val="out"/>
        <c:minorTickMark val="none"/>
        <c:tickLblPos val="nextTo"/>
        <c:txPr>
          <a:bodyPr/>
          <a:lstStyle/>
          <a:p>
            <a:pPr>
              <a:defRPr sz="800" b="0"/>
            </a:pPr>
            <a:endParaRPr lang="en-US"/>
          </a:p>
        </c:txPr>
        <c:crossAx val="2146000144"/>
        <c:crosses val="autoZero"/>
        <c:crossBetween val="between"/>
      </c:valAx>
    </c:plotArea>
    <c:legend>
      <c:legendPos val="r"/>
      <c:overlay val="0"/>
      <c:spPr>
        <a:ln>
          <a:solidFill>
            <a:srgbClr val="000000"/>
          </a:solidFill>
          <a:prstDash val="solid"/>
        </a:ln>
      </c:sp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Deseasonalized Observations</a:t>
            </a:r>
          </a:p>
        </c:rich>
      </c:tx>
      <c:overlay val="0"/>
    </c:title>
    <c:autoTitleDeleted val="0"/>
    <c:plotArea>
      <c:layout/>
      <c:lineChart>
        <c:grouping val="standard"/>
        <c:varyColors val="0"/>
        <c:ser>
          <c:idx val="0"/>
          <c:order val="0"/>
          <c:tx>
            <c:v>East</c:v>
          </c:tx>
          <c:spPr>
            <a:ln>
              <a:solidFill>
                <a:srgbClr val="333399"/>
              </a:solidFill>
              <a:prstDash val="solid"/>
            </a:ln>
          </c:spPr>
          <c:marker>
            <c:symbol val="none"/>
          </c:marker>
          <c:cat>
            <c:strRef>
              <c:f>'Expo.Smoothing Ds(East) a(3)'!$A$146:$A$270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'Expo.Smoothing Ds(East) a(3)'!$D$146:$D$270</c:f>
              <c:numCache>
                <c:formatCode>0.00</c:formatCode>
                <c:ptCount val="125"/>
                <c:pt idx="0">
                  <c:v>8145.242261508587</c:v>
                </c:pt>
                <c:pt idx="1">
                  <c:v>10416.446453608565</c:v>
                </c:pt>
                <c:pt idx="2">
                  <c:v>12823.374877466002</c:v>
                </c:pt>
                <c:pt idx="3">
                  <c:v>8132.5736898867053</c:v>
                </c:pt>
                <c:pt idx="4">
                  <c:v>11467.956753951106</c:v>
                </c:pt>
                <c:pt idx="5">
                  <c:v>11072.302866226855</c:v>
                </c:pt>
                <c:pt idx="6">
                  <c:v>10173.135204727409</c:v>
                </c:pt>
                <c:pt idx="7">
                  <c:v>13154.801260364744</c:v>
                </c:pt>
                <c:pt idx="8">
                  <c:v>12394.288572970971</c:v>
                </c:pt>
                <c:pt idx="9">
                  <c:v>11360.513533881589</c:v>
                </c:pt>
                <c:pt idx="10">
                  <c:v>10473.33579782507</c:v>
                </c:pt>
                <c:pt idx="11">
                  <c:v>9752.7846194837675</c:v>
                </c:pt>
                <c:pt idx="12">
                  <c:v>11110.641823219692</c:v>
                </c:pt>
                <c:pt idx="13">
                  <c:v>10517.966670631495</c:v>
                </c:pt>
                <c:pt idx="14">
                  <c:v>10378.929420378467</c:v>
                </c:pt>
                <c:pt idx="15">
                  <c:v>12637.271456287886</c:v>
                </c:pt>
                <c:pt idx="16">
                  <c:v>10386.799346074211</c:v>
                </c:pt>
                <c:pt idx="17">
                  <c:v>11816.899701000282</c:v>
                </c:pt>
                <c:pt idx="18">
                  <c:v>12045.469202257626</c:v>
                </c:pt>
                <c:pt idx="19">
                  <c:v>10118.378006667626</c:v>
                </c:pt>
                <c:pt idx="20">
                  <c:v>10537.286663765644</c:v>
                </c:pt>
                <c:pt idx="21">
                  <c:v>7521.2927179701583</c:v>
                </c:pt>
                <c:pt idx="22">
                  <c:v>12760.314810938829</c:v>
                </c:pt>
                <c:pt idx="23">
                  <c:v>11269.577794003175</c:v>
                </c:pt>
                <c:pt idx="24">
                  <c:v>13179.065656712371</c:v>
                </c:pt>
                <c:pt idx="25">
                  <c:v>11811.759203853955</c:v>
                </c:pt>
                <c:pt idx="26">
                  <c:v>9292.878245830063</c:v>
                </c:pt>
                <c:pt idx="27">
                  <c:v>10171.337765197584</c:v>
                </c:pt>
                <c:pt idx="28">
                  <c:v>10053.322350044627</c:v>
                </c:pt>
                <c:pt idx="29">
                  <c:v>10742.905061174768</c:v>
                </c:pt>
                <c:pt idx="30">
                  <c:v>8324.2957457762368</c:v>
                </c:pt>
                <c:pt idx="31">
                  <c:v>10925.664603128642</c:v>
                </c:pt>
                <c:pt idx="32">
                  <c:v>8817.3328659407853</c:v>
                </c:pt>
                <c:pt idx="33">
                  <c:v>12009.923614968262</c:v>
                </c:pt>
                <c:pt idx="34">
                  <c:v>10299.972910978191</c:v>
                </c:pt>
                <c:pt idx="35">
                  <c:v>11764.059268638008</c:v>
                </c:pt>
                <c:pt idx="36">
                  <c:v>10962.426739609549</c:v>
                </c:pt>
                <c:pt idx="37">
                  <c:v>8064.954915123948</c:v>
                </c:pt>
                <c:pt idx="38">
                  <c:v>10019.126533805345</c:v>
                </c:pt>
                <c:pt idx="39">
                  <c:v>10303.167622698889</c:v>
                </c:pt>
                <c:pt idx="40">
                  <c:v>10243.606053830961</c:v>
                </c:pt>
                <c:pt idx="41">
                  <c:v>11300.119911038328</c:v>
                </c:pt>
                <c:pt idx="42">
                  <c:v>9819.8134899425077</c:v>
                </c:pt>
                <c:pt idx="43">
                  <c:v>10263.954278160596</c:v>
                </c:pt>
                <c:pt idx="44">
                  <c:v>10166.400212342256</c:v>
                </c:pt>
                <c:pt idx="45">
                  <c:v>9084.456086226859</c:v>
                </c:pt>
                <c:pt idx="46">
                  <c:v>10749.506908267189</c:v>
                </c:pt>
                <c:pt idx="47">
                  <c:v>9203.1052127966741</c:v>
                </c:pt>
                <c:pt idx="48">
                  <c:v>10126.932823851625</c:v>
                </c:pt>
                <c:pt idx="49">
                  <c:v>10789.474227785844</c:v>
                </c:pt>
                <c:pt idx="50">
                  <c:v>12859.908709025734</c:v>
                </c:pt>
                <c:pt idx="51">
                  <c:v>9634.8209032736686</c:v>
                </c:pt>
                <c:pt idx="52">
                  <c:v>13693.699470967009</c:v>
                </c:pt>
                <c:pt idx="53">
                  <c:v>9379.9476761987717</c:v>
                </c:pt>
                <c:pt idx="54">
                  <c:v>10928.574983653692</c:v>
                </c:pt>
                <c:pt idx="55">
                  <c:v>10978.601429126085</c:v>
                </c:pt>
                <c:pt idx="56">
                  <c:v>9579.6629854946332</c:v>
                </c:pt>
                <c:pt idx="57">
                  <c:v>11232.504815975082</c:v>
                </c:pt>
                <c:pt idx="58">
                  <c:v>8761.8812520925148</c:v>
                </c:pt>
                <c:pt idx="59">
                  <c:v>9750.4847056482558</c:v>
                </c:pt>
                <c:pt idx="60">
                  <c:v>8914.8628067731133</c:v>
                </c:pt>
                <c:pt idx="61">
                  <c:v>10906.340524126193</c:v>
                </c:pt>
                <c:pt idx="62">
                  <c:v>10258.257067650866</c:v>
                </c:pt>
                <c:pt idx="63">
                  <c:v>8841.797884506128</c:v>
                </c:pt>
                <c:pt idx="64">
                  <c:v>11921.562350855902</c:v>
                </c:pt>
                <c:pt idx="65">
                  <c:v>8840.4848038529908</c:v>
                </c:pt>
                <c:pt idx="66">
                  <c:v>10410.791498815461</c:v>
                </c:pt>
                <c:pt idx="67">
                  <c:v>10230.041624005984</c:v>
                </c:pt>
                <c:pt idx="68">
                  <c:v>10903.033811012267</c:v>
                </c:pt>
                <c:pt idx="69">
                  <c:v>11402.142385233299</c:v>
                </c:pt>
                <c:pt idx="70">
                  <c:v>12164.631868342869</c:v>
                </c:pt>
                <c:pt idx="71">
                  <c:v>11386.873399614227</c:v>
                </c:pt>
                <c:pt idx="72">
                  <c:v>11078.803027481217</c:v>
                </c:pt>
                <c:pt idx="73">
                  <c:v>11531.988373220996</c:v>
                </c:pt>
                <c:pt idx="74">
                  <c:v>9496.5820339206912</c:v>
                </c:pt>
                <c:pt idx="75">
                  <c:v>9977.1697580251202</c:v>
                </c:pt>
                <c:pt idx="76">
                  <c:v>8022.6684808500668</c:v>
                </c:pt>
                <c:pt idx="77">
                  <c:v>9109.7231295392758</c:v>
                </c:pt>
                <c:pt idx="78">
                  <c:v>10124.338855370925</c:v>
                </c:pt>
                <c:pt idx="79">
                  <c:v>8880.9796989773804</c:v>
                </c:pt>
                <c:pt idx="80">
                  <c:v>10515.016345666319</c:v>
                </c:pt>
                <c:pt idx="81">
                  <c:v>9605.8574494070235</c:v>
                </c:pt>
                <c:pt idx="82">
                  <c:v>9479.5229697377326</c:v>
                </c:pt>
                <c:pt idx="83">
                  <c:v>11934.252892465811</c:v>
                </c:pt>
                <c:pt idx="84">
                  <c:v>9691.0706890869787</c:v>
                </c:pt>
                <c:pt idx="85">
                  <c:v>10103.622529061164</c:v>
                </c:pt>
                <c:pt idx="86">
                  <c:v>10122.0855136555</c:v>
                </c:pt>
                <c:pt idx="87">
                  <c:v>10208.127492872367</c:v>
                </c:pt>
                <c:pt idx="88">
                  <c:v>8936.6068763086696</c:v>
                </c:pt>
                <c:pt idx="89">
                  <c:v>10378.989522060338</c:v>
                </c:pt>
                <c:pt idx="90">
                  <c:v>11645.158410314631</c:v>
                </c:pt>
                <c:pt idx="91">
                  <c:v>9218.4519647110847</c:v>
                </c:pt>
                <c:pt idx="92">
                  <c:v>10177.535371391919</c:v>
                </c:pt>
                <c:pt idx="93">
                  <c:v>9832.7346892738424</c:v>
                </c:pt>
                <c:pt idx="94">
                  <c:v>7919.2569881158279</c:v>
                </c:pt>
                <c:pt idx="95">
                  <c:v>9753.9345764015234</c:v>
                </c:pt>
                <c:pt idx="96">
                  <c:v>9951.2705025358991</c:v>
                </c:pt>
                <c:pt idx="97">
                  <c:v>8960.9298537332979</c:v>
                </c:pt>
                <c:pt idx="98">
                  <c:v>9743.462168400094</c:v>
                </c:pt>
                <c:pt idx="99">
                  <c:v>10867.276780378892</c:v>
                </c:pt>
                <c:pt idx="100">
                  <c:v>9563.1976584737677</c:v>
                </c:pt>
                <c:pt idx="101">
                  <c:v>11059.481993575127</c:v>
                </c:pt>
                <c:pt idx="102">
                  <c:v>9930.9607301433844</c:v>
                </c:pt>
                <c:pt idx="103">
                  <c:v>9904.9764268654308</c:v>
                </c:pt>
                <c:pt idx="104">
                  <c:v>10395.955798904539</c:v>
                </c:pt>
                <c:pt idx="105">
                  <c:v>11335.536223070563</c:v>
                </c:pt>
                <c:pt idx="106">
                  <c:v>11338.134384537985</c:v>
                </c:pt>
                <c:pt idx="107">
                  <c:v>8660.3255476161121</c:v>
                </c:pt>
                <c:pt idx="108">
                  <c:v>8774.3329497205323</c:v>
                </c:pt>
                <c:pt idx="109">
                  <c:v>10895.716315367979</c:v>
                </c:pt>
                <c:pt idx="110">
                  <c:v>11207.029602399063</c:v>
                </c:pt>
                <c:pt idx="111">
                  <c:v>11669.497231065128</c:v>
                </c:pt>
                <c:pt idx="112">
                  <c:v>11630.370622334392</c:v>
                </c:pt>
                <c:pt idx="113">
                  <c:v>10752.767270906867</c:v>
                </c:pt>
                <c:pt idx="114">
                  <c:v>11307.198509216028</c:v>
                </c:pt>
                <c:pt idx="115">
                  <c:v>8847.0670448227684</c:v>
                </c:pt>
                <c:pt idx="116">
                  <c:v>11784.424477327893</c:v>
                </c:pt>
              </c:numCache>
            </c:numRef>
          </c:val>
          <c:smooth val="0"/>
          <c:extLst>
            <c:ext xmlns:c16="http://schemas.microsoft.com/office/drawing/2014/chart" uri="{C3380CC4-5D6E-409C-BE32-E72D297353CC}">
              <c16:uniqueId val="{00000000-3C9D-4BEC-8E2D-005B531F3623}"/>
            </c:ext>
          </c:extLst>
        </c:ser>
        <c:dLbls>
          <c:showLegendKey val="0"/>
          <c:showVal val="0"/>
          <c:showCatName val="0"/>
          <c:showSerName val="0"/>
          <c:showPercent val="0"/>
          <c:showBubbleSize val="0"/>
        </c:dLbls>
        <c:smooth val="0"/>
        <c:axId val="2146002064"/>
        <c:axId val="2005047968"/>
      </c:lineChart>
      <c:catAx>
        <c:axId val="2146002064"/>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2005047968"/>
        <c:crosses val="autoZero"/>
        <c:auto val="1"/>
        <c:lblAlgn val="ctr"/>
        <c:lblOffset val="100"/>
        <c:noMultiLvlLbl val="0"/>
      </c:catAx>
      <c:valAx>
        <c:axId val="2005047968"/>
        <c:scaling>
          <c:orientation val="minMax"/>
        </c:scaling>
        <c:delete val="0"/>
        <c:axPos val="l"/>
        <c:numFmt formatCode="0.00" sourceLinked="0"/>
        <c:majorTickMark val="out"/>
        <c:minorTickMark val="none"/>
        <c:tickLblPos val="nextTo"/>
        <c:txPr>
          <a:bodyPr/>
          <a:lstStyle/>
          <a:p>
            <a:pPr>
              <a:defRPr sz="800" b="0"/>
            </a:pPr>
            <a:endParaRPr lang="en-US"/>
          </a:p>
        </c:txPr>
        <c:crossAx val="2146002064"/>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Deseasonalized Errors</a:t>
            </a:r>
          </a:p>
        </c:rich>
      </c:tx>
      <c:overlay val="0"/>
    </c:title>
    <c:autoTitleDeleted val="0"/>
    <c:plotArea>
      <c:layout/>
      <c:lineChart>
        <c:grouping val="standard"/>
        <c:varyColors val="0"/>
        <c:ser>
          <c:idx val="0"/>
          <c:order val="0"/>
          <c:tx>
            <c:v>Deseasonalized Errors</c:v>
          </c:tx>
          <c:spPr>
            <a:ln>
              <a:solidFill>
                <a:srgbClr val="333399"/>
              </a:solidFill>
              <a:prstDash val="solid"/>
            </a:ln>
          </c:spPr>
          <c:marker>
            <c:symbol val="none"/>
          </c:marker>
          <c:cat>
            <c:strRef>
              <c:f>'Expo.Smoothing Ds(East) a(3)'!$A$146:$A$270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'Expo.Smoothing Ds(East) a(3)'!$G$147:$G$270</c:f>
              <c:numCache>
                <c:formatCode>0.00</c:formatCode>
                <c:ptCount val="124"/>
                <c:pt idx="0">
                  <c:v>2271.2041920999782</c:v>
                </c:pt>
                <c:pt idx="1">
                  <c:v>4140.7278505880513</c:v>
                </c:pt>
                <c:pt idx="2">
                  <c:v>-1529.8385587814428</c:v>
                </c:pt>
                <c:pt idx="3">
                  <c:v>2167.5298056776282</c:v>
                </c:pt>
                <c:pt idx="4">
                  <c:v>1259.0022403232451</c:v>
                </c:pt>
                <c:pt idx="5">
                  <c:v>61.933665328728239</c:v>
                </c:pt>
                <c:pt idx="6">
                  <c:v>3028.9451835183863</c:v>
                </c:pt>
                <c:pt idx="7">
                  <c:v>1551.7335831306591</c:v>
                </c:pt>
                <c:pt idx="8">
                  <c:v>150.79251596739778</c:v>
                </c:pt>
                <c:pt idx="9">
                  <c:v>-772.06524258326317</c:v>
                </c:pt>
                <c:pt idx="10">
                  <c:v>-1309.9329167361248</c:v>
                </c:pt>
                <c:pt idx="11">
                  <c:v>357.87624738134946</c:v>
                </c:pt>
                <c:pt idx="12">
                  <c:v>-319.47838995956772</c:v>
                </c:pt>
                <c:pt idx="13">
                  <c:v>-382.92172849211056</c:v>
                </c:pt>
                <c:pt idx="14">
                  <c:v>1966.0259704267901</c:v>
                </c:pt>
                <c:pt idx="15">
                  <c:v>-749.64065158918493</c:v>
                </c:pt>
                <c:pt idx="16">
                  <c:v>857.83717555180556</c:v>
                </c:pt>
                <c:pt idx="17">
                  <c:v>883.4281037437795</c:v>
                </c:pt>
                <c:pt idx="18">
                  <c:v>-1252.6969050385778</c:v>
                </c:pt>
                <c:pt idx="19">
                  <c:v>-537.37928186308454</c:v>
                </c:pt>
                <c:pt idx="20">
                  <c:v>-3426.2203332211193</c:v>
                </c:pt>
                <c:pt idx="21">
                  <c:v>2623.5025944338358</c:v>
                </c:pt>
                <c:pt idx="22">
                  <c:v>512.00113847870125</c:v>
                </c:pt>
                <c:pt idx="23">
                  <c:v>2300.3409984455338</c:v>
                </c:pt>
                <c:pt idx="24">
                  <c:v>388.7355262214769</c:v>
                </c:pt>
                <c:pt idx="25">
                  <c:v>-2222.12673625159</c:v>
                </c:pt>
                <c:pt idx="26">
                  <c:v>-817.87499552852205</c:v>
                </c:pt>
                <c:pt idx="27">
                  <c:v>-742.36755544798143</c:v>
                </c:pt>
                <c:pt idx="28">
                  <c:v>122.8716921314317</c:v>
                </c:pt>
                <c:pt idx="29">
                  <c:v>-2324.8111134931696</c:v>
                </c:pt>
                <c:pt idx="30">
                  <c:v>826.64680028164003</c:v>
                </c:pt>
                <c:pt idx="31">
                  <c:v>-1477.2833473414921</c:v>
                </c:pt>
                <c:pt idx="32">
                  <c:v>2064.8572631311035</c:v>
                </c:pt>
                <c:pt idx="33">
                  <c:v>-133.6730837083378</c:v>
                </c:pt>
                <c:pt idx="34">
                  <c:v>1362.0425534483875</c:v>
                </c:pt>
                <c:pt idx="35">
                  <c:v>238.12805549566656</c:v>
                </c:pt>
                <c:pt idx="36">
                  <c:v>-2715.6888357332246</c:v>
                </c:pt>
                <c:pt idx="37">
                  <c:v>-118.93997689887692</c:v>
                </c:pt>
                <c:pt idx="38">
                  <c:v>193.24429286792838</c:v>
                </c:pt>
                <c:pt idx="39">
                  <c:v>87.957903559421538</c:v>
                </c:pt>
                <c:pt idx="40">
                  <c:v>1123.6594548151043</c:v>
                </c:pt>
                <c:pt idx="41">
                  <c:v>-622.52352100459757</c:v>
                </c:pt>
                <c:pt idx="42">
                  <c:v>-31.083292293200429</c:v>
                </c:pt>
                <c:pt idx="43">
                  <c:v>-121.28253309851971</c:v>
                </c:pt>
                <c:pt idx="44">
                  <c:v>-1174.5291905010981</c:v>
                </c:pt>
                <c:pt idx="45">
                  <c:v>768.43481355792937</c:v>
                </c:pt>
                <c:pt idx="46">
                  <c:v>-959.79136608629597</c:v>
                </c:pt>
                <c:pt idx="47">
                  <c:v>191.13887875616638</c:v>
                </c:pt>
                <c:pt idx="48">
                  <c:v>808.4536383189934</c:v>
                </c:pt>
                <c:pt idx="49">
                  <c:v>2687.5945144642592</c:v>
                </c:pt>
                <c:pt idx="50">
                  <c:v>-1173.4229467884052</c:v>
                </c:pt>
                <c:pt idx="51">
                  <c:v>3163.1070472237589</c:v>
                </c:pt>
                <c:pt idx="52">
                  <c:v>-1899.0885935289953</c:v>
                </c:pt>
                <c:pt idx="53">
                  <c:v>98.894726727859961</c:v>
                </c:pt>
                <c:pt idx="54">
                  <c:v>125.52103160597289</c:v>
                </c:pt>
                <c:pt idx="55">
                  <c:v>-1303.1177801270187</c:v>
                </c:pt>
                <c:pt idx="56">
                  <c:v>658.06343582731097</c:v>
                </c:pt>
                <c:pt idx="57">
                  <c:v>-1968.268904729337</c:v>
                </c:pt>
                <c:pt idx="58">
                  <c:v>-513.94022373296139</c:v>
                </c:pt>
                <c:pt idx="59">
                  <c:v>-1227.9552999763982</c:v>
                </c:pt>
                <c:pt idx="60">
                  <c:v>1054.0771073351061</c:v>
                </c:pt>
                <c:pt idx="61">
                  <c:v>156.58143925898912</c:v>
                </c:pt>
                <c:pt idx="62">
                  <c:v>-1296.9275221130301</c:v>
                </c:pt>
                <c:pt idx="63">
                  <c:v>2089.7116114932323</c:v>
                </c:pt>
                <c:pt idx="64">
                  <c:v>-1485.8265314219298</c:v>
                </c:pt>
                <c:pt idx="65">
                  <c:v>436.05148472592737</c:v>
                </c:pt>
                <c:pt idx="66">
                  <c:v>152.12456108341394</c:v>
                </c:pt>
                <c:pt idx="67">
                  <c:v>789.12154152028597</c:v>
                </c:pt>
                <c:pt idx="68">
                  <c:v>1101.5108069518628</c:v>
                </c:pt>
                <c:pt idx="69">
                  <c:v>1603.36447456725</c:v>
                </c:pt>
                <c:pt idx="70">
                  <c:v>446.22324833335188</c:v>
                </c:pt>
                <c:pt idx="71">
                  <c:v>32.56901856787772</c:v>
                </c:pt>
                <c:pt idx="72">
                  <c:v>478.04799169586659</c:v>
                </c:pt>
                <c:pt idx="73">
                  <c:v>-1670.4724699304788</c:v>
                </c:pt>
                <c:pt idx="74">
                  <c:v>-794.62311814785789</c:v>
                </c:pt>
                <c:pt idx="75">
                  <c:v>-2561.1033218101493</c:v>
                </c:pt>
                <c:pt idx="76">
                  <c:v>-868.04894199527007</c:v>
                </c:pt>
                <c:pt idx="77">
                  <c:v>351.96163103889739</c:v>
                </c:pt>
                <c:pt idx="78">
                  <c:v>-974.67751330350256</c:v>
                </c:pt>
                <c:pt idx="79">
                  <c:v>889.98407770774975</c:v>
                </c:pt>
                <c:pt idx="80">
                  <c:v>-229.75988445034454</c:v>
                </c:pt>
                <c:pt idx="81">
                  <c:v>-301.72934611561141</c:v>
                </c:pt>
                <c:pt idx="82">
                  <c:v>2224.3947687411746</c:v>
                </c:pt>
                <c:pt idx="83">
                  <c:v>-545.11631028089687</c:v>
                </c:pt>
                <c:pt idx="84">
                  <c:v>-3.5808659947379056</c:v>
                </c:pt>
                <c:pt idx="85">
                  <c:v>15.729411175234418</c:v>
                </c:pt>
                <c:pt idx="86">
                  <c:v>98.049549550389202</c:v>
                </c:pt>
                <c:pt idx="87">
                  <c:v>-1196.6712246010684</c:v>
                </c:pt>
                <c:pt idx="88">
                  <c:v>528.86377747237748</c:v>
                </c:pt>
                <c:pt idx="89">
                  <c:v>1669.8946815535637</c:v>
                </c:pt>
                <c:pt idx="90">
                  <c:v>-1151.9366773683614</c:v>
                </c:pt>
                <c:pt idx="91">
                  <c:v>79.714146180933312</c:v>
                </c:pt>
                <c:pt idx="92">
                  <c:v>-283.94823149670265</c:v>
                </c:pt>
                <c:pt idx="93">
                  <c:v>-2130.2390485976566</c:v>
                </c:pt>
                <c:pt idx="94">
                  <c:v>208.48860267853888</c:v>
                </c:pt>
                <c:pt idx="95">
                  <c:v>356.49265059854224</c:v>
                </c:pt>
                <c:pt idx="96">
                  <c:v>-718.2001008979496</c:v>
                </c:pt>
                <c:pt idx="97">
                  <c:v>234.27032767944547</c:v>
                </c:pt>
                <c:pt idx="98">
                  <c:v>1302.652675611931</c:v>
                </c:pt>
                <c:pt idx="99">
                  <c:v>-309.65578028703749</c:v>
                </c:pt>
                <c:pt idx="100">
                  <c:v>1259.8982733756275</c:v>
                </c:pt>
                <c:pt idx="101">
                  <c:v>-166.73591990530986</c:v>
                </c:pt>
                <c:pt idx="102">
                  <c:v>-153.26772559320489</c:v>
                </c:pt>
                <c:pt idx="103">
                  <c:v>373.97734479112842</c:v>
                </c:pt>
                <c:pt idx="104">
                  <c:v>1225.0684962048381</c:v>
                </c:pt>
                <c:pt idx="105">
                  <c:v>937.79503359972841</c:v>
                </c:pt>
                <c:pt idx="106">
                  <c:v>-1961.9117382366785</c:v>
                </c:pt>
                <c:pt idx="107">
                  <c:v>-1383.6833202368853</c:v>
                </c:pt>
                <c:pt idx="108">
                  <c:v>1065.1025804375276</c:v>
                </c:pt>
                <c:pt idx="109">
                  <c:v>1124.3948451733431</c:v>
                </c:pt>
                <c:pt idx="110">
                  <c:v>1320.8119135002235</c:v>
                </c:pt>
                <c:pt idx="111">
                  <c:v>969.15919243638746</c:v>
                </c:pt>
                <c:pt idx="112">
                  <c:v>-137.76337662399965</c:v>
                </c:pt>
                <c:pt idx="113">
                  <c:v>449.26497265767102</c:v>
                </c:pt>
                <c:pt idx="114">
                  <c:v>-2117.1700720387471</c:v>
                </c:pt>
                <c:pt idx="115">
                  <c:v>1321.1450857861</c:v>
                </c:pt>
              </c:numCache>
            </c:numRef>
          </c:val>
          <c:smooth val="0"/>
          <c:extLst>
            <c:ext xmlns:c16="http://schemas.microsoft.com/office/drawing/2014/chart" uri="{C3380CC4-5D6E-409C-BE32-E72D297353CC}">
              <c16:uniqueId val="{00000000-9335-48C7-B981-BFA56710F63F}"/>
            </c:ext>
          </c:extLst>
        </c:ser>
        <c:dLbls>
          <c:showLegendKey val="0"/>
          <c:showVal val="0"/>
          <c:showCatName val="0"/>
          <c:showSerName val="0"/>
          <c:showPercent val="0"/>
          <c:showBubbleSize val="0"/>
        </c:dLbls>
        <c:smooth val="0"/>
        <c:axId val="2005044608"/>
        <c:axId val="2005047008"/>
      </c:lineChart>
      <c:catAx>
        <c:axId val="2005044608"/>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2005047008"/>
        <c:crosses val="autoZero"/>
        <c:auto val="1"/>
        <c:lblAlgn val="ctr"/>
        <c:lblOffset val="100"/>
        <c:noMultiLvlLbl val="0"/>
      </c:catAx>
      <c:valAx>
        <c:axId val="2005047008"/>
        <c:scaling>
          <c:orientation val="minMax"/>
        </c:scaling>
        <c:delete val="0"/>
        <c:axPos val="l"/>
        <c:numFmt formatCode="0.00" sourceLinked="0"/>
        <c:majorTickMark val="out"/>
        <c:minorTickMark val="none"/>
        <c:tickLblPos val="nextTo"/>
        <c:txPr>
          <a:bodyPr/>
          <a:lstStyle/>
          <a:p>
            <a:pPr>
              <a:defRPr sz="800" b="0"/>
            </a:pPr>
            <a:endParaRPr lang="en-US"/>
          </a:p>
        </c:txPr>
        <c:crossAx val="2005044608"/>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Forecast and Original Observations</a:t>
            </a:r>
          </a:p>
        </c:rich>
      </c:tx>
      <c:overlay val="0"/>
    </c:title>
    <c:autoTitleDeleted val="0"/>
    <c:plotArea>
      <c:layout/>
      <c:lineChart>
        <c:grouping val="standard"/>
        <c:varyColors val="0"/>
        <c:ser>
          <c:idx val="0"/>
          <c:order val="0"/>
          <c:tx>
            <c:v>East</c:v>
          </c:tx>
          <c:spPr>
            <a:ln>
              <a:solidFill>
                <a:srgbClr val="333399"/>
              </a:solidFill>
              <a:prstDash val="solid"/>
            </a:ln>
          </c:spPr>
          <c:marker>
            <c:symbol val="none"/>
          </c:marker>
          <c:cat>
            <c:strRef>
              <c:f>'Winters(East)'!$A$85:$A$209</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'Winters(East)'!$B$85:$B$209</c:f>
              <c:numCache>
                <c:formatCode>0.00</c:formatCode>
                <c:ptCount val="125"/>
                <c:pt idx="0">
                  <c:v>7419</c:v>
                </c:pt>
                <c:pt idx="1">
                  <c:v>8824</c:v>
                </c:pt>
                <c:pt idx="2">
                  <c:v>11583</c:v>
                </c:pt>
                <c:pt idx="3">
                  <c:v>7958</c:v>
                </c:pt>
                <c:pt idx="4">
                  <c:v>11933</c:v>
                </c:pt>
                <c:pt idx="5">
                  <c:v>11227</c:v>
                </c:pt>
                <c:pt idx="6">
                  <c:v>11258</c:v>
                </c:pt>
                <c:pt idx="7">
                  <c:v>15904</c:v>
                </c:pt>
                <c:pt idx="8">
                  <c:v>14470</c:v>
                </c:pt>
                <c:pt idx="9">
                  <c:v>10916</c:v>
                </c:pt>
                <c:pt idx="10">
                  <c:v>10391</c:v>
                </c:pt>
                <c:pt idx="11">
                  <c:v>8481</c:v>
                </c:pt>
                <c:pt idx="12">
                  <c:v>10120</c:v>
                </c:pt>
                <c:pt idx="13">
                  <c:v>8910</c:v>
                </c:pt>
                <c:pt idx="14">
                  <c:v>9375</c:v>
                </c:pt>
                <c:pt idx="15">
                  <c:v>12366</c:v>
                </c:pt>
                <c:pt idx="16">
                  <c:v>10808</c:v>
                </c:pt>
                <c:pt idx="17">
                  <c:v>11982</c:v>
                </c:pt>
                <c:pt idx="18">
                  <c:v>13330</c:v>
                </c:pt>
                <c:pt idx="19">
                  <c:v>12233</c:v>
                </c:pt>
                <c:pt idx="20">
                  <c:v>12302</c:v>
                </c:pt>
                <c:pt idx="21">
                  <c:v>7227</c:v>
                </c:pt>
                <c:pt idx="22">
                  <c:v>12660</c:v>
                </c:pt>
                <c:pt idx="23">
                  <c:v>9800</c:v>
                </c:pt>
                <c:pt idx="24">
                  <c:v>12004</c:v>
                </c:pt>
                <c:pt idx="25">
                  <c:v>10006</c:v>
                </c:pt>
                <c:pt idx="26">
                  <c:v>8394</c:v>
                </c:pt>
                <c:pt idx="27">
                  <c:v>9953</c:v>
                </c:pt>
                <c:pt idx="28">
                  <c:v>10461</c:v>
                </c:pt>
                <c:pt idx="29">
                  <c:v>10893</c:v>
                </c:pt>
                <c:pt idx="30">
                  <c:v>9212</c:v>
                </c:pt>
                <c:pt idx="31">
                  <c:v>13209</c:v>
                </c:pt>
                <c:pt idx="32">
                  <c:v>10294</c:v>
                </c:pt>
                <c:pt idx="33">
                  <c:v>11540</c:v>
                </c:pt>
                <c:pt idx="34">
                  <c:v>10219</c:v>
                </c:pt>
                <c:pt idx="35">
                  <c:v>10230</c:v>
                </c:pt>
                <c:pt idx="36">
                  <c:v>9985</c:v>
                </c:pt>
                <c:pt idx="37">
                  <c:v>6832</c:v>
                </c:pt>
                <c:pt idx="38">
                  <c:v>9050</c:v>
                </c:pt>
                <c:pt idx="39">
                  <c:v>10082</c:v>
                </c:pt>
                <c:pt idx="40">
                  <c:v>10659</c:v>
                </c:pt>
                <c:pt idx="41">
                  <c:v>11458</c:v>
                </c:pt>
                <c:pt idx="42">
                  <c:v>10867</c:v>
                </c:pt>
                <c:pt idx="43">
                  <c:v>12409</c:v>
                </c:pt>
                <c:pt idx="44">
                  <c:v>11869</c:v>
                </c:pt>
                <c:pt idx="45">
                  <c:v>8729</c:v>
                </c:pt>
                <c:pt idx="46">
                  <c:v>10665</c:v>
                </c:pt>
                <c:pt idx="47">
                  <c:v>8003</c:v>
                </c:pt>
                <c:pt idx="48">
                  <c:v>9224</c:v>
                </c:pt>
                <c:pt idx="49">
                  <c:v>9140</c:v>
                </c:pt>
                <c:pt idx="50">
                  <c:v>11616</c:v>
                </c:pt>
                <c:pt idx="51">
                  <c:v>9428</c:v>
                </c:pt>
                <c:pt idx="52">
                  <c:v>14249</c:v>
                </c:pt>
                <c:pt idx="53">
                  <c:v>9511</c:v>
                </c:pt>
                <c:pt idx="54">
                  <c:v>12094</c:v>
                </c:pt>
                <c:pt idx="55">
                  <c:v>13273</c:v>
                </c:pt>
                <c:pt idx="56">
                  <c:v>11184</c:v>
                </c:pt>
                <c:pt idx="57">
                  <c:v>10793</c:v>
                </c:pt>
                <c:pt idx="58">
                  <c:v>8693</c:v>
                </c:pt>
                <c:pt idx="59">
                  <c:v>8479</c:v>
                </c:pt>
                <c:pt idx="60">
                  <c:v>8120</c:v>
                </c:pt>
                <c:pt idx="61">
                  <c:v>9239</c:v>
                </c:pt>
                <c:pt idx="62">
                  <c:v>9266</c:v>
                </c:pt>
                <c:pt idx="63">
                  <c:v>8652</c:v>
                </c:pt>
                <c:pt idx="64">
                  <c:v>12405</c:v>
                </c:pt>
                <c:pt idx="65">
                  <c:v>8964</c:v>
                </c:pt>
                <c:pt idx="66">
                  <c:v>11521</c:v>
                </c:pt>
                <c:pt idx="67">
                  <c:v>12368</c:v>
                </c:pt>
                <c:pt idx="68">
                  <c:v>12729</c:v>
                </c:pt>
                <c:pt idx="69">
                  <c:v>10956</c:v>
                </c:pt>
                <c:pt idx="70">
                  <c:v>12069</c:v>
                </c:pt>
                <c:pt idx="71">
                  <c:v>9902</c:v>
                </c:pt>
                <c:pt idx="72">
                  <c:v>10091</c:v>
                </c:pt>
                <c:pt idx="73">
                  <c:v>9769</c:v>
                </c:pt>
                <c:pt idx="74">
                  <c:v>8578</c:v>
                </c:pt>
                <c:pt idx="75">
                  <c:v>9763</c:v>
                </c:pt>
                <c:pt idx="76">
                  <c:v>8348</c:v>
                </c:pt>
                <c:pt idx="77">
                  <c:v>9237</c:v>
                </c:pt>
                <c:pt idx="78">
                  <c:v>11204</c:v>
                </c:pt>
                <c:pt idx="79">
                  <c:v>10737</c:v>
                </c:pt>
                <c:pt idx="80">
                  <c:v>12276</c:v>
                </c:pt>
                <c:pt idx="81">
                  <c:v>9230</c:v>
                </c:pt>
                <c:pt idx="82">
                  <c:v>9405</c:v>
                </c:pt>
                <c:pt idx="83">
                  <c:v>10378</c:v>
                </c:pt>
                <c:pt idx="84">
                  <c:v>8827</c:v>
                </c:pt>
                <c:pt idx="85">
                  <c:v>8559</c:v>
                </c:pt>
                <c:pt idx="86">
                  <c:v>9143</c:v>
                </c:pt>
                <c:pt idx="87">
                  <c:v>9989</c:v>
                </c:pt>
                <c:pt idx="88">
                  <c:v>9299</c:v>
                </c:pt>
                <c:pt idx="89">
                  <c:v>10524</c:v>
                </c:pt>
                <c:pt idx="90">
                  <c:v>12887</c:v>
                </c:pt>
                <c:pt idx="91">
                  <c:v>11145</c:v>
                </c:pt>
                <c:pt idx="92">
                  <c:v>11882</c:v>
                </c:pt>
                <c:pt idx="93">
                  <c:v>9448</c:v>
                </c:pt>
                <c:pt idx="94">
                  <c:v>7857</c:v>
                </c:pt>
                <c:pt idx="95">
                  <c:v>8482</c:v>
                </c:pt>
                <c:pt idx="96">
                  <c:v>9064</c:v>
                </c:pt>
                <c:pt idx="97">
                  <c:v>7591</c:v>
                </c:pt>
                <c:pt idx="98">
                  <c:v>8801</c:v>
                </c:pt>
                <c:pt idx="99">
                  <c:v>10634</c:v>
                </c:pt>
                <c:pt idx="100">
                  <c:v>9951</c:v>
                </c:pt>
                <c:pt idx="101">
                  <c:v>11214</c:v>
                </c:pt>
                <c:pt idx="102">
                  <c:v>10990</c:v>
                </c:pt>
                <c:pt idx="103">
                  <c:v>11975</c:v>
                </c:pt>
                <c:pt idx="104">
                  <c:v>12137</c:v>
                </c:pt>
                <c:pt idx="105">
                  <c:v>10892</c:v>
                </c:pt>
                <c:pt idx="106">
                  <c:v>11249</c:v>
                </c:pt>
                <c:pt idx="107">
                  <c:v>7531</c:v>
                </c:pt>
                <c:pt idx="108">
                  <c:v>7992</c:v>
                </c:pt>
                <c:pt idx="109">
                  <c:v>9230</c:v>
                </c:pt>
                <c:pt idx="110">
                  <c:v>10123</c:v>
                </c:pt>
                <c:pt idx="111">
                  <c:v>11419</c:v>
                </c:pt>
                <c:pt idx="112">
                  <c:v>12102</c:v>
                </c:pt>
                <c:pt idx="113">
                  <c:v>10903</c:v>
                </c:pt>
                <c:pt idx="114">
                  <c:v>12513</c:v>
                </c:pt>
                <c:pt idx="115">
                  <c:v>10696</c:v>
                </c:pt>
                <c:pt idx="116">
                  <c:v>13758</c:v>
                </c:pt>
              </c:numCache>
            </c:numRef>
          </c:val>
          <c:smooth val="0"/>
          <c:extLst>
            <c:ext xmlns:c16="http://schemas.microsoft.com/office/drawing/2014/chart" uri="{C3380CC4-5D6E-409C-BE32-E72D297353CC}">
              <c16:uniqueId val="{00000000-7854-462E-AD90-B6AC60AA192F}"/>
            </c:ext>
          </c:extLst>
        </c:ser>
        <c:ser>
          <c:idx val="1"/>
          <c:order val="1"/>
          <c:tx>
            <c:v>Forecast</c:v>
          </c:tx>
          <c:spPr>
            <a:ln>
              <a:solidFill>
                <a:srgbClr val="993366"/>
              </a:solidFill>
              <a:prstDash val="solid"/>
            </a:ln>
          </c:spPr>
          <c:marker>
            <c:symbol val="none"/>
          </c:marker>
          <c:cat>
            <c:strRef>
              <c:f>'Winters(East)'!$A$85:$A$209</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'Winters(East)'!$F$85:$F$209</c:f>
              <c:numCache>
                <c:formatCode>0.00</c:formatCode>
                <c:ptCount val="125"/>
                <c:pt idx="1">
                  <c:v>6926.3621528719705</c:v>
                </c:pt>
                <c:pt idx="2">
                  <c:v>7883.6942030054724</c:v>
                </c:pt>
                <c:pt idx="3">
                  <c:v>9502.1387484564602</c:v>
                </c:pt>
                <c:pt idx="4">
                  <c:v>9755.2198582091678</c:v>
                </c:pt>
                <c:pt idx="5">
                  <c:v>10030.640359386243</c:v>
                </c:pt>
                <c:pt idx="6">
                  <c:v>11285.150907836602</c:v>
                </c:pt>
                <c:pt idx="7">
                  <c:v>12359.575493812319</c:v>
                </c:pt>
                <c:pt idx="8">
                  <c:v>12766.727146761657</c:v>
                </c:pt>
                <c:pt idx="9">
                  <c:v>10863.071825380233</c:v>
                </c:pt>
                <c:pt idx="10">
                  <c:v>11260.110114687752</c:v>
                </c:pt>
                <c:pt idx="11">
                  <c:v>9719.4105801030673</c:v>
                </c:pt>
                <c:pt idx="12">
                  <c:v>9907.3003043084827</c:v>
                </c:pt>
                <c:pt idx="13">
                  <c:v>9286.5590964303483</c:v>
                </c:pt>
                <c:pt idx="14">
                  <c:v>9836.9120659575292</c:v>
                </c:pt>
                <c:pt idx="15">
                  <c:v>10570.705942604343</c:v>
                </c:pt>
                <c:pt idx="16">
                  <c:v>11716.585248598467</c:v>
                </c:pt>
                <c:pt idx="17">
                  <c:v>11243.121358109058</c:v>
                </c:pt>
                <c:pt idx="18">
                  <c:v>12492.435026277719</c:v>
                </c:pt>
                <c:pt idx="19">
                  <c:v>13898.009406268739</c:v>
                </c:pt>
                <c:pt idx="20">
                  <c:v>13083.511791368855</c:v>
                </c:pt>
                <c:pt idx="21">
                  <c:v>10648.636507007652</c:v>
                </c:pt>
                <c:pt idx="22">
                  <c:v>10205.131175044742</c:v>
                </c:pt>
                <c:pt idx="23">
                  <c:v>9471.65367015839</c:v>
                </c:pt>
                <c:pt idx="24">
                  <c:v>10029.085241886016</c:v>
                </c:pt>
                <c:pt idx="25">
                  <c:v>9780.6241402397973</c:v>
                </c:pt>
                <c:pt idx="26">
                  <c:v>10512.852234377126</c:v>
                </c:pt>
                <c:pt idx="27">
                  <c:v>10885.907819304912</c:v>
                </c:pt>
                <c:pt idx="28">
                  <c:v>11377.706418750131</c:v>
                </c:pt>
                <c:pt idx="29">
                  <c:v>10911.060184860004</c:v>
                </c:pt>
                <c:pt idx="30">
                  <c:v>11938.082327697091</c:v>
                </c:pt>
                <c:pt idx="31">
                  <c:v>12387.815081972944</c:v>
                </c:pt>
                <c:pt idx="32">
                  <c:v>12182.993772346252</c:v>
                </c:pt>
                <c:pt idx="33">
                  <c:v>9695.6965423855327</c:v>
                </c:pt>
                <c:pt idx="34">
                  <c:v>10484.508963186685</c:v>
                </c:pt>
                <c:pt idx="35">
                  <c:v>9162.5270838101096</c:v>
                </c:pt>
                <c:pt idx="36">
                  <c:v>9885.1748893765744</c:v>
                </c:pt>
                <c:pt idx="37">
                  <c:v>9241.5902164972904</c:v>
                </c:pt>
                <c:pt idx="38">
                  <c:v>9285.2883431726004</c:v>
                </c:pt>
                <c:pt idx="39">
                  <c:v>10030.162399560353</c:v>
                </c:pt>
                <c:pt idx="40">
                  <c:v>10711.026889772862</c:v>
                </c:pt>
                <c:pt idx="41">
                  <c:v>10457.182226276193</c:v>
                </c:pt>
                <c:pt idx="42">
                  <c:v>11701.08984399598</c:v>
                </c:pt>
                <c:pt idx="43">
                  <c:v>12609.154803074101</c:v>
                </c:pt>
                <c:pt idx="44">
                  <c:v>12167.578749544255</c:v>
                </c:pt>
                <c:pt idx="45">
                  <c:v>9987.1412938582598</c:v>
                </c:pt>
                <c:pt idx="46">
                  <c:v>10041.144760090809</c:v>
                </c:pt>
                <c:pt idx="47">
                  <c:v>8955.040289773955</c:v>
                </c:pt>
                <c:pt idx="48">
                  <c:v>9176.3718794007873</c:v>
                </c:pt>
                <c:pt idx="49">
                  <c:v>8571.0913134806506</c:v>
                </c:pt>
                <c:pt idx="50">
                  <c:v>9308.2556787105859</c:v>
                </c:pt>
                <c:pt idx="51">
                  <c:v>10695.134762804466</c:v>
                </c:pt>
                <c:pt idx="52">
                  <c:v>11092.265009291346</c:v>
                </c:pt>
                <c:pt idx="53">
                  <c:v>11555.176696548162</c:v>
                </c:pt>
                <c:pt idx="54">
                  <c:v>12127.284936168935</c:v>
                </c:pt>
                <c:pt idx="55">
                  <c:v>13278.03761752337</c:v>
                </c:pt>
                <c:pt idx="56">
                  <c:v>12857.270760264746</c:v>
                </c:pt>
                <c:pt idx="57">
                  <c:v>10291.902804574074</c:v>
                </c:pt>
                <c:pt idx="58">
                  <c:v>10777.873489519825</c:v>
                </c:pt>
                <c:pt idx="59">
                  <c:v>9049.1487440999699</c:v>
                </c:pt>
                <c:pt idx="60">
                  <c:v>9367.881957012245</c:v>
                </c:pt>
                <c:pt idx="61">
                  <c:v>8469.2560321615347</c:v>
                </c:pt>
                <c:pt idx="62">
                  <c:v>9249.4263895338154</c:v>
                </c:pt>
                <c:pt idx="63">
                  <c:v>10054.707036079102</c:v>
                </c:pt>
                <c:pt idx="64">
                  <c:v>10377.752383523672</c:v>
                </c:pt>
                <c:pt idx="65">
                  <c:v>10603.188806090357</c:v>
                </c:pt>
                <c:pt idx="66">
                  <c:v>11190.989688093978</c:v>
                </c:pt>
                <c:pt idx="67">
                  <c:v>12347.365118657408</c:v>
                </c:pt>
                <c:pt idx="68">
                  <c:v>11964.316337732484</c:v>
                </c:pt>
                <c:pt idx="69">
                  <c:v>10023.174618390985</c:v>
                </c:pt>
                <c:pt idx="70">
                  <c:v>10603.974787971354</c:v>
                </c:pt>
                <c:pt idx="71">
                  <c:v>9619.6563151889914</c:v>
                </c:pt>
                <c:pt idx="72">
                  <c:v>10172.911539565643</c:v>
                </c:pt>
                <c:pt idx="73">
                  <c:v>9469.9268938743207</c:v>
                </c:pt>
                <c:pt idx="74">
                  <c:v>10199.818954006507</c:v>
                </c:pt>
                <c:pt idx="75">
                  <c:v>10671.89749490191</c:v>
                </c:pt>
                <c:pt idx="76">
                  <c:v>11156.064787702722</c:v>
                </c:pt>
                <c:pt idx="77">
                  <c:v>10266.858355530814</c:v>
                </c:pt>
                <c:pt idx="78">
                  <c:v>10978.434889080294</c:v>
                </c:pt>
                <c:pt idx="79">
                  <c:v>12088.640438561857</c:v>
                </c:pt>
                <c:pt idx="80">
                  <c:v>11406.583544622699</c:v>
                </c:pt>
                <c:pt idx="81">
                  <c:v>9584.1684996315889</c:v>
                </c:pt>
                <c:pt idx="82">
                  <c:v>9841.9270868761832</c:v>
                </c:pt>
                <c:pt idx="83">
                  <c:v>8564.4027401577951</c:v>
                </c:pt>
                <c:pt idx="84">
                  <c:v>9440.2640609588434</c:v>
                </c:pt>
                <c:pt idx="85">
                  <c:v>8673.7101700466537</c:v>
                </c:pt>
                <c:pt idx="86">
                  <c:v>9248.3130650124222</c:v>
                </c:pt>
                <c:pt idx="87">
                  <c:v>10022.821590586966</c:v>
                </c:pt>
                <c:pt idx="88">
                  <c:v>10682.05699584901</c:v>
                </c:pt>
                <c:pt idx="89">
                  <c:v>10127.594243004429</c:v>
                </c:pt>
                <c:pt idx="90">
                  <c:v>11188.113977952091</c:v>
                </c:pt>
                <c:pt idx="91">
                  <c:v>12691.689582912124</c:v>
                </c:pt>
                <c:pt idx="92">
                  <c:v>11945.162339394372</c:v>
                </c:pt>
                <c:pt idx="93">
                  <c:v>9849.1028702832064</c:v>
                </c:pt>
                <c:pt idx="94">
                  <c:v>10104.222541596173</c:v>
                </c:pt>
                <c:pt idx="95">
                  <c:v>8425.6396164333419</c:v>
                </c:pt>
                <c:pt idx="96">
                  <c:v>8867.2724727011537</c:v>
                </c:pt>
                <c:pt idx="97">
                  <c:v>8315.8336586407786</c:v>
                </c:pt>
                <c:pt idx="98">
                  <c:v>8715.559848743922</c:v>
                </c:pt>
                <c:pt idx="99">
                  <c:v>9493.6921176537271</c:v>
                </c:pt>
                <c:pt idx="100">
                  <c:v>10409.484844148699</c:v>
                </c:pt>
                <c:pt idx="101">
                  <c:v>10071.316797382171</c:v>
                </c:pt>
                <c:pt idx="102">
                  <c:v>11315.93361259598</c:v>
                </c:pt>
                <c:pt idx="103">
                  <c:v>12317.364172396177</c:v>
                </c:pt>
                <c:pt idx="104">
                  <c:v>11853.900820315239</c:v>
                </c:pt>
                <c:pt idx="105">
                  <c:v>9840.2062820697593</c:v>
                </c:pt>
                <c:pt idx="106">
                  <c:v>10443.59383601483</c:v>
                </c:pt>
                <c:pt idx="107">
                  <c:v>9344.7545670319068</c:v>
                </c:pt>
                <c:pt idx="108">
                  <c:v>9374.8584031056598</c:v>
                </c:pt>
                <c:pt idx="109">
                  <c:v>8446.5772082843723</c:v>
                </c:pt>
                <c:pt idx="110">
                  <c:v>9228.6331932988778</c:v>
                </c:pt>
                <c:pt idx="111">
                  <c:v>10253.125341183781</c:v>
                </c:pt>
                <c:pt idx="112">
                  <c:v>11223.366208226542</c:v>
                </c:pt>
                <c:pt idx="113">
                  <c:v>11167.144864741002</c:v>
                </c:pt>
                <c:pt idx="114">
                  <c:v>12155.169096434227</c:v>
                </c:pt>
                <c:pt idx="115">
                  <c:v>13407.778850748198</c:v>
                </c:pt>
                <c:pt idx="116">
                  <c:v>12375.25527723417</c:v>
                </c:pt>
                <c:pt idx="117">
                  <c:v>10479.582579718592</c:v>
                </c:pt>
                <c:pt idx="118">
                  <c:v>10851.444507543718</c:v>
                </c:pt>
                <c:pt idx="119">
                  <c:v>9538.2120057084267</c:v>
                </c:pt>
                <c:pt idx="120">
                  <c:v>10018.892537087513</c:v>
                </c:pt>
                <c:pt idx="121">
                  <c:v>9344.3824718841479</c:v>
                </c:pt>
                <c:pt idx="122">
                  <c:v>9991.8589824981555</c:v>
                </c:pt>
                <c:pt idx="123">
                  <c:v>10854.828300712945</c:v>
                </c:pt>
                <c:pt idx="124">
                  <c:v>11575.150927267096</c:v>
                </c:pt>
              </c:numCache>
            </c:numRef>
          </c:val>
          <c:smooth val="0"/>
          <c:extLst>
            <c:ext xmlns:c16="http://schemas.microsoft.com/office/drawing/2014/chart" uri="{C3380CC4-5D6E-409C-BE32-E72D297353CC}">
              <c16:uniqueId val="{00000001-7854-462E-AD90-B6AC60AA192F}"/>
            </c:ext>
          </c:extLst>
        </c:ser>
        <c:dLbls>
          <c:showLegendKey val="0"/>
          <c:showVal val="0"/>
          <c:showCatName val="0"/>
          <c:showSerName val="0"/>
          <c:showPercent val="0"/>
          <c:showBubbleSize val="0"/>
        </c:dLbls>
        <c:smooth val="0"/>
        <c:axId val="2063818687"/>
        <c:axId val="2063820607"/>
      </c:lineChart>
      <c:catAx>
        <c:axId val="2063818687"/>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2063820607"/>
        <c:crosses val="autoZero"/>
        <c:auto val="1"/>
        <c:lblAlgn val="ctr"/>
        <c:lblOffset val="100"/>
        <c:noMultiLvlLbl val="0"/>
      </c:catAx>
      <c:valAx>
        <c:axId val="2063820607"/>
        <c:scaling>
          <c:orientation val="minMax"/>
        </c:scaling>
        <c:delete val="0"/>
        <c:axPos val="l"/>
        <c:numFmt formatCode="0.00" sourceLinked="0"/>
        <c:majorTickMark val="out"/>
        <c:minorTickMark val="none"/>
        <c:tickLblPos val="nextTo"/>
        <c:txPr>
          <a:bodyPr/>
          <a:lstStyle/>
          <a:p>
            <a:pPr>
              <a:defRPr sz="800" b="0"/>
            </a:pPr>
            <a:endParaRPr lang="en-US"/>
          </a:p>
        </c:txPr>
        <c:crossAx val="2063818687"/>
        <c:crosses val="autoZero"/>
        <c:crossBetween val="between"/>
      </c:valAx>
    </c:plotArea>
    <c:legend>
      <c:legendPos val="r"/>
      <c:overlay val="0"/>
      <c:spPr>
        <a:ln>
          <a:solidFill>
            <a:srgbClr val="000000"/>
          </a:solidFill>
          <a:prstDash val="solid"/>
        </a:ln>
      </c:sp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Original Observations</a:t>
            </a:r>
          </a:p>
        </c:rich>
      </c:tx>
      <c:overlay val="0"/>
    </c:title>
    <c:autoTitleDeleted val="0"/>
    <c:plotArea>
      <c:layout/>
      <c:lineChart>
        <c:grouping val="standard"/>
        <c:varyColors val="0"/>
        <c:ser>
          <c:idx val="0"/>
          <c:order val="0"/>
          <c:tx>
            <c:v>East</c:v>
          </c:tx>
          <c:spPr>
            <a:ln>
              <a:solidFill>
                <a:srgbClr val="333399"/>
              </a:solidFill>
              <a:prstDash val="solid"/>
            </a:ln>
          </c:spPr>
          <c:marker>
            <c:symbol val="none"/>
          </c:marker>
          <c:cat>
            <c:strRef>
              <c:f>'Winters(East)'!$A$85:$A$201</c:f>
              <c:strCache>
                <c:ptCount val="117"/>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strCache>
            </c:strRef>
          </c:cat>
          <c:val>
            <c:numRef>
              <c:f>'Winters(East)'!$B$85:$B$201</c:f>
              <c:numCache>
                <c:formatCode>0.00</c:formatCode>
                <c:ptCount val="117"/>
                <c:pt idx="0">
                  <c:v>7419</c:v>
                </c:pt>
                <c:pt idx="1">
                  <c:v>8824</c:v>
                </c:pt>
                <c:pt idx="2">
                  <c:v>11583</c:v>
                </c:pt>
                <c:pt idx="3">
                  <c:v>7958</c:v>
                </c:pt>
                <c:pt idx="4">
                  <c:v>11933</c:v>
                </c:pt>
                <c:pt idx="5">
                  <c:v>11227</c:v>
                </c:pt>
                <c:pt idx="6">
                  <c:v>11258</c:v>
                </c:pt>
                <c:pt idx="7">
                  <c:v>15904</c:v>
                </c:pt>
                <c:pt idx="8">
                  <c:v>14470</c:v>
                </c:pt>
                <c:pt idx="9">
                  <c:v>10916</c:v>
                </c:pt>
                <c:pt idx="10">
                  <c:v>10391</c:v>
                </c:pt>
                <c:pt idx="11">
                  <c:v>8481</c:v>
                </c:pt>
                <c:pt idx="12">
                  <c:v>10120</c:v>
                </c:pt>
                <c:pt idx="13">
                  <c:v>8910</c:v>
                </c:pt>
                <c:pt idx="14">
                  <c:v>9375</c:v>
                </c:pt>
                <c:pt idx="15">
                  <c:v>12366</c:v>
                </c:pt>
                <c:pt idx="16">
                  <c:v>10808</c:v>
                </c:pt>
                <c:pt idx="17">
                  <c:v>11982</c:v>
                </c:pt>
                <c:pt idx="18">
                  <c:v>13330</c:v>
                </c:pt>
                <c:pt idx="19">
                  <c:v>12233</c:v>
                </c:pt>
                <c:pt idx="20">
                  <c:v>12302</c:v>
                </c:pt>
                <c:pt idx="21">
                  <c:v>7227</c:v>
                </c:pt>
                <c:pt idx="22">
                  <c:v>12660</c:v>
                </c:pt>
                <c:pt idx="23">
                  <c:v>9800</c:v>
                </c:pt>
                <c:pt idx="24">
                  <c:v>12004</c:v>
                </c:pt>
                <c:pt idx="25">
                  <c:v>10006</c:v>
                </c:pt>
                <c:pt idx="26">
                  <c:v>8394</c:v>
                </c:pt>
                <c:pt idx="27">
                  <c:v>9953</c:v>
                </c:pt>
                <c:pt idx="28">
                  <c:v>10461</c:v>
                </c:pt>
                <c:pt idx="29">
                  <c:v>10893</c:v>
                </c:pt>
                <c:pt idx="30">
                  <c:v>9212</c:v>
                </c:pt>
                <c:pt idx="31">
                  <c:v>13209</c:v>
                </c:pt>
                <c:pt idx="32">
                  <c:v>10294</c:v>
                </c:pt>
                <c:pt idx="33">
                  <c:v>11540</c:v>
                </c:pt>
                <c:pt idx="34">
                  <c:v>10219</c:v>
                </c:pt>
                <c:pt idx="35">
                  <c:v>10230</c:v>
                </c:pt>
                <c:pt idx="36">
                  <c:v>9985</c:v>
                </c:pt>
                <c:pt idx="37">
                  <c:v>6832</c:v>
                </c:pt>
                <c:pt idx="38">
                  <c:v>9050</c:v>
                </c:pt>
                <c:pt idx="39">
                  <c:v>10082</c:v>
                </c:pt>
                <c:pt idx="40">
                  <c:v>10659</c:v>
                </c:pt>
                <c:pt idx="41">
                  <c:v>11458</c:v>
                </c:pt>
                <c:pt idx="42">
                  <c:v>10867</c:v>
                </c:pt>
                <c:pt idx="43">
                  <c:v>12409</c:v>
                </c:pt>
                <c:pt idx="44">
                  <c:v>11869</c:v>
                </c:pt>
                <c:pt idx="45">
                  <c:v>8729</c:v>
                </c:pt>
                <c:pt idx="46">
                  <c:v>10665</c:v>
                </c:pt>
                <c:pt idx="47">
                  <c:v>8003</c:v>
                </c:pt>
                <c:pt idx="48">
                  <c:v>9224</c:v>
                </c:pt>
                <c:pt idx="49">
                  <c:v>9140</c:v>
                </c:pt>
                <c:pt idx="50">
                  <c:v>11616</c:v>
                </c:pt>
                <c:pt idx="51">
                  <c:v>9428</c:v>
                </c:pt>
                <c:pt idx="52">
                  <c:v>14249</c:v>
                </c:pt>
                <c:pt idx="53">
                  <c:v>9511</c:v>
                </c:pt>
                <c:pt idx="54">
                  <c:v>12094</c:v>
                </c:pt>
                <c:pt idx="55">
                  <c:v>13273</c:v>
                </c:pt>
                <c:pt idx="56">
                  <c:v>11184</c:v>
                </c:pt>
                <c:pt idx="57">
                  <c:v>10793</c:v>
                </c:pt>
                <c:pt idx="58">
                  <c:v>8693</c:v>
                </c:pt>
                <c:pt idx="59">
                  <c:v>8479</c:v>
                </c:pt>
                <c:pt idx="60">
                  <c:v>8120</c:v>
                </c:pt>
                <c:pt idx="61">
                  <c:v>9239</c:v>
                </c:pt>
                <c:pt idx="62">
                  <c:v>9266</c:v>
                </c:pt>
                <c:pt idx="63">
                  <c:v>8652</c:v>
                </c:pt>
                <c:pt idx="64">
                  <c:v>12405</c:v>
                </c:pt>
                <c:pt idx="65">
                  <c:v>8964</c:v>
                </c:pt>
                <c:pt idx="66">
                  <c:v>11521</c:v>
                </c:pt>
                <c:pt idx="67">
                  <c:v>12368</c:v>
                </c:pt>
                <c:pt idx="68">
                  <c:v>12729</c:v>
                </c:pt>
                <c:pt idx="69">
                  <c:v>10956</c:v>
                </c:pt>
                <c:pt idx="70">
                  <c:v>12069</c:v>
                </c:pt>
                <c:pt idx="71">
                  <c:v>9902</c:v>
                </c:pt>
                <c:pt idx="72">
                  <c:v>10091</c:v>
                </c:pt>
                <c:pt idx="73">
                  <c:v>9769</c:v>
                </c:pt>
                <c:pt idx="74">
                  <c:v>8578</c:v>
                </c:pt>
                <c:pt idx="75">
                  <c:v>9763</c:v>
                </c:pt>
                <c:pt idx="76">
                  <c:v>8348</c:v>
                </c:pt>
                <c:pt idx="77">
                  <c:v>9237</c:v>
                </c:pt>
                <c:pt idx="78">
                  <c:v>11204</c:v>
                </c:pt>
                <c:pt idx="79">
                  <c:v>10737</c:v>
                </c:pt>
                <c:pt idx="80">
                  <c:v>12276</c:v>
                </c:pt>
                <c:pt idx="81">
                  <c:v>9230</c:v>
                </c:pt>
                <c:pt idx="82">
                  <c:v>9405</c:v>
                </c:pt>
                <c:pt idx="83">
                  <c:v>10378</c:v>
                </c:pt>
                <c:pt idx="84">
                  <c:v>8827</c:v>
                </c:pt>
                <c:pt idx="85">
                  <c:v>8559</c:v>
                </c:pt>
                <c:pt idx="86">
                  <c:v>9143</c:v>
                </c:pt>
                <c:pt idx="87">
                  <c:v>9989</c:v>
                </c:pt>
                <c:pt idx="88">
                  <c:v>9299</c:v>
                </c:pt>
                <c:pt idx="89">
                  <c:v>10524</c:v>
                </c:pt>
                <c:pt idx="90">
                  <c:v>12887</c:v>
                </c:pt>
                <c:pt idx="91">
                  <c:v>11145</c:v>
                </c:pt>
                <c:pt idx="92">
                  <c:v>11882</c:v>
                </c:pt>
                <c:pt idx="93">
                  <c:v>9448</c:v>
                </c:pt>
                <c:pt idx="94">
                  <c:v>7857</c:v>
                </c:pt>
                <c:pt idx="95">
                  <c:v>8482</c:v>
                </c:pt>
                <c:pt idx="96">
                  <c:v>9064</c:v>
                </c:pt>
                <c:pt idx="97">
                  <c:v>7591</c:v>
                </c:pt>
                <c:pt idx="98">
                  <c:v>8801</c:v>
                </c:pt>
                <c:pt idx="99">
                  <c:v>10634</c:v>
                </c:pt>
                <c:pt idx="100">
                  <c:v>9951</c:v>
                </c:pt>
                <c:pt idx="101">
                  <c:v>11214</c:v>
                </c:pt>
                <c:pt idx="102">
                  <c:v>10990</c:v>
                </c:pt>
                <c:pt idx="103">
                  <c:v>11975</c:v>
                </c:pt>
                <c:pt idx="104">
                  <c:v>12137</c:v>
                </c:pt>
                <c:pt idx="105">
                  <c:v>10892</c:v>
                </c:pt>
                <c:pt idx="106">
                  <c:v>11249</c:v>
                </c:pt>
                <c:pt idx="107">
                  <c:v>7531</c:v>
                </c:pt>
                <c:pt idx="108">
                  <c:v>7992</c:v>
                </c:pt>
                <c:pt idx="109">
                  <c:v>9230</c:v>
                </c:pt>
                <c:pt idx="110">
                  <c:v>10123</c:v>
                </c:pt>
                <c:pt idx="111">
                  <c:v>11419</c:v>
                </c:pt>
                <c:pt idx="112">
                  <c:v>12102</c:v>
                </c:pt>
                <c:pt idx="113">
                  <c:v>10903</c:v>
                </c:pt>
                <c:pt idx="114">
                  <c:v>12513</c:v>
                </c:pt>
                <c:pt idx="115">
                  <c:v>10696</c:v>
                </c:pt>
                <c:pt idx="116">
                  <c:v>13758</c:v>
                </c:pt>
              </c:numCache>
            </c:numRef>
          </c:val>
          <c:smooth val="0"/>
          <c:extLst>
            <c:ext xmlns:c16="http://schemas.microsoft.com/office/drawing/2014/chart" uri="{C3380CC4-5D6E-409C-BE32-E72D297353CC}">
              <c16:uniqueId val="{00000000-F4F6-45C1-A9CF-70E452648656}"/>
            </c:ext>
          </c:extLst>
        </c:ser>
        <c:dLbls>
          <c:showLegendKey val="0"/>
          <c:showVal val="0"/>
          <c:showCatName val="0"/>
          <c:showSerName val="0"/>
          <c:showPercent val="0"/>
          <c:showBubbleSize val="0"/>
        </c:dLbls>
        <c:smooth val="0"/>
        <c:axId val="1263456863"/>
        <c:axId val="1263453983"/>
      </c:lineChart>
      <c:catAx>
        <c:axId val="1263456863"/>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263453983"/>
        <c:crosses val="autoZero"/>
        <c:auto val="1"/>
        <c:lblAlgn val="ctr"/>
        <c:lblOffset val="100"/>
        <c:noMultiLvlLbl val="0"/>
      </c:catAx>
      <c:valAx>
        <c:axId val="1263453983"/>
        <c:scaling>
          <c:orientation val="minMax"/>
        </c:scaling>
        <c:delete val="0"/>
        <c:axPos val="l"/>
        <c:numFmt formatCode="0.00" sourceLinked="0"/>
        <c:majorTickMark val="out"/>
        <c:minorTickMark val="none"/>
        <c:tickLblPos val="nextTo"/>
        <c:txPr>
          <a:bodyPr/>
          <a:lstStyle/>
          <a:p>
            <a:pPr>
              <a:defRPr sz="800" b="0"/>
            </a:pPr>
            <a:endParaRPr lang="en-US"/>
          </a:p>
        </c:txPr>
        <c:crossAx val="1263456863"/>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Forecast Errors</a:t>
            </a:r>
          </a:p>
        </c:rich>
      </c:tx>
      <c:overlay val="0"/>
    </c:title>
    <c:autoTitleDeleted val="0"/>
    <c:plotArea>
      <c:layout/>
      <c:lineChart>
        <c:grouping val="standard"/>
        <c:varyColors val="0"/>
        <c:ser>
          <c:idx val="0"/>
          <c:order val="0"/>
          <c:tx>
            <c:v>Errors</c:v>
          </c:tx>
          <c:spPr>
            <a:ln>
              <a:solidFill>
                <a:srgbClr val="333399"/>
              </a:solidFill>
              <a:prstDash val="solid"/>
            </a:ln>
          </c:spPr>
          <c:marker>
            <c:symbol val="none"/>
          </c:marker>
          <c:cat>
            <c:strRef>
              <c:f>'Winters(East)'!$A$85:$A$201</c:f>
              <c:strCache>
                <c:ptCount val="117"/>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strCache>
            </c:strRef>
          </c:cat>
          <c:val>
            <c:numRef>
              <c:f>'Winters(East)'!$G$86:$G$209</c:f>
              <c:numCache>
                <c:formatCode>0.00</c:formatCode>
                <c:ptCount val="124"/>
                <c:pt idx="0">
                  <c:v>1897.6378471280295</c:v>
                </c:pt>
                <c:pt idx="1">
                  <c:v>3699.3057969945276</c:v>
                </c:pt>
                <c:pt idx="2">
                  <c:v>-1544.1387484564602</c:v>
                </c:pt>
                <c:pt idx="3">
                  <c:v>2177.7801417908322</c:v>
                </c:pt>
                <c:pt idx="4">
                  <c:v>1196.3596406137567</c:v>
                </c:pt>
                <c:pt idx="5">
                  <c:v>-27.150907836601618</c:v>
                </c:pt>
                <c:pt idx="6">
                  <c:v>3544.4245061876809</c:v>
                </c:pt>
                <c:pt idx="7">
                  <c:v>1703.2728532383426</c:v>
                </c:pt>
                <c:pt idx="8">
                  <c:v>52.928174619766651</c:v>
                </c:pt>
                <c:pt idx="9">
                  <c:v>-869.11011468775177</c:v>
                </c:pt>
                <c:pt idx="10">
                  <c:v>-1238.4105801030673</c:v>
                </c:pt>
                <c:pt idx="11">
                  <c:v>212.69969569151726</c:v>
                </c:pt>
                <c:pt idx="12">
                  <c:v>-376.55909643034829</c:v>
                </c:pt>
                <c:pt idx="13">
                  <c:v>-461.91206595752919</c:v>
                </c:pt>
                <c:pt idx="14">
                  <c:v>1795.2940573956566</c:v>
                </c:pt>
                <c:pt idx="15">
                  <c:v>-908.58524859846693</c:v>
                </c:pt>
                <c:pt idx="16">
                  <c:v>738.87864189094216</c:v>
                </c:pt>
                <c:pt idx="17">
                  <c:v>837.56497372228114</c:v>
                </c:pt>
                <c:pt idx="18">
                  <c:v>-1665.0094062687385</c:v>
                </c:pt>
                <c:pt idx="19">
                  <c:v>-781.51179136885548</c:v>
                </c:pt>
                <c:pt idx="20">
                  <c:v>-3421.6365070076517</c:v>
                </c:pt>
                <c:pt idx="21">
                  <c:v>2454.8688249552579</c:v>
                </c:pt>
                <c:pt idx="22">
                  <c:v>328.34632984160999</c:v>
                </c:pt>
                <c:pt idx="23">
                  <c:v>1974.9147581139841</c:v>
                </c:pt>
                <c:pt idx="24">
                  <c:v>225.37585976020273</c:v>
                </c:pt>
                <c:pt idx="25">
                  <c:v>-2118.8522343771256</c:v>
                </c:pt>
                <c:pt idx="26">
                  <c:v>-932.90781930491175</c:v>
                </c:pt>
                <c:pt idx="27">
                  <c:v>-916.70641875013098</c:v>
                </c:pt>
                <c:pt idx="28">
                  <c:v>-18.060184860003574</c:v>
                </c:pt>
                <c:pt idx="29">
                  <c:v>-2726.0823276970914</c:v>
                </c:pt>
                <c:pt idx="30">
                  <c:v>821.18491802705648</c:v>
                </c:pt>
                <c:pt idx="31">
                  <c:v>-1888.9937723462517</c:v>
                </c:pt>
                <c:pt idx="32">
                  <c:v>1844.3034576144673</c:v>
                </c:pt>
                <c:pt idx="33">
                  <c:v>-265.50896318668492</c:v>
                </c:pt>
                <c:pt idx="34">
                  <c:v>1067.4729161898904</c:v>
                </c:pt>
                <c:pt idx="35">
                  <c:v>99.825110623425644</c:v>
                </c:pt>
                <c:pt idx="36">
                  <c:v>-2409.5902164972904</c:v>
                </c:pt>
                <c:pt idx="37">
                  <c:v>-235.28834317260043</c:v>
                </c:pt>
                <c:pt idx="38">
                  <c:v>51.837600439646849</c:v>
                </c:pt>
                <c:pt idx="39">
                  <c:v>-52.026889772861978</c:v>
                </c:pt>
                <c:pt idx="40">
                  <c:v>1000.8177737238075</c:v>
                </c:pt>
                <c:pt idx="41">
                  <c:v>-834.08984399598012</c:v>
                </c:pt>
                <c:pt idx="42">
                  <c:v>-200.15480307410144</c:v>
                </c:pt>
                <c:pt idx="43">
                  <c:v>-298.57874954425461</c:v>
                </c:pt>
                <c:pt idx="44">
                  <c:v>-1258.1412938582598</c:v>
                </c:pt>
                <c:pt idx="45">
                  <c:v>623.85523990919137</c:v>
                </c:pt>
                <c:pt idx="46">
                  <c:v>-952.04028977395501</c:v>
                </c:pt>
                <c:pt idx="47">
                  <c:v>47.628120599212707</c:v>
                </c:pt>
                <c:pt idx="48">
                  <c:v>568.90868651934943</c:v>
                </c:pt>
                <c:pt idx="49">
                  <c:v>2307.7443212894141</c:v>
                </c:pt>
                <c:pt idx="50">
                  <c:v>-1267.1347628044659</c:v>
                </c:pt>
                <c:pt idx="51">
                  <c:v>3156.7349907086536</c:v>
                </c:pt>
                <c:pt idx="52">
                  <c:v>-2044.176696548162</c:v>
                </c:pt>
                <c:pt idx="53">
                  <c:v>-33.284936168935019</c:v>
                </c:pt>
                <c:pt idx="54">
                  <c:v>-5.0376175233704998</c:v>
                </c:pt>
                <c:pt idx="55">
                  <c:v>-1673.2707602647461</c:v>
                </c:pt>
                <c:pt idx="56">
                  <c:v>501.09719542592575</c:v>
                </c:pt>
                <c:pt idx="57">
                  <c:v>-2084.8734895198249</c:v>
                </c:pt>
                <c:pt idx="58">
                  <c:v>-570.14874409996992</c:v>
                </c:pt>
                <c:pt idx="59">
                  <c:v>-1247.881957012245</c:v>
                </c:pt>
                <c:pt idx="60">
                  <c:v>769.74396783846532</c:v>
                </c:pt>
                <c:pt idx="61">
                  <c:v>16.573610466184618</c:v>
                </c:pt>
                <c:pt idx="62">
                  <c:v>-1402.7070360791022</c:v>
                </c:pt>
                <c:pt idx="63">
                  <c:v>2027.2476164763284</c:v>
                </c:pt>
                <c:pt idx="64">
                  <c:v>-1639.1888060903566</c:v>
                </c:pt>
                <c:pt idx="65">
                  <c:v>330.01031190602225</c:v>
                </c:pt>
                <c:pt idx="66">
                  <c:v>20.634881342592053</c:v>
                </c:pt>
                <c:pt idx="67">
                  <c:v>764.68366226751641</c:v>
                </c:pt>
                <c:pt idx="68">
                  <c:v>932.82538160901458</c:v>
                </c:pt>
                <c:pt idx="69">
                  <c:v>1465.0252120286459</c:v>
                </c:pt>
                <c:pt idx="70">
                  <c:v>282.34368481100864</c:v>
                </c:pt>
                <c:pt idx="71">
                  <c:v>-81.91153956564267</c:v>
                </c:pt>
                <c:pt idx="72">
                  <c:v>299.07310612567926</c:v>
                </c:pt>
                <c:pt idx="73">
                  <c:v>-1621.8189540065068</c:v>
                </c:pt>
                <c:pt idx="74">
                  <c:v>-908.89749490191025</c:v>
                </c:pt>
                <c:pt idx="75">
                  <c:v>-2808.0647877027222</c:v>
                </c:pt>
                <c:pt idx="76">
                  <c:v>-1029.8583555308142</c:v>
                </c:pt>
                <c:pt idx="77">
                  <c:v>225.56511091970606</c:v>
                </c:pt>
                <c:pt idx="78">
                  <c:v>-1351.6404385618571</c:v>
                </c:pt>
                <c:pt idx="79">
                  <c:v>869.41645537730074</c:v>
                </c:pt>
                <c:pt idx="80">
                  <c:v>-354.16849963158893</c:v>
                </c:pt>
                <c:pt idx="81">
                  <c:v>-436.92708687618324</c:v>
                </c:pt>
                <c:pt idx="82">
                  <c:v>1813.5972598422049</c:v>
                </c:pt>
                <c:pt idx="83">
                  <c:v>-613.2640609588434</c:v>
                </c:pt>
                <c:pt idx="84">
                  <c:v>-114.71017004665373</c:v>
                </c:pt>
                <c:pt idx="85">
                  <c:v>-105.31306501242216</c:v>
                </c:pt>
                <c:pt idx="86">
                  <c:v>-33.821590586965613</c:v>
                </c:pt>
                <c:pt idx="87">
                  <c:v>-1383.0569958490105</c:v>
                </c:pt>
                <c:pt idx="88">
                  <c:v>396.40575699557121</c:v>
                </c:pt>
                <c:pt idx="89">
                  <c:v>1698.8860220479091</c:v>
                </c:pt>
                <c:pt idx="90">
                  <c:v>-1546.689582912124</c:v>
                </c:pt>
                <c:pt idx="91">
                  <c:v>-63.162339394371884</c:v>
                </c:pt>
                <c:pt idx="92">
                  <c:v>-401.10287028320636</c:v>
                </c:pt>
                <c:pt idx="93">
                  <c:v>-2247.222541596173</c:v>
                </c:pt>
                <c:pt idx="94">
                  <c:v>56.360383566658129</c:v>
                </c:pt>
                <c:pt idx="95">
                  <c:v>196.72752729884633</c:v>
                </c:pt>
                <c:pt idx="96">
                  <c:v>-724.83365864077859</c:v>
                </c:pt>
                <c:pt idx="97">
                  <c:v>85.440151256078025</c:v>
                </c:pt>
                <c:pt idx="98">
                  <c:v>1140.3078823462729</c:v>
                </c:pt>
                <c:pt idx="99">
                  <c:v>-458.48484414869927</c:v>
                </c:pt>
                <c:pt idx="100">
                  <c:v>1142.683202617829</c:v>
                </c:pt>
                <c:pt idx="101">
                  <c:v>-325.93361259597987</c:v>
                </c:pt>
                <c:pt idx="102">
                  <c:v>-342.36417239617731</c:v>
                </c:pt>
                <c:pt idx="103">
                  <c:v>283.09917968476111</c:v>
                </c:pt>
                <c:pt idx="104">
                  <c:v>1051.7937179302407</c:v>
                </c:pt>
                <c:pt idx="105">
                  <c:v>805.40616398516977</c:v>
                </c:pt>
                <c:pt idx="106">
                  <c:v>-1813.7545670319068</c:v>
                </c:pt>
                <c:pt idx="107">
                  <c:v>-1382.8584031056598</c:v>
                </c:pt>
                <c:pt idx="108">
                  <c:v>783.42279171562768</c:v>
                </c:pt>
                <c:pt idx="109">
                  <c:v>894.36680670112219</c:v>
                </c:pt>
                <c:pt idx="110">
                  <c:v>1165.8746588162194</c:v>
                </c:pt>
                <c:pt idx="111">
                  <c:v>878.63379177345814</c:v>
                </c:pt>
                <c:pt idx="112">
                  <c:v>-264.14486474100158</c:v>
                </c:pt>
                <c:pt idx="113">
                  <c:v>357.83090356577304</c:v>
                </c:pt>
                <c:pt idx="114">
                  <c:v>-2711.7788507481982</c:v>
                </c:pt>
                <c:pt idx="115">
                  <c:v>1382.7447227658304</c:v>
                </c:pt>
              </c:numCache>
            </c:numRef>
          </c:val>
          <c:smooth val="0"/>
          <c:extLst>
            <c:ext xmlns:c16="http://schemas.microsoft.com/office/drawing/2014/chart" uri="{C3380CC4-5D6E-409C-BE32-E72D297353CC}">
              <c16:uniqueId val="{00000000-E50E-4586-9E8E-EAE7F58A0F28}"/>
            </c:ext>
          </c:extLst>
        </c:ser>
        <c:dLbls>
          <c:showLegendKey val="0"/>
          <c:showVal val="0"/>
          <c:showCatName val="0"/>
          <c:showSerName val="0"/>
          <c:showPercent val="0"/>
          <c:showBubbleSize val="0"/>
        </c:dLbls>
        <c:smooth val="0"/>
        <c:axId val="1414324639"/>
        <c:axId val="1415826799"/>
      </c:lineChart>
      <c:catAx>
        <c:axId val="1414324639"/>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415826799"/>
        <c:crosses val="autoZero"/>
        <c:auto val="1"/>
        <c:lblAlgn val="ctr"/>
        <c:lblOffset val="100"/>
        <c:noMultiLvlLbl val="0"/>
      </c:catAx>
      <c:valAx>
        <c:axId val="1415826799"/>
        <c:scaling>
          <c:orientation val="minMax"/>
        </c:scaling>
        <c:delete val="0"/>
        <c:axPos val="l"/>
        <c:numFmt formatCode="0.00" sourceLinked="0"/>
        <c:majorTickMark val="out"/>
        <c:minorTickMark val="none"/>
        <c:tickLblPos val="nextTo"/>
        <c:txPr>
          <a:bodyPr/>
          <a:lstStyle/>
          <a:p>
            <a:pPr>
              <a:defRPr sz="800" b="0"/>
            </a:pPr>
            <a:endParaRPr lang="en-US"/>
          </a:p>
        </c:txPr>
        <c:crossAx val="1414324639"/>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Time Series of South</a:t>
            </a:r>
          </a:p>
        </c:rich>
      </c:tx>
      <c:layout/>
      <c:overlay val="0"/>
    </c:title>
    <c:autoTitleDeleted val="0"/>
    <c:plotArea>
      <c:layout/>
      <c:lineChart>
        <c:grouping val="standard"/>
        <c:varyColors val="0"/>
        <c:ser>
          <c:idx val="0"/>
          <c:order val="0"/>
          <c:spPr>
            <a:ln>
              <a:solidFill>
                <a:srgbClr val="333399"/>
              </a:solidFill>
              <a:prstDash val="solid"/>
            </a:ln>
          </c:spPr>
          <c:marker>
            <c:symbol val="diamond"/>
            <c:size val="3"/>
          </c:marker>
          <c:cat>
            <c:numRef>
              <c:f>'Problem 4 a(1)'!$D$2:$D$118</c:f>
              <c:numCache>
                <c:formatCode>mmm\-yy</c:formatCode>
                <c:ptCount val="117"/>
                <c:pt idx="0">
                  <c:v>41487</c:v>
                </c:pt>
                <c:pt idx="1">
                  <c:v>41518</c:v>
                </c:pt>
                <c:pt idx="2">
                  <c:v>41548</c:v>
                </c:pt>
                <c:pt idx="3">
                  <c:v>41579</c:v>
                </c:pt>
                <c:pt idx="4">
                  <c:v>41609</c:v>
                </c:pt>
                <c:pt idx="5">
                  <c:v>41640</c:v>
                </c:pt>
                <c:pt idx="6">
                  <c:v>41671</c:v>
                </c:pt>
                <c:pt idx="7">
                  <c:v>41699</c:v>
                </c:pt>
                <c:pt idx="8">
                  <c:v>41730</c:v>
                </c:pt>
                <c:pt idx="9">
                  <c:v>41760</c:v>
                </c:pt>
                <c:pt idx="10">
                  <c:v>41791</c:v>
                </c:pt>
                <c:pt idx="11">
                  <c:v>41821</c:v>
                </c:pt>
                <c:pt idx="12">
                  <c:v>41852</c:v>
                </c:pt>
                <c:pt idx="13">
                  <c:v>41883</c:v>
                </c:pt>
                <c:pt idx="14">
                  <c:v>41913</c:v>
                </c:pt>
                <c:pt idx="15">
                  <c:v>41944</c:v>
                </c:pt>
                <c:pt idx="16">
                  <c:v>41974</c:v>
                </c:pt>
                <c:pt idx="17">
                  <c:v>42005</c:v>
                </c:pt>
                <c:pt idx="18">
                  <c:v>42036</c:v>
                </c:pt>
                <c:pt idx="19">
                  <c:v>42064</c:v>
                </c:pt>
                <c:pt idx="20">
                  <c:v>42095</c:v>
                </c:pt>
                <c:pt idx="21">
                  <c:v>42125</c:v>
                </c:pt>
                <c:pt idx="22">
                  <c:v>42156</c:v>
                </c:pt>
                <c:pt idx="23">
                  <c:v>42186</c:v>
                </c:pt>
                <c:pt idx="24">
                  <c:v>42217</c:v>
                </c:pt>
                <c:pt idx="25">
                  <c:v>42248</c:v>
                </c:pt>
                <c:pt idx="26">
                  <c:v>42278</c:v>
                </c:pt>
                <c:pt idx="27">
                  <c:v>42309</c:v>
                </c:pt>
                <c:pt idx="28">
                  <c:v>42339</c:v>
                </c:pt>
                <c:pt idx="29">
                  <c:v>42370</c:v>
                </c:pt>
                <c:pt idx="30">
                  <c:v>42401</c:v>
                </c:pt>
                <c:pt idx="31">
                  <c:v>42430</c:v>
                </c:pt>
                <c:pt idx="32">
                  <c:v>42461</c:v>
                </c:pt>
                <c:pt idx="33">
                  <c:v>42491</c:v>
                </c:pt>
                <c:pt idx="34">
                  <c:v>42522</c:v>
                </c:pt>
                <c:pt idx="35">
                  <c:v>42552</c:v>
                </c:pt>
                <c:pt idx="36">
                  <c:v>42583</c:v>
                </c:pt>
                <c:pt idx="37">
                  <c:v>42614</c:v>
                </c:pt>
                <c:pt idx="38">
                  <c:v>42644</c:v>
                </c:pt>
                <c:pt idx="39">
                  <c:v>42675</c:v>
                </c:pt>
                <c:pt idx="40">
                  <c:v>42705</c:v>
                </c:pt>
                <c:pt idx="41">
                  <c:v>42736</c:v>
                </c:pt>
                <c:pt idx="42">
                  <c:v>42767</c:v>
                </c:pt>
                <c:pt idx="43">
                  <c:v>42795</c:v>
                </c:pt>
                <c:pt idx="44">
                  <c:v>42826</c:v>
                </c:pt>
                <c:pt idx="45">
                  <c:v>42856</c:v>
                </c:pt>
                <c:pt idx="46">
                  <c:v>42887</c:v>
                </c:pt>
                <c:pt idx="47">
                  <c:v>42917</c:v>
                </c:pt>
                <c:pt idx="48">
                  <c:v>42948</c:v>
                </c:pt>
                <c:pt idx="49">
                  <c:v>42979</c:v>
                </c:pt>
                <c:pt idx="50">
                  <c:v>43009</c:v>
                </c:pt>
                <c:pt idx="51">
                  <c:v>43040</c:v>
                </c:pt>
                <c:pt idx="52">
                  <c:v>43070</c:v>
                </c:pt>
                <c:pt idx="53">
                  <c:v>43101</c:v>
                </c:pt>
                <c:pt idx="54">
                  <c:v>43132</c:v>
                </c:pt>
                <c:pt idx="55">
                  <c:v>43160</c:v>
                </c:pt>
                <c:pt idx="56">
                  <c:v>43191</c:v>
                </c:pt>
                <c:pt idx="57">
                  <c:v>43221</c:v>
                </c:pt>
                <c:pt idx="58">
                  <c:v>43252</c:v>
                </c:pt>
                <c:pt idx="59">
                  <c:v>43282</c:v>
                </c:pt>
                <c:pt idx="60">
                  <c:v>43313</c:v>
                </c:pt>
                <c:pt idx="61">
                  <c:v>43344</c:v>
                </c:pt>
                <c:pt idx="62">
                  <c:v>43374</c:v>
                </c:pt>
                <c:pt idx="63">
                  <c:v>43405</c:v>
                </c:pt>
                <c:pt idx="64">
                  <c:v>43435</c:v>
                </c:pt>
                <c:pt idx="65">
                  <c:v>43466</c:v>
                </c:pt>
                <c:pt idx="66">
                  <c:v>43497</c:v>
                </c:pt>
                <c:pt idx="67">
                  <c:v>43525</c:v>
                </c:pt>
                <c:pt idx="68">
                  <c:v>43556</c:v>
                </c:pt>
                <c:pt idx="69">
                  <c:v>43586</c:v>
                </c:pt>
                <c:pt idx="70">
                  <c:v>43617</c:v>
                </c:pt>
                <c:pt idx="71">
                  <c:v>43647</c:v>
                </c:pt>
                <c:pt idx="72">
                  <c:v>43678</c:v>
                </c:pt>
                <c:pt idx="73">
                  <c:v>43709</c:v>
                </c:pt>
                <c:pt idx="74">
                  <c:v>43739</c:v>
                </c:pt>
                <c:pt idx="75">
                  <c:v>43770</c:v>
                </c:pt>
                <c:pt idx="76">
                  <c:v>43800</c:v>
                </c:pt>
                <c:pt idx="77">
                  <c:v>43831</c:v>
                </c:pt>
                <c:pt idx="78">
                  <c:v>43862</c:v>
                </c:pt>
                <c:pt idx="79">
                  <c:v>43891</c:v>
                </c:pt>
                <c:pt idx="80">
                  <c:v>43922</c:v>
                </c:pt>
                <c:pt idx="81">
                  <c:v>43952</c:v>
                </c:pt>
                <c:pt idx="82">
                  <c:v>43983</c:v>
                </c:pt>
                <c:pt idx="83">
                  <c:v>44013</c:v>
                </c:pt>
                <c:pt idx="84">
                  <c:v>44044</c:v>
                </c:pt>
                <c:pt idx="85">
                  <c:v>44075</c:v>
                </c:pt>
                <c:pt idx="86">
                  <c:v>44105</c:v>
                </c:pt>
                <c:pt idx="87">
                  <c:v>44136</c:v>
                </c:pt>
                <c:pt idx="88">
                  <c:v>44166</c:v>
                </c:pt>
                <c:pt idx="89">
                  <c:v>44197</c:v>
                </c:pt>
                <c:pt idx="90">
                  <c:v>44228</c:v>
                </c:pt>
                <c:pt idx="91">
                  <c:v>44256</c:v>
                </c:pt>
                <c:pt idx="92">
                  <c:v>44287</c:v>
                </c:pt>
                <c:pt idx="93">
                  <c:v>44317</c:v>
                </c:pt>
                <c:pt idx="94">
                  <c:v>44348</c:v>
                </c:pt>
                <c:pt idx="95">
                  <c:v>44378</c:v>
                </c:pt>
                <c:pt idx="96">
                  <c:v>44409</c:v>
                </c:pt>
                <c:pt idx="97">
                  <c:v>44440</c:v>
                </c:pt>
                <c:pt idx="98">
                  <c:v>44470</c:v>
                </c:pt>
                <c:pt idx="99">
                  <c:v>44501</c:v>
                </c:pt>
                <c:pt idx="100">
                  <c:v>44531</c:v>
                </c:pt>
                <c:pt idx="101">
                  <c:v>44562</c:v>
                </c:pt>
                <c:pt idx="102">
                  <c:v>44593</c:v>
                </c:pt>
                <c:pt idx="103">
                  <c:v>44621</c:v>
                </c:pt>
                <c:pt idx="104">
                  <c:v>44652</c:v>
                </c:pt>
                <c:pt idx="105">
                  <c:v>44682</c:v>
                </c:pt>
                <c:pt idx="106">
                  <c:v>44713</c:v>
                </c:pt>
                <c:pt idx="107">
                  <c:v>44743</c:v>
                </c:pt>
                <c:pt idx="108">
                  <c:v>44774</c:v>
                </c:pt>
                <c:pt idx="109">
                  <c:v>44805</c:v>
                </c:pt>
                <c:pt idx="110">
                  <c:v>44835</c:v>
                </c:pt>
                <c:pt idx="111">
                  <c:v>44866</c:v>
                </c:pt>
                <c:pt idx="112">
                  <c:v>44896</c:v>
                </c:pt>
                <c:pt idx="113">
                  <c:v>44927</c:v>
                </c:pt>
                <c:pt idx="114">
                  <c:v>44958</c:v>
                </c:pt>
                <c:pt idx="115">
                  <c:v>44986</c:v>
                </c:pt>
                <c:pt idx="116">
                  <c:v>45017</c:v>
                </c:pt>
              </c:numCache>
            </c:numRef>
          </c:cat>
          <c:val>
            <c:numRef>
              <c:f>'Problem 4 a(1)'!$E$2:$E$118</c:f>
              <c:numCache>
                <c:formatCode>General</c:formatCode>
                <c:ptCount val="117"/>
                <c:pt idx="0">
                  <c:v>12326</c:v>
                </c:pt>
                <c:pt idx="1">
                  <c:v>13229</c:v>
                </c:pt>
                <c:pt idx="2">
                  <c:v>13278</c:v>
                </c:pt>
                <c:pt idx="3">
                  <c:v>13592</c:v>
                </c:pt>
                <c:pt idx="4">
                  <c:v>14711</c:v>
                </c:pt>
                <c:pt idx="5">
                  <c:v>16204</c:v>
                </c:pt>
                <c:pt idx="6">
                  <c:v>17507</c:v>
                </c:pt>
                <c:pt idx="7">
                  <c:v>18537</c:v>
                </c:pt>
                <c:pt idx="8">
                  <c:v>13933</c:v>
                </c:pt>
                <c:pt idx="9">
                  <c:v>16680</c:v>
                </c:pt>
                <c:pt idx="10">
                  <c:v>14793</c:v>
                </c:pt>
                <c:pt idx="11">
                  <c:v>12742</c:v>
                </c:pt>
                <c:pt idx="12">
                  <c:v>11850</c:v>
                </c:pt>
                <c:pt idx="13">
                  <c:v>13061</c:v>
                </c:pt>
                <c:pt idx="14">
                  <c:v>13179</c:v>
                </c:pt>
                <c:pt idx="15">
                  <c:v>14340</c:v>
                </c:pt>
                <c:pt idx="16">
                  <c:v>15465</c:v>
                </c:pt>
                <c:pt idx="17">
                  <c:v>16643</c:v>
                </c:pt>
                <c:pt idx="18">
                  <c:v>17772</c:v>
                </c:pt>
                <c:pt idx="19">
                  <c:v>16582</c:v>
                </c:pt>
                <c:pt idx="20">
                  <c:v>15786</c:v>
                </c:pt>
                <c:pt idx="21">
                  <c:v>15861</c:v>
                </c:pt>
                <c:pt idx="22">
                  <c:v>15179</c:v>
                </c:pt>
                <c:pt idx="23">
                  <c:v>13520</c:v>
                </c:pt>
                <c:pt idx="24">
                  <c:v>12332</c:v>
                </c:pt>
                <c:pt idx="25">
                  <c:v>12433</c:v>
                </c:pt>
                <c:pt idx="26">
                  <c:v>12867</c:v>
                </c:pt>
                <c:pt idx="27">
                  <c:v>13505</c:v>
                </c:pt>
                <c:pt idx="28">
                  <c:v>16212</c:v>
                </c:pt>
                <c:pt idx="29">
                  <c:v>17088</c:v>
                </c:pt>
                <c:pt idx="30">
                  <c:v>17147</c:v>
                </c:pt>
                <c:pt idx="31">
                  <c:v>19881</c:v>
                </c:pt>
                <c:pt idx="32">
                  <c:v>14570</c:v>
                </c:pt>
                <c:pt idx="33">
                  <c:v>15410</c:v>
                </c:pt>
                <c:pt idx="34">
                  <c:v>14320</c:v>
                </c:pt>
                <c:pt idx="35">
                  <c:v>14438</c:v>
                </c:pt>
                <c:pt idx="36">
                  <c:v>14051</c:v>
                </c:pt>
                <c:pt idx="37">
                  <c:v>14050</c:v>
                </c:pt>
                <c:pt idx="38">
                  <c:v>14626</c:v>
                </c:pt>
                <c:pt idx="39">
                  <c:v>14553</c:v>
                </c:pt>
                <c:pt idx="40">
                  <c:v>15190</c:v>
                </c:pt>
                <c:pt idx="41">
                  <c:v>17059</c:v>
                </c:pt>
                <c:pt idx="42">
                  <c:v>18541</c:v>
                </c:pt>
                <c:pt idx="43">
                  <c:v>18567</c:v>
                </c:pt>
                <c:pt idx="44">
                  <c:v>16684</c:v>
                </c:pt>
                <c:pt idx="45">
                  <c:v>14523</c:v>
                </c:pt>
                <c:pt idx="46">
                  <c:v>13316</c:v>
                </c:pt>
                <c:pt idx="47">
                  <c:v>14466</c:v>
                </c:pt>
                <c:pt idx="48">
                  <c:v>15045</c:v>
                </c:pt>
                <c:pt idx="49">
                  <c:v>15028</c:v>
                </c:pt>
                <c:pt idx="50">
                  <c:v>15187</c:v>
                </c:pt>
                <c:pt idx="51">
                  <c:v>14271</c:v>
                </c:pt>
                <c:pt idx="52">
                  <c:v>15923</c:v>
                </c:pt>
                <c:pt idx="53">
                  <c:v>16632</c:v>
                </c:pt>
                <c:pt idx="54">
                  <c:v>18432</c:v>
                </c:pt>
                <c:pt idx="55">
                  <c:v>19743</c:v>
                </c:pt>
                <c:pt idx="56">
                  <c:v>15632</c:v>
                </c:pt>
                <c:pt idx="57">
                  <c:v>16404</c:v>
                </c:pt>
                <c:pt idx="58">
                  <c:v>15572</c:v>
                </c:pt>
                <c:pt idx="59">
                  <c:v>14310</c:v>
                </c:pt>
                <c:pt idx="60">
                  <c:v>16102</c:v>
                </c:pt>
                <c:pt idx="61">
                  <c:v>14942</c:v>
                </c:pt>
                <c:pt idx="62">
                  <c:v>14242</c:v>
                </c:pt>
                <c:pt idx="63">
                  <c:v>15039</c:v>
                </c:pt>
                <c:pt idx="64">
                  <c:v>15683</c:v>
                </c:pt>
                <c:pt idx="65">
                  <c:v>19459</c:v>
                </c:pt>
                <c:pt idx="66">
                  <c:v>18687</c:v>
                </c:pt>
                <c:pt idx="67">
                  <c:v>20459</c:v>
                </c:pt>
                <c:pt idx="68">
                  <c:v>17137</c:v>
                </c:pt>
                <c:pt idx="69">
                  <c:v>16594</c:v>
                </c:pt>
                <c:pt idx="70">
                  <c:v>16274</c:v>
                </c:pt>
                <c:pt idx="71">
                  <c:v>15103</c:v>
                </c:pt>
                <c:pt idx="72">
                  <c:v>15413</c:v>
                </c:pt>
                <c:pt idx="73">
                  <c:v>14860</c:v>
                </c:pt>
                <c:pt idx="74">
                  <c:v>14334</c:v>
                </c:pt>
                <c:pt idx="75">
                  <c:v>14398</c:v>
                </c:pt>
                <c:pt idx="76">
                  <c:v>16939</c:v>
                </c:pt>
                <c:pt idx="77">
                  <c:v>19489</c:v>
                </c:pt>
                <c:pt idx="78">
                  <c:v>20016</c:v>
                </c:pt>
                <c:pt idx="79">
                  <c:v>22099</c:v>
                </c:pt>
                <c:pt idx="80">
                  <c:v>16689</c:v>
                </c:pt>
                <c:pt idx="81">
                  <c:v>16804</c:v>
                </c:pt>
                <c:pt idx="82">
                  <c:v>16543</c:v>
                </c:pt>
                <c:pt idx="83">
                  <c:v>16045</c:v>
                </c:pt>
                <c:pt idx="84">
                  <c:v>16896</c:v>
                </c:pt>
                <c:pt idx="85">
                  <c:v>16546</c:v>
                </c:pt>
                <c:pt idx="86">
                  <c:v>15039</c:v>
                </c:pt>
                <c:pt idx="87">
                  <c:v>16872</c:v>
                </c:pt>
                <c:pt idx="88">
                  <c:v>17068</c:v>
                </c:pt>
                <c:pt idx="89">
                  <c:v>17368</c:v>
                </c:pt>
                <c:pt idx="90">
                  <c:v>20287</c:v>
                </c:pt>
                <c:pt idx="91">
                  <c:v>22133</c:v>
                </c:pt>
                <c:pt idx="92">
                  <c:v>18534</c:v>
                </c:pt>
                <c:pt idx="93">
                  <c:v>18978</c:v>
                </c:pt>
                <c:pt idx="94">
                  <c:v>15800</c:v>
                </c:pt>
                <c:pt idx="95">
                  <c:v>16379</c:v>
                </c:pt>
                <c:pt idx="96">
                  <c:v>15686</c:v>
                </c:pt>
                <c:pt idx="97">
                  <c:v>17447</c:v>
                </c:pt>
                <c:pt idx="98">
                  <c:v>15853</c:v>
                </c:pt>
                <c:pt idx="99">
                  <c:v>16267</c:v>
                </c:pt>
                <c:pt idx="100">
                  <c:v>18437</c:v>
                </c:pt>
                <c:pt idx="101">
                  <c:v>19665</c:v>
                </c:pt>
                <c:pt idx="102">
                  <c:v>22022</c:v>
                </c:pt>
                <c:pt idx="103">
                  <c:v>21775</c:v>
                </c:pt>
                <c:pt idx="104">
                  <c:v>18675</c:v>
                </c:pt>
                <c:pt idx="105">
                  <c:v>18869</c:v>
                </c:pt>
                <c:pt idx="106">
                  <c:v>17166</c:v>
                </c:pt>
                <c:pt idx="107">
                  <c:v>16354</c:v>
                </c:pt>
                <c:pt idx="108">
                  <c:v>16719</c:v>
                </c:pt>
                <c:pt idx="109">
                  <c:v>16232</c:v>
                </c:pt>
                <c:pt idx="110">
                  <c:v>15923</c:v>
                </c:pt>
                <c:pt idx="111">
                  <c:v>17682</c:v>
                </c:pt>
                <c:pt idx="112">
                  <c:v>18182</c:v>
                </c:pt>
                <c:pt idx="113">
                  <c:v>19671</c:v>
                </c:pt>
                <c:pt idx="114">
                  <c:v>21998</c:v>
                </c:pt>
                <c:pt idx="115">
                  <c:v>23076</c:v>
                </c:pt>
                <c:pt idx="116">
                  <c:v>18848</c:v>
                </c:pt>
              </c:numCache>
            </c:numRef>
          </c:val>
          <c:smooth val="0"/>
          <c:extLst>
            <c:ext xmlns:c16="http://schemas.microsoft.com/office/drawing/2014/chart" uri="{C3380CC4-5D6E-409C-BE32-E72D297353CC}">
              <c16:uniqueId val="{00000000-CF59-49FB-9FD4-7E40878D5C7F}"/>
            </c:ext>
          </c:extLst>
        </c:ser>
        <c:dLbls>
          <c:showLegendKey val="0"/>
          <c:showVal val="0"/>
          <c:showCatName val="0"/>
          <c:showSerName val="0"/>
          <c:showPercent val="0"/>
          <c:showBubbleSize val="0"/>
        </c:dLbls>
        <c:marker val="1"/>
        <c:smooth val="0"/>
        <c:axId val="390558575"/>
        <c:axId val="390562415"/>
      </c:lineChart>
      <c:dateAx>
        <c:axId val="390558575"/>
        <c:scaling>
          <c:orientation val="minMax"/>
        </c:scaling>
        <c:delete val="0"/>
        <c:axPos val="b"/>
        <c:numFmt formatCode="mmm\-yy" sourceLinked="1"/>
        <c:majorTickMark val="none"/>
        <c:minorTickMark val="none"/>
        <c:tickLblPos val="low"/>
        <c:txPr>
          <a:bodyPr rot="-5400000" vert="horz"/>
          <a:lstStyle/>
          <a:p>
            <a:pPr>
              <a:defRPr sz="800"/>
            </a:pPr>
            <a:endParaRPr lang="en-US"/>
          </a:p>
        </c:txPr>
        <c:crossAx val="390562415"/>
        <c:crosses val="autoZero"/>
        <c:auto val="1"/>
        <c:lblOffset val="100"/>
        <c:baseTimeUnit val="months"/>
      </c:dateAx>
      <c:valAx>
        <c:axId val="390562415"/>
        <c:scaling>
          <c:orientation val="minMax"/>
        </c:scaling>
        <c:delete val="0"/>
        <c:axPos val="l"/>
        <c:numFmt formatCode="General" sourceLinked="0"/>
        <c:majorTickMark val="out"/>
        <c:minorTickMark val="none"/>
        <c:tickLblPos val="nextTo"/>
        <c:txPr>
          <a:bodyPr/>
          <a:lstStyle/>
          <a:p>
            <a:pPr>
              <a:defRPr sz="800" b="0"/>
            </a:pPr>
            <a:endParaRPr lang="en-US"/>
          </a:p>
        </c:txPr>
        <c:crossAx val="390558575"/>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Forecast and Original Observations</a:t>
            </a:r>
          </a:p>
        </c:rich>
      </c:tx>
      <c:layout/>
      <c:overlay val="0"/>
    </c:title>
    <c:autoTitleDeleted val="0"/>
    <c:plotArea>
      <c:layout/>
      <c:lineChart>
        <c:grouping val="standard"/>
        <c:varyColors val="0"/>
        <c:ser>
          <c:idx val="0"/>
          <c:order val="0"/>
          <c:tx>
            <c:v>East</c:v>
          </c:tx>
          <c:spPr>
            <a:ln>
              <a:solidFill>
                <a:srgbClr val="333399"/>
              </a:solidFill>
              <a:prstDash val="solid"/>
            </a:ln>
          </c:spPr>
          <c:marker>
            <c:symbol val="none"/>
          </c:marker>
          <c:cat>
            <c:strRef>
              <c:f>'Moving average(East)'!$A$83:$A$207</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'Moving average(East)'!$B$83:$B$207</c:f>
              <c:numCache>
                <c:formatCode>0.00</c:formatCode>
                <c:ptCount val="125"/>
                <c:pt idx="0">
                  <c:v>7419</c:v>
                </c:pt>
                <c:pt idx="1">
                  <c:v>8824</c:v>
                </c:pt>
                <c:pt idx="2">
                  <c:v>11583</c:v>
                </c:pt>
                <c:pt idx="3">
                  <c:v>7958</c:v>
                </c:pt>
                <c:pt idx="4">
                  <c:v>11933</c:v>
                </c:pt>
                <c:pt idx="5">
                  <c:v>11227</c:v>
                </c:pt>
                <c:pt idx="6">
                  <c:v>11258</c:v>
                </c:pt>
                <c:pt idx="7">
                  <c:v>15904</c:v>
                </c:pt>
                <c:pt idx="8">
                  <c:v>14470</c:v>
                </c:pt>
                <c:pt idx="9">
                  <c:v>10916</c:v>
                </c:pt>
                <c:pt idx="10">
                  <c:v>10391</c:v>
                </c:pt>
                <c:pt idx="11">
                  <c:v>8481</c:v>
                </c:pt>
                <c:pt idx="12">
                  <c:v>10120</c:v>
                </c:pt>
                <c:pt idx="13">
                  <c:v>8910</c:v>
                </c:pt>
                <c:pt idx="14">
                  <c:v>9375</c:v>
                </c:pt>
                <c:pt idx="15">
                  <c:v>12366</c:v>
                </c:pt>
                <c:pt idx="16">
                  <c:v>10808</c:v>
                </c:pt>
                <c:pt idx="17">
                  <c:v>11982</c:v>
                </c:pt>
                <c:pt idx="18">
                  <c:v>13330</c:v>
                </c:pt>
                <c:pt idx="19">
                  <c:v>12233</c:v>
                </c:pt>
                <c:pt idx="20">
                  <c:v>12302</c:v>
                </c:pt>
                <c:pt idx="21">
                  <c:v>7227</c:v>
                </c:pt>
                <c:pt idx="22">
                  <c:v>12660</c:v>
                </c:pt>
                <c:pt idx="23">
                  <c:v>9800</c:v>
                </c:pt>
                <c:pt idx="24">
                  <c:v>12004</c:v>
                </c:pt>
                <c:pt idx="25">
                  <c:v>10006</c:v>
                </c:pt>
                <c:pt idx="26">
                  <c:v>8394</c:v>
                </c:pt>
                <c:pt idx="27">
                  <c:v>9953</c:v>
                </c:pt>
                <c:pt idx="28">
                  <c:v>10461</c:v>
                </c:pt>
                <c:pt idx="29">
                  <c:v>10893</c:v>
                </c:pt>
                <c:pt idx="30">
                  <c:v>9212</c:v>
                </c:pt>
                <c:pt idx="31">
                  <c:v>13209</c:v>
                </c:pt>
                <c:pt idx="32">
                  <c:v>10294</c:v>
                </c:pt>
                <c:pt idx="33">
                  <c:v>11540</c:v>
                </c:pt>
                <c:pt idx="34">
                  <c:v>10219</c:v>
                </c:pt>
                <c:pt idx="35">
                  <c:v>10230</c:v>
                </c:pt>
                <c:pt idx="36">
                  <c:v>9985</c:v>
                </c:pt>
                <c:pt idx="37">
                  <c:v>6832</c:v>
                </c:pt>
                <c:pt idx="38">
                  <c:v>9050</c:v>
                </c:pt>
                <c:pt idx="39">
                  <c:v>10082</c:v>
                </c:pt>
                <c:pt idx="40">
                  <c:v>10659</c:v>
                </c:pt>
                <c:pt idx="41">
                  <c:v>11458</c:v>
                </c:pt>
                <c:pt idx="42">
                  <c:v>10867</c:v>
                </c:pt>
                <c:pt idx="43">
                  <c:v>12409</c:v>
                </c:pt>
                <c:pt idx="44">
                  <c:v>11869</c:v>
                </c:pt>
                <c:pt idx="45">
                  <c:v>8729</c:v>
                </c:pt>
                <c:pt idx="46">
                  <c:v>10665</c:v>
                </c:pt>
                <c:pt idx="47">
                  <c:v>8003</c:v>
                </c:pt>
                <c:pt idx="48">
                  <c:v>9224</c:v>
                </c:pt>
                <c:pt idx="49">
                  <c:v>9140</c:v>
                </c:pt>
                <c:pt idx="50">
                  <c:v>11616</c:v>
                </c:pt>
                <c:pt idx="51">
                  <c:v>9428</c:v>
                </c:pt>
                <c:pt idx="52">
                  <c:v>14249</c:v>
                </c:pt>
                <c:pt idx="53">
                  <c:v>9511</c:v>
                </c:pt>
                <c:pt idx="54">
                  <c:v>12094</c:v>
                </c:pt>
                <c:pt idx="55">
                  <c:v>13273</c:v>
                </c:pt>
                <c:pt idx="56">
                  <c:v>11184</c:v>
                </c:pt>
                <c:pt idx="57">
                  <c:v>10793</c:v>
                </c:pt>
                <c:pt idx="58">
                  <c:v>8693</c:v>
                </c:pt>
                <c:pt idx="59">
                  <c:v>8479</c:v>
                </c:pt>
                <c:pt idx="60">
                  <c:v>8120</c:v>
                </c:pt>
                <c:pt idx="61">
                  <c:v>9239</c:v>
                </c:pt>
                <c:pt idx="62">
                  <c:v>9266</c:v>
                </c:pt>
                <c:pt idx="63">
                  <c:v>8652</c:v>
                </c:pt>
                <c:pt idx="64">
                  <c:v>12405</c:v>
                </c:pt>
                <c:pt idx="65">
                  <c:v>8964</c:v>
                </c:pt>
                <c:pt idx="66">
                  <c:v>11521</c:v>
                </c:pt>
                <c:pt idx="67">
                  <c:v>12368</c:v>
                </c:pt>
                <c:pt idx="68">
                  <c:v>12729</c:v>
                </c:pt>
                <c:pt idx="69">
                  <c:v>10956</c:v>
                </c:pt>
                <c:pt idx="70">
                  <c:v>12069</c:v>
                </c:pt>
                <c:pt idx="71">
                  <c:v>9902</c:v>
                </c:pt>
                <c:pt idx="72">
                  <c:v>10091</c:v>
                </c:pt>
                <c:pt idx="73">
                  <c:v>9769</c:v>
                </c:pt>
                <c:pt idx="74">
                  <c:v>8578</c:v>
                </c:pt>
                <c:pt idx="75">
                  <c:v>9763</c:v>
                </c:pt>
                <c:pt idx="76">
                  <c:v>8348</c:v>
                </c:pt>
                <c:pt idx="77">
                  <c:v>9237</c:v>
                </c:pt>
                <c:pt idx="78">
                  <c:v>11204</c:v>
                </c:pt>
                <c:pt idx="79">
                  <c:v>10737</c:v>
                </c:pt>
                <c:pt idx="80">
                  <c:v>12276</c:v>
                </c:pt>
                <c:pt idx="81">
                  <c:v>9230</c:v>
                </c:pt>
                <c:pt idx="82">
                  <c:v>9405</c:v>
                </c:pt>
                <c:pt idx="83">
                  <c:v>10378</c:v>
                </c:pt>
                <c:pt idx="84">
                  <c:v>8827</c:v>
                </c:pt>
                <c:pt idx="85">
                  <c:v>8559</c:v>
                </c:pt>
                <c:pt idx="86">
                  <c:v>9143</c:v>
                </c:pt>
                <c:pt idx="87">
                  <c:v>9989</c:v>
                </c:pt>
                <c:pt idx="88">
                  <c:v>9299</c:v>
                </c:pt>
                <c:pt idx="89">
                  <c:v>10524</c:v>
                </c:pt>
                <c:pt idx="90">
                  <c:v>12887</c:v>
                </c:pt>
                <c:pt idx="91">
                  <c:v>11145</c:v>
                </c:pt>
                <c:pt idx="92">
                  <c:v>11882</c:v>
                </c:pt>
                <c:pt idx="93">
                  <c:v>9448</c:v>
                </c:pt>
                <c:pt idx="94">
                  <c:v>7857</c:v>
                </c:pt>
                <c:pt idx="95">
                  <c:v>8482</c:v>
                </c:pt>
                <c:pt idx="96">
                  <c:v>9064</c:v>
                </c:pt>
                <c:pt idx="97">
                  <c:v>7591</c:v>
                </c:pt>
                <c:pt idx="98">
                  <c:v>8801</c:v>
                </c:pt>
                <c:pt idx="99">
                  <c:v>10634</c:v>
                </c:pt>
                <c:pt idx="100">
                  <c:v>9951</c:v>
                </c:pt>
                <c:pt idx="101">
                  <c:v>11214</c:v>
                </c:pt>
                <c:pt idx="102">
                  <c:v>10990</c:v>
                </c:pt>
                <c:pt idx="103">
                  <c:v>11975</c:v>
                </c:pt>
                <c:pt idx="104">
                  <c:v>12137</c:v>
                </c:pt>
                <c:pt idx="105">
                  <c:v>10892</c:v>
                </c:pt>
                <c:pt idx="106">
                  <c:v>11249</c:v>
                </c:pt>
                <c:pt idx="107">
                  <c:v>7531</c:v>
                </c:pt>
                <c:pt idx="108">
                  <c:v>7992</c:v>
                </c:pt>
                <c:pt idx="109">
                  <c:v>9230</c:v>
                </c:pt>
                <c:pt idx="110">
                  <c:v>10123</c:v>
                </c:pt>
                <c:pt idx="111">
                  <c:v>11419</c:v>
                </c:pt>
                <c:pt idx="112">
                  <c:v>12102</c:v>
                </c:pt>
                <c:pt idx="113">
                  <c:v>10903</c:v>
                </c:pt>
                <c:pt idx="114">
                  <c:v>12513</c:v>
                </c:pt>
                <c:pt idx="115">
                  <c:v>10696</c:v>
                </c:pt>
                <c:pt idx="116">
                  <c:v>13758</c:v>
                </c:pt>
              </c:numCache>
            </c:numRef>
          </c:val>
          <c:smooth val="0"/>
          <c:extLst>
            <c:ext xmlns:c16="http://schemas.microsoft.com/office/drawing/2014/chart" uri="{C3380CC4-5D6E-409C-BE32-E72D297353CC}">
              <c16:uniqueId val="{00000000-55A9-46D4-99E2-4A06673255E5}"/>
            </c:ext>
          </c:extLst>
        </c:ser>
        <c:ser>
          <c:idx val="1"/>
          <c:order val="1"/>
          <c:tx>
            <c:v>Forecast</c:v>
          </c:tx>
          <c:spPr>
            <a:ln>
              <a:solidFill>
                <a:srgbClr val="993366"/>
              </a:solidFill>
              <a:prstDash val="solid"/>
            </a:ln>
          </c:spPr>
          <c:marker>
            <c:symbol val="none"/>
          </c:marker>
          <c:cat>
            <c:strRef>
              <c:f>'Moving average(East)'!$A$83:$A$207</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'Moving average(East)'!$C$83:$C$207</c:f>
              <c:numCache>
                <c:formatCode>0.00</c:formatCode>
                <c:ptCount val="125"/>
                <c:pt idx="4">
                  <c:v>8946</c:v>
                </c:pt>
                <c:pt idx="5">
                  <c:v>10074.5</c:v>
                </c:pt>
                <c:pt idx="6">
                  <c:v>10675.25</c:v>
                </c:pt>
                <c:pt idx="7">
                  <c:v>10594</c:v>
                </c:pt>
                <c:pt idx="8">
                  <c:v>12580.5</c:v>
                </c:pt>
                <c:pt idx="9">
                  <c:v>13214.75</c:v>
                </c:pt>
                <c:pt idx="10">
                  <c:v>13137</c:v>
                </c:pt>
                <c:pt idx="11">
                  <c:v>12920.25</c:v>
                </c:pt>
                <c:pt idx="12">
                  <c:v>11064.5</c:v>
                </c:pt>
                <c:pt idx="13">
                  <c:v>9977</c:v>
                </c:pt>
                <c:pt idx="14">
                  <c:v>9475.5</c:v>
                </c:pt>
                <c:pt idx="15">
                  <c:v>9221.5</c:v>
                </c:pt>
                <c:pt idx="16">
                  <c:v>10192.75</c:v>
                </c:pt>
                <c:pt idx="17">
                  <c:v>10364.75</c:v>
                </c:pt>
                <c:pt idx="18">
                  <c:v>11132.75</c:v>
                </c:pt>
                <c:pt idx="19">
                  <c:v>12121.5</c:v>
                </c:pt>
                <c:pt idx="20">
                  <c:v>12088.25</c:v>
                </c:pt>
                <c:pt idx="21">
                  <c:v>12461.75</c:v>
                </c:pt>
                <c:pt idx="22">
                  <c:v>11273</c:v>
                </c:pt>
                <c:pt idx="23">
                  <c:v>11105.5</c:v>
                </c:pt>
                <c:pt idx="24">
                  <c:v>10497.25</c:v>
                </c:pt>
                <c:pt idx="25">
                  <c:v>10422.75</c:v>
                </c:pt>
                <c:pt idx="26">
                  <c:v>11117.5</c:v>
                </c:pt>
                <c:pt idx="27">
                  <c:v>10051</c:v>
                </c:pt>
                <c:pt idx="28">
                  <c:v>10089.25</c:v>
                </c:pt>
                <c:pt idx="29">
                  <c:v>9703.5</c:v>
                </c:pt>
                <c:pt idx="30">
                  <c:v>9925.25</c:v>
                </c:pt>
                <c:pt idx="31">
                  <c:v>10129.75</c:v>
                </c:pt>
                <c:pt idx="32">
                  <c:v>10943.75</c:v>
                </c:pt>
                <c:pt idx="33">
                  <c:v>10902</c:v>
                </c:pt>
                <c:pt idx="34">
                  <c:v>11063.75</c:v>
                </c:pt>
                <c:pt idx="35">
                  <c:v>11315.5</c:v>
                </c:pt>
                <c:pt idx="36">
                  <c:v>10570.75</c:v>
                </c:pt>
                <c:pt idx="37">
                  <c:v>10493.5</c:v>
                </c:pt>
                <c:pt idx="38">
                  <c:v>9316.5</c:v>
                </c:pt>
                <c:pt idx="39">
                  <c:v>9024.25</c:v>
                </c:pt>
                <c:pt idx="40">
                  <c:v>8987.25</c:v>
                </c:pt>
                <c:pt idx="41">
                  <c:v>9155.75</c:v>
                </c:pt>
                <c:pt idx="42">
                  <c:v>10312.25</c:v>
                </c:pt>
                <c:pt idx="43">
                  <c:v>10766.5</c:v>
                </c:pt>
                <c:pt idx="44">
                  <c:v>11348.25</c:v>
                </c:pt>
                <c:pt idx="45">
                  <c:v>11650.75</c:v>
                </c:pt>
                <c:pt idx="46">
                  <c:v>10968.5</c:v>
                </c:pt>
                <c:pt idx="47">
                  <c:v>10918</c:v>
                </c:pt>
                <c:pt idx="48">
                  <c:v>9816.5</c:v>
                </c:pt>
                <c:pt idx="49">
                  <c:v>9155.25</c:v>
                </c:pt>
                <c:pt idx="50">
                  <c:v>9258</c:v>
                </c:pt>
                <c:pt idx="51">
                  <c:v>9495.75</c:v>
                </c:pt>
                <c:pt idx="52">
                  <c:v>9852</c:v>
                </c:pt>
                <c:pt idx="53">
                  <c:v>11108.25</c:v>
                </c:pt>
                <c:pt idx="54">
                  <c:v>11201</c:v>
                </c:pt>
                <c:pt idx="55">
                  <c:v>11320.5</c:v>
                </c:pt>
                <c:pt idx="56">
                  <c:v>12281.75</c:v>
                </c:pt>
                <c:pt idx="57">
                  <c:v>11515.5</c:v>
                </c:pt>
                <c:pt idx="58">
                  <c:v>11836</c:v>
                </c:pt>
                <c:pt idx="59">
                  <c:v>10985.75</c:v>
                </c:pt>
                <c:pt idx="60">
                  <c:v>9787.25</c:v>
                </c:pt>
                <c:pt idx="61">
                  <c:v>9021.25</c:v>
                </c:pt>
                <c:pt idx="62">
                  <c:v>8632.75</c:v>
                </c:pt>
                <c:pt idx="63">
                  <c:v>8776</c:v>
                </c:pt>
                <c:pt idx="64">
                  <c:v>8819.25</c:v>
                </c:pt>
                <c:pt idx="65">
                  <c:v>9890.5</c:v>
                </c:pt>
                <c:pt idx="66">
                  <c:v>9821.75</c:v>
                </c:pt>
                <c:pt idx="67">
                  <c:v>10385.5</c:v>
                </c:pt>
                <c:pt idx="68">
                  <c:v>11314.5</c:v>
                </c:pt>
                <c:pt idx="69">
                  <c:v>11395.5</c:v>
                </c:pt>
                <c:pt idx="70">
                  <c:v>11893.5</c:v>
                </c:pt>
                <c:pt idx="71">
                  <c:v>12030.5</c:v>
                </c:pt>
                <c:pt idx="72">
                  <c:v>11414</c:v>
                </c:pt>
                <c:pt idx="73">
                  <c:v>10754.5</c:v>
                </c:pt>
                <c:pt idx="74">
                  <c:v>10457.75</c:v>
                </c:pt>
                <c:pt idx="75">
                  <c:v>9585</c:v>
                </c:pt>
                <c:pt idx="76">
                  <c:v>9550.25</c:v>
                </c:pt>
                <c:pt idx="77">
                  <c:v>9114.5</c:v>
                </c:pt>
                <c:pt idx="78">
                  <c:v>8981.5</c:v>
                </c:pt>
                <c:pt idx="79">
                  <c:v>9638</c:v>
                </c:pt>
                <c:pt idx="80">
                  <c:v>9881.5</c:v>
                </c:pt>
                <c:pt idx="81">
                  <c:v>10863.5</c:v>
                </c:pt>
                <c:pt idx="82">
                  <c:v>10861.75</c:v>
                </c:pt>
                <c:pt idx="83">
                  <c:v>10412</c:v>
                </c:pt>
                <c:pt idx="84">
                  <c:v>10322.25</c:v>
                </c:pt>
                <c:pt idx="85">
                  <c:v>9460</c:v>
                </c:pt>
                <c:pt idx="86">
                  <c:v>9292.25</c:v>
                </c:pt>
                <c:pt idx="87">
                  <c:v>9226.75</c:v>
                </c:pt>
                <c:pt idx="88">
                  <c:v>9129.5</c:v>
                </c:pt>
                <c:pt idx="89">
                  <c:v>9247.5</c:v>
                </c:pt>
                <c:pt idx="90">
                  <c:v>9738.75</c:v>
                </c:pt>
                <c:pt idx="91">
                  <c:v>10674.75</c:v>
                </c:pt>
                <c:pt idx="92">
                  <c:v>10963.75</c:v>
                </c:pt>
                <c:pt idx="93">
                  <c:v>11609.5</c:v>
                </c:pt>
                <c:pt idx="94">
                  <c:v>11340.5</c:v>
                </c:pt>
                <c:pt idx="95">
                  <c:v>10083</c:v>
                </c:pt>
                <c:pt idx="96">
                  <c:v>9417.25</c:v>
                </c:pt>
                <c:pt idx="97">
                  <c:v>8712.75</c:v>
                </c:pt>
                <c:pt idx="98">
                  <c:v>8248.5</c:v>
                </c:pt>
                <c:pt idx="99">
                  <c:v>8484.5</c:v>
                </c:pt>
                <c:pt idx="100">
                  <c:v>9022.5</c:v>
                </c:pt>
                <c:pt idx="101">
                  <c:v>9244.25</c:v>
                </c:pt>
                <c:pt idx="102">
                  <c:v>10150</c:v>
                </c:pt>
                <c:pt idx="103">
                  <c:v>10697.25</c:v>
                </c:pt>
                <c:pt idx="104">
                  <c:v>11032.5</c:v>
                </c:pt>
                <c:pt idx="105">
                  <c:v>11579</c:v>
                </c:pt>
                <c:pt idx="106">
                  <c:v>11498.5</c:v>
                </c:pt>
                <c:pt idx="107">
                  <c:v>11563.25</c:v>
                </c:pt>
                <c:pt idx="108">
                  <c:v>10452.25</c:v>
                </c:pt>
                <c:pt idx="109">
                  <c:v>9416</c:v>
                </c:pt>
                <c:pt idx="110">
                  <c:v>9000.5</c:v>
                </c:pt>
                <c:pt idx="111">
                  <c:v>8719</c:v>
                </c:pt>
                <c:pt idx="112">
                  <c:v>9691</c:v>
                </c:pt>
                <c:pt idx="113">
                  <c:v>10718.5</c:v>
                </c:pt>
                <c:pt idx="114">
                  <c:v>11136.75</c:v>
                </c:pt>
                <c:pt idx="115">
                  <c:v>11734.25</c:v>
                </c:pt>
                <c:pt idx="116">
                  <c:v>11553.5</c:v>
                </c:pt>
                <c:pt idx="117">
                  <c:v>11967.5</c:v>
                </c:pt>
                <c:pt idx="118">
                  <c:v>12233.625</c:v>
                </c:pt>
                <c:pt idx="119">
                  <c:v>12163.78125</c:v>
                </c:pt>
                <c:pt idx="120">
                  <c:v>12530.7265625</c:v>
                </c:pt>
                <c:pt idx="121">
                  <c:v>12223.908203125</c:v>
                </c:pt>
                <c:pt idx="122">
                  <c:v>12288.01025390625</c:v>
                </c:pt>
                <c:pt idx="123">
                  <c:v>12301.606567382813</c:v>
                </c:pt>
                <c:pt idx="124">
                  <c:v>12336.062896728516</c:v>
                </c:pt>
              </c:numCache>
            </c:numRef>
          </c:val>
          <c:smooth val="0"/>
          <c:extLst>
            <c:ext xmlns:c16="http://schemas.microsoft.com/office/drawing/2014/chart" uri="{C3380CC4-5D6E-409C-BE32-E72D297353CC}">
              <c16:uniqueId val="{00000001-55A9-46D4-99E2-4A06673255E5}"/>
            </c:ext>
          </c:extLst>
        </c:ser>
        <c:dLbls>
          <c:showLegendKey val="0"/>
          <c:showVal val="0"/>
          <c:showCatName val="0"/>
          <c:showSerName val="0"/>
          <c:showPercent val="0"/>
          <c:showBubbleSize val="0"/>
        </c:dLbls>
        <c:smooth val="0"/>
        <c:axId val="284775071"/>
        <c:axId val="284750591"/>
      </c:lineChart>
      <c:catAx>
        <c:axId val="284775071"/>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284750591"/>
        <c:crosses val="autoZero"/>
        <c:auto val="1"/>
        <c:lblAlgn val="ctr"/>
        <c:lblOffset val="100"/>
        <c:noMultiLvlLbl val="0"/>
      </c:catAx>
      <c:valAx>
        <c:axId val="284750591"/>
        <c:scaling>
          <c:orientation val="minMax"/>
        </c:scaling>
        <c:delete val="0"/>
        <c:axPos val="l"/>
        <c:numFmt formatCode="0.00" sourceLinked="0"/>
        <c:majorTickMark val="out"/>
        <c:minorTickMark val="none"/>
        <c:tickLblPos val="nextTo"/>
        <c:txPr>
          <a:bodyPr/>
          <a:lstStyle/>
          <a:p>
            <a:pPr>
              <a:defRPr sz="800" b="0"/>
            </a:pPr>
            <a:endParaRPr lang="en-US"/>
          </a:p>
        </c:txPr>
        <c:crossAx val="284775071"/>
        <c:crosses val="autoZero"/>
        <c:crossBetween val="between"/>
      </c:valAx>
    </c:plotArea>
    <c:legend>
      <c:legendPos val="r"/>
      <c:layout/>
      <c:overlay val="0"/>
      <c:spPr>
        <a:ln>
          <a:solidFill>
            <a:srgbClr val="000000"/>
          </a:solidFill>
          <a:prstDash val="solid"/>
        </a:ln>
      </c:sp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Original Observations</a:t>
            </a:r>
          </a:p>
        </c:rich>
      </c:tx>
      <c:overlay val="0"/>
    </c:title>
    <c:autoTitleDeleted val="0"/>
    <c:plotArea>
      <c:layout/>
      <c:lineChart>
        <c:grouping val="standard"/>
        <c:varyColors val="0"/>
        <c:ser>
          <c:idx val="0"/>
          <c:order val="0"/>
          <c:tx>
            <c:v>East</c:v>
          </c:tx>
          <c:spPr>
            <a:ln>
              <a:solidFill>
                <a:srgbClr val="333399"/>
              </a:solidFill>
              <a:prstDash val="solid"/>
            </a:ln>
          </c:spPr>
          <c:marker>
            <c:symbol val="none"/>
          </c:marker>
          <c:cat>
            <c:strRef>
              <c:f>'Moving average(East)'!$A$83:$A$199</c:f>
              <c:strCache>
                <c:ptCount val="117"/>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strCache>
            </c:strRef>
          </c:cat>
          <c:val>
            <c:numRef>
              <c:f>'Moving average(East)'!$B$83:$B$199</c:f>
              <c:numCache>
                <c:formatCode>0.00</c:formatCode>
                <c:ptCount val="117"/>
                <c:pt idx="0">
                  <c:v>7419</c:v>
                </c:pt>
                <c:pt idx="1">
                  <c:v>8824</c:v>
                </c:pt>
                <c:pt idx="2">
                  <c:v>11583</c:v>
                </c:pt>
                <c:pt idx="3">
                  <c:v>7958</c:v>
                </c:pt>
                <c:pt idx="4">
                  <c:v>11933</c:v>
                </c:pt>
                <c:pt idx="5">
                  <c:v>11227</c:v>
                </c:pt>
                <c:pt idx="6">
                  <c:v>11258</c:v>
                </c:pt>
                <c:pt idx="7">
                  <c:v>15904</c:v>
                </c:pt>
                <c:pt idx="8">
                  <c:v>14470</c:v>
                </c:pt>
                <c:pt idx="9">
                  <c:v>10916</c:v>
                </c:pt>
                <c:pt idx="10">
                  <c:v>10391</c:v>
                </c:pt>
                <c:pt idx="11">
                  <c:v>8481</c:v>
                </c:pt>
                <c:pt idx="12">
                  <c:v>10120</c:v>
                </c:pt>
                <c:pt idx="13">
                  <c:v>8910</c:v>
                </c:pt>
                <c:pt idx="14">
                  <c:v>9375</c:v>
                </c:pt>
                <c:pt idx="15">
                  <c:v>12366</c:v>
                </c:pt>
                <c:pt idx="16">
                  <c:v>10808</c:v>
                </c:pt>
                <c:pt idx="17">
                  <c:v>11982</c:v>
                </c:pt>
                <c:pt idx="18">
                  <c:v>13330</c:v>
                </c:pt>
                <c:pt idx="19">
                  <c:v>12233</c:v>
                </c:pt>
                <c:pt idx="20">
                  <c:v>12302</c:v>
                </c:pt>
                <c:pt idx="21">
                  <c:v>7227</c:v>
                </c:pt>
                <c:pt idx="22">
                  <c:v>12660</c:v>
                </c:pt>
                <c:pt idx="23">
                  <c:v>9800</c:v>
                </c:pt>
                <c:pt idx="24">
                  <c:v>12004</c:v>
                </c:pt>
                <c:pt idx="25">
                  <c:v>10006</c:v>
                </c:pt>
                <c:pt idx="26">
                  <c:v>8394</c:v>
                </c:pt>
                <c:pt idx="27">
                  <c:v>9953</c:v>
                </c:pt>
                <c:pt idx="28">
                  <c:v>10461</c:v>
                </c:pt>
                <c:pt idx="29">
                  <c:v>10893</c:v>
                </c:pt>
                <c:pt idx="30">
                  <c:v>9212</c:v>
                </c:pt>
                <c:pt idx="31">
                  <c:v>13209</c:v>
                </c:pt>
                <c:pt idx="32">
                  <c:v>10294</c:v>
                </c:pt>
                <c:pt idx="33">
                  <c:v>11540</c:v>
                </c:pt>
                <c:pt idx="34">
                  <c:v>10219</c:v>
                </c:pt>
                <c:pt idx="35">
                  <c:v>10230</c:v>
                </c:pt>
                <c:pt idx="36">
                  <c:v>9985</c:v>
                </c:pt>
                <c:pt idx="37">
                  <c:v>6832</c:v>
                </c:pt>
                <c:pt idx="38">
                  <c:v>9050</c:v>
                </c:pt>
                <c:pt idx="39">
                  <c:v>10082</c:v>
                </c:pt>
                <c:pt idx="40">
                  <c:v>10659</c:v>
                </c:pt>
                <c:pt idx="41">
                  <c:v>11458</c:v>
                </c:pt>
                <c:pt idx="42">
                  <c:v>10867</c:v>
                </c:pt>
                <c:pt idx="43">
                  <c:v>12409</c:v>
                </c:pt>
                <c:pt idx="44">
                  <c:v>11869</c:v>
                </c:pt>
                <c:pt idx="45">
                  <c:v>8729</c:v>
                </c:pt>
                <c:pt idx="46">
                  <c:v>10665</c:v>
                </c:pt>
                <c:pt idx="47">
                  <c:v>8003</c:v>
                </c:pt>
                <c:pt idx="48">
                  <c:v>9224</c:v>
                </c:pt>
                <c:pt idx="49">
                  <c:v>9140</c:v>
                </c:pt>
                <c:pt idx="50">
                  <c:v>11616</c:v>
                </c:pt>
                <c:pt idx="51">
                  <c:v>9428</c:v>
                </c:pt>
                <c:pt idx="52">
                  <c:v>14249</c:v>
                </c:pt>
                <c:pt idx="53">
                  <c:v>9511</c:v>
                </c:pt>
                <c:pt idx="54">
                  <c:v>12094</c:v>
                </c:pt>
                <c:pt idx="55">
                  <c:v>13273</c:v>
                </c:pt>
                <c:pt idx="56">
                  <c:v>11184</c:v>
                </c:pt>
                <c:pt idx="57">
                  <c:v>10793</c:v>
                </c:pt>
                <c:pt idx="58">
                  <c:v>8693</c:v>
                </c:pt>
                <c:pt idx="59">
                  <c:v>8479</c:v>
                </c:pt>
                <c:pt idx="60">
                  <c:v>8120</c:v>
                </c:pt>
                <c:pt idx="61">
                  <c:v>9239</c:v>
                </c:pt>
                <c:pt idx="62">
                  <c:v>9266</c:v>
                </c:pt>
                <c:pt idx="63">
                  <c:v>8652</c:v>
                </c:pt>
                <c:pt idx="64">
                  <c:v>12405</c:v>
                </c:pt>
                <c:pt idx="65">
                  <c:v>8964</c:v>
                </c:pt>
                <c:pt idx="66">
                  <c:v>11521</c:v>
                </c:pt>
                <c:pt idx="67">
                  <c:v>12368</c:v>
                </c:pt>
                <c:pt idx="68">
                  <c:v>12729</c:v>
                </c:pt>
                <c:pt idx="69">
                  <c:v>10956</c:v>
                </c:pt>
                <c:pt idx="70">
                  <c:v>12069</c:v>
                </c:pt>
                <c:pt idx="71">
                  <c:v>9902</c:v>
                </c:pt>
                <c:pt idx="72">
                  <c:v>10091</c:v>
                </c:pt>
                <c:pt idx="73">
                  <c:v>9769</c:v>
                </c:pt>
                <c:pt idx="74">
                  <c:v>8578</c:v>
                </c:pt>
                <c:pt idx="75">
                  <c:v>9763</c:v>
                </c:pt>
                <c:pt idx="76">
                  <c:v>8348</c:v>
                </c:pt>
                <c:pt idx="77">
                  <c:v>9237</c:v>
                </c:pt>
                <c:pt idx="78">
                  <c:v>11204</c:v>
                </c:pt>
                <c:pt idx="79">
                  <c:v>10737</c:v>
                </c:pt>
                <c:pt idx="80">
                  <c:v>12276</c:v>
                </c:pt>
                <c:pt idx="81">
                  <c:v>9230</c:v>
                </c:pt>
                <c:pt idx="82">
                  <c:v>9405</c:v>
                </c:pt>
                <c:pt idx="83">
                  <c:v>10378</c:v>
                </c:pt>
                <c:pt idx="84">
                  <c:v>8827</c:v>
                </c:pt>
                <c:pt idx="85">
                  <c:v>8559</c:v>
                </c:pt>
                <c:pt idx="86">
                  <c:v>9143</c:v>
                </c:pt>
                <c:pt idx="87">
                  <c:v>9989</c:v>
                </c:pt>
                <c:pt idx="88">
                  <c:v>9299</c:v>
                </c:pt>
                <c:pt idx="89">
                  <c:v>10524</c:v>
                </c:pt>
                <c:pt idx="90">
                  <c:v>12887</c:v>
                </c:pt>
                <c:pt idx="91">
                  <c:v>11145</c:v>
                </c:pt>
                <c:pt idx="92">
                  <c:v>11882</c:v>
                </c:pt>
                <c:pt idx="93">
                  <c:v>9448</c:v>
                </c:pt>
                <c:pt idx="94">
                  <c:v>7857</c:v>
                </c:pt>
                <c:pt idx="95">
                  <c:v>8482</c:v>
                </c:pt>
                <c:pt idx="96">
                  <c:v>9064</c:v>
                </c:pt>
                <c:pt idx="97">
                  <c:v>7591</c:v>
                </c:pt>
                <c:pt idx="98">
                  <c:v>8801</c:v>
                </c:pt>
                <c:pt idx="99">
                  <c:v>10634</c:v>
                </c:pt>
                <c:pt idx="100">
                  <c:v>9951</c:v>
                </c:pt>
                <c:pt idx="101">
                  <c:v>11214</c:v>
                </c:pt>
                <c:pt idx="102">
                  <c:v>10990</c:v>
                </c:pt>
                <c:pt idx="103">
                  <c:v>11975</c:v>
                </c:pt>
                <c:pt idx="104">
                  <c:v>12137</c:v>
                </c:pt>
                <c:pt idx="105">
                  <c:v>10892</c:v>
                </c:pt>
                <c:pt idx="106">
                  <c:v>11249</c:v>
                </c:pt>
                <c:pt idx="107">
                  <c:v>7531</c:v>
                </c:pt>
                <c:pt idx="108">
                  <c:v>7992</c:v>
                </c:pt>
                <c:pt idx="109">
                  <c:v>9230</c:v>
                </c:pt>
                <c:pt idx="110">
                  <c:v>10123</c:v>
                </c:pt>
                <c:pt idx="111">
                  <c:v>11419</c:v>
                </c:pt>
                <c:pt idx="112">
                  <c:v>12102</c:v>
                </c:pt>
                <c:pt idx="113">
                  <c:v>10903</c:v>
                </c:pt>
                <c:pt idx="114">
                  <c:v>12513</c:v>
                </c:pt>
                <c:pt idx="115">
                  <c:v>10696</c:v>
                </c:pt>
                <c:pt idx="116">
                  <c:v>13758</c:v>
                </c:pt>
              </c:numCache>
            </c:numRef>
          </c:val>
          <c:smooth val="0"/>
          <c:extLst>
            <c:ext xmlns:c16="http://schemas.microsoft.com/office/drawing/2014/chart" uri="{C3380CC4-5D6E-409C-BE32-E72D297353CC}">
              <c16:uniqueId val="{00000000-C9F7-4ADD-AF4B-A45DD7D6D654}"/>
            </c:ext>
          </c:extLst>
        </c:ser>
        <c:dLbls>
          <c:showLegendKey val="0"/>
          <c:showVal val="0"/>
          <c:showCatName val="0"/>
          <c:showSerName val="0"/>
          <c:showPercent val="0"/>
          <c:showBubbleSize val="0"/>
        </c:dLbls>
        <c:smooth val="0"/>
        <c:axId val="284751071"/>
        <c:axId val="284757791"/>
      </c:lineChart>
      <c:catAx>
        <c:axId val="284751071"/>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284757791"/>
        <c:crosses val="autoZero"/>
        <c:auto val="1"/>
        <c:lblAlgn val="ctr"/>
        <c:lblOffset val="100"/>
        <c:noMultiLvlLbl val="0"/>
      </c:catAx>
      <c:valAx>
        <c:axId val="284757791"/>
        <c:scaling>
          <c:orientation val="minMax"/>
        </c:scaling>
        <c:delete val="0"/>
        <c:axPos val="l"/>
        <c:numFmt formatCode="0.00" sourceLinked="0"/>
        <c:majorTickMark val="out"/>
        <c:minorTickMark val="none"/>
        <c:tickLblPos val="nextTo"/>
        <c:txPr>
          <a:bodyPr/>
          <a:lstStyle/>
          <a:p>
            <a:pPr>
              <a:defRPr sz="800" b="0"/>
            </a:pPr>
            <a:endParaRPr lang="en-US"/>
          </a:p>
        </c:txPr>
        <c:crossAx val="284751071"/>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Forecast Errors</a:t>
            </a:r>
          </a:p>
        </c:rich>
      </c:tx>
      <c:overlay val="0"/>
    </c:title>
    <c:autoTitleDeleted val="0"/>
    <c:plotArea>
      <c:layout/>
      <c:lineChart>
        <c:grouping val="standard"/>
        <c:varyColors val="0"/>
        <c:ser>
          <c:idx val="0"/>
          <c:order val="0"/>
          <c:tx>
            <c:v>Errors</c:v>
          </c:tx>
          <c:spPr>
            <a:ln>
              <a:solidFill>
                <a:srgbClr val="333399"/>
              </a:solidFill>
              <a:prstDash val="solid"/>
            </a:ln>
          </c:spPr>
          <c:marker>
            <c:symbol val="none"/>
          </c:marker>
          <c:cat>
            <c:strRef>
              <c:f>'Moving average(East)'!$A$83:$A$199</c:f>
              <c:strCache>
                <c:ptCount val="117"/>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strCache>
            </c:strRef>
          </c:cat>
          <c:val>
            <c:numRef>
              <c:f>'Moving average(East)'!$D$87:$D$207</c:f>
              <c:numCache>
                <c:formatCode>0.00</c:formatCode>
                <c:ptCount val="121"/>
                <c:pt idx="0">
                  <c:v>2987</c:v>
                </c:pt>
                <c:pt idx="1">
                  <c:v>1152.5</c:v>
                </c:pt>
                <c:pt idx="2">
                  <c:v>582.75</c:v>
                </c:pt>
                <c:pt idx="3">
                  <c:v>5310</c:v>
                </c:pt>
                <c:pt idx="4">
                  <c:v>1889.5</c:v>
                </c:pt>
                <c:pt idx="5">
                  <c:v>-2298.75</c:v>
                </c:pt>
                <c:pt idx="6">
                  <c:v>-2746</c:v>
                </c:pt>
                <c:pt idx="7">
                  <c:v>-4439.25</c:v>
                </c:pt>
                <c:pt idx="8">
                  <c:v>-944.5</c:v>
                </c:pt>
                <c:pt idx="9">
                  <c:v>-1067</c:v>
                </c:pt>
                <c:pt idx="10">
                  <c:v>-100.5</c:v>
                </c:pt>
                <c:pt idx="11">
                  <c:v>3144.5</c:v>
                </c:pt>
                <c:pt idx="12">
                  <c:v>615.25</c:v>
                </c:pt>
                <c:pt idx="13">
                  <c:v>1617.25</c:v>
                </c:pt>
                <c:pt idx="14">
                  <c:v>2197.25</c:v>
                </c:pt>
                <c:pt idx="15">
                  <c:v>111.5</c:v>
                </c:pt>
                <c:pt idx="16">
                  <c:v>213.75</c:v>
                </c:pt>
                <c:pt idx="17">
                  <c:v>-5234.75</c:v>
                </c:pt>
                <c:pt idx="18">
                  <c:v>1387</c:v>
                </c:pt>
                <c:pt idx="19">
                  <c:v>-1305.5</c:v>
                </c:pt>
                <c:pt idx="20">
                  <c:v>1506.75</c:v>
                </c:pt>
                <c:pt idx="21">
                  <c:v>-416.75</c:v>
                </c:pt>
                <c:pt idx="22">
                  <c:v>-2723.5</c:v>
                </c:pt>
                <c:pt idx="23">
                  <c:v>-98</c:v>
                </c:pt>
                <c:pt idx="24">
                  <c:v>371.75</c:v>
                </c:pt>
                <c:pt idx="25">
                  <c:v>1189.5</c:v>
                </c:pt>
                <c:pt idx="26">
                  <c:v>-713.25</c:v>
                </c:pt>
                <c:pt idx="27">
                  <c:v>3079.25</c:v>
                </c:pt>
                <c:pt idx="28">
                  <c:v>-649.75</c:v>
                </c:pt>
                <c:pt idx="29">
                  <c:v>638</c:v>
                </c:pt>
                <c:pt idx="30">
                  <c:v>-844.75</c:v>
                </c:pt>
                <c:pt idx="31">
                  <c:v>-1085.5</c:v>
                </c:pt>
                <c:pt idx="32">
                  <c:v>-585.75</c:v>
                </c:pt>
                <c:pt idx="33">
                  <c:v>-3661.5</c:v>
                </c:pt>
                <c:pt idx="34">
                  <c:v>-266.5</c:v>
                </c:pt>
                <c:pt idx="35">
                  <c:v>1057.75</c:v>
                </c:pt>
                <c:pt idx="36">
                  <c:v>1671.75</c:v>
                </c:pt>
                <c:pt idx="37">
                  <c:v>2302.25</c:v>
                </c:pt>
                <c:pt idx="38">
                  <c:v>554.75</c:v>
                </c:pt>
                <c:pt idx="39">
                  <c:v>1642.5</c:v>
                </c:pt>
                <c:pt idx="40">
                  <c:v>520.75</c:v>
                </c:pt>
                <c:pt idx="41">
                  <c:v>-2921.75</c:v>
                </c:pt>
                <c:pt idx="42">
                  <c:v>-303.5</c:v>
                </c:pt>
                <c:pt idx="43">
                  <c:v>-2915</c:v>
                </c:pt>
                <c:pt idx="44">
                  <c:v>-592.5</c:v>
                </c:pt>
                <c:pt idx="45">
                  <c:v>-15.25</c:v>
                </c:pt>
                <c:pt idx="46">
                  <c:v>2358</c:v>
                </c:pt>
                <c:pt idx="47">
                  <c:v>-67.75</c:v>
                </c:pt>
                <c:pt idx="48">
                  <c:v>4397</c:v>
                </c:pt>
                <c:pt idx="49">
                  <c:v>-1597.25</c:v>
                </c:pt>
                <c:pt idx="50">
                  <c:v>893</c:v>
                </c:pt>
                <c:pt idx="51">
                  <c:v>1952.5</c:v>
                </c:pt>
                <c:pt idx="52">
                  <c:v>-1097.75</c:v>
                </c:pt>
                <c:pt idx="53">
                  <c:v>-722.5</c:v>
                </c:pt>
                <c:pt idx="54">
                  <c:v>-3143</c:v>
                </c:pt>
                <c:pt idx="55">
                  <c:v>-2506.75</c:v>
                </c:pt>
                <c:pt idx="56">
                  <c:v>-1667.25</c:v>
                </c:pt>
                <c:pt idx="57">
                  <c:v>217.75</c:v>
                </c:pt>
                <c:pt idx="58">
                  <c:v>633.25</c:v>
                </c:pt>
                <c:pt idx="59">
                  <c:v>-124</c:v>
                </c:pt>
                <c:pt idx="60">
                  <c:v>3585.75</c:v>
                </c:pt>
                <c:pt idx="61">
                  <c:v>-926.5</c:v>
                </c:pt>
                <c:pt idx="62">
                  <c:v>1699.25</c:v>
                </c:pt>
                <c:pt idx="63">
                  <c:v>1982.5</c:v>
                </c:pt>
                <c:pt idx="64">
                  <c:v>1414.5</c:v>
                </c:pt>
                <c:pt idx="65">
                  <c:v>-439.5</c:v>
                </c:pt>
                <c:pt idx="66">
                  <c:v>175.5</c:v>
                </c:pt>
                <c:pt idx="67">
                  <c:v>-2128.5</c:v>
                </c:pt>
                <c:pt idx="68">
                  <c:v>-1323</c:v>
                </c:pt>
                <c:pt idx="69">
                  <c:v>-985.5</c:v>
                </c:pt>
                <c:pt idx="70">
                  <c:v>-1879.75</c:v>
                </c:pt>
                <c:pt idx="71">
                  <c:v>178</c:v>
                </c:pt>
                <c:pt idx="72">
                  <c:v>-1202.25</c:v>
                </c:pt>
                <c:pt idx="73">
                  <c:v>122.5</c:v>
                </c:pt>
                <c:pt idx="74">
                  <c:v>2222.5</c:v>
                </c:pt>
                <c:pt idx="75">
                  <c:v>1099</c:v>
                </c:pt>
                <c:pt idx="76">
                  <c:v>2394.5</c:v>
                </c:pt>
                <c:pt idx="77">
                  <c:v>-1633.5</c:v>
                </c:pt>
                <c:pt idx="78">
                  <c:v>-1456.75</c:v>
                </c:pt>
                <c:pt idx="79">
                  <c:v>-34</c:v>
                </c:pt>
                <c:pt idx="80">
                  <c:v>-1495.25</c:v>
                </c:pt>
                <c:pt idx="81">
                  <c:v>-901</c:v>
                </c:pt>
                <c:pt idx="82">
                  <c:v>-149.25</c:v>
                </c:pt>
                <c:pt idx="83">
                  <c:v>762.25</c:v>
                </c:pt>
                <c:pt idx="84">
                  <c:v>169.5</c:v>
                </c:pt>
                <c:pt idx="85">
                  <c:v>1276.5</c:v>
                </c:pt>
                <c:pt idx="86">
                  <c:v>3148.25</c:v>
                </c:pt>
                <c:pt idx="87">
                  <c:v>470.25</c:v>
                </c:pt>
                <c:pt idx="88">
                  <c:v>918.25</c:v>
                </c:pt>
                <c:pt idx="89">
                  <c:v>-2161.5</c:v>
                </c:pt>
                <c:pt idx="90">
                  <c:v>-3483.5</c:v>
                </c:pt>
                <c:pt idx="91">
                  <c:v>-1601</c:v>
                </c:pt>
                <c:pt idx="92">
                  <c:v>-353.25</c:v>
                </c:pt>
                <c:pt idx="93">
                  <c:v>-1121.75</c:v>
                </c:pt>
                <c:pt idx="94">
                  <c:v>552.5</c:v>
                </c:pt>
                <c:pt idx="95">
                  <c:v>2149.5</c:v>
                </c:pt>
                <c:pt idx="96">
                  <c:v>928.5</c:v>
                </c:pt>
                <c:pt idx="97">
                  <c:v>1969.75</c:v>
                </c:pt>
                <c:pt idx="98">
                  <c:v>840</c:v>
                </c:pt>
                <c:pt idx="99">
                  <c:v>1277.75</c:v>
                </c:pt>
                <c:pt idx="100">
                  <c:v>1104.5</c:v>
                </c:pt>
                <c:pt idx="101">
                  <c:v>-687</c:v>
                </c:pt>
                <c:pt idx="102">
                  <c:v>-249.5</c:v>
                </c:pt>
                <c:pt idx="103">
                  <c:v>-4032.25</c:v>
                </c:pt>
                <c:pt idx="104">
                  <c:v>-2460.25</c:v>
                </c:pt>
                <c:pt idx="105">
                  <c:v>-186</c:v>
                </c:pt>
                <c:pt idx="106">
                  <c:v>1122.5</c:v>
                </c:pt>
                <c:pt idx="107">
                  <c:v>2700</c:v>
                </c:pt>
                <c:pt idx="108">
                  <c:v>2411</c:v>
                </c:pt>
                <c:pt idx="109">
                  <c:v>184.5</c:v>
                </c:pt>
                <c:pt idx="110">
                  <c:v>1376.25</c:v>
                </c:pt>
                <c:pt idx="111">
                  <c:v>-1038.25</c:v>
                </c:pt>
                <c:pt idx="112">
                  <c:v>2204.5</c:v>
                </c:pt>
              </c:numCache>
            </c:numRef>
          </c:val>
          <c:smooth val="0"/>
          <c:extLst>
            <c:ext xmlns:c16="http://schemas.microsoft.com/office/drawing/2014/chart" uri="{C3380CC4-5D6E-409C-BE32-E72D297353CC}">
              <c16:uniqueId val="{00000000-25B5-4EE9-85C9-E24E305E8C63}"/>
            </c:ext>
          </c:extLst>
        </c:ser>
        <c:dLbls>
          <c:showLegendKey val="0"/>
          <c:showVal val="0"/>
          <c:showCatName val="0"/>
          <c:showSerName val="0"/>
          <c:showPercent val="0"/>
          <c:showBubbleSize val="0"/>
        </c:dLbls>
        <c:smooth val="0"/>
        <c:axId val="284768831"/>
        <c:axId val="284746271"/>
      </c:lineChart>
      <c:catAx>
        <c:axId val="284768831"/>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284746271"/>
        <c:crosses val="autoZero"/>
        <c:auto val="1"/>
        <c:lblAlgn val="ctr"/>
        <c:lblOffset val="100"/>
        <c:noMultiLvlLbl val="0"/>
      </c:catAx>
      <c:valAx>
        <c:axId val="284746271"/>
        <c:scaling>
          <c:orientation val="minMax"/>
        </c:scaling>
        <c:delete val="0"/>
        <c:axPos val="l"/>
        <c:numFmt formatCode="0.00" sourceLinked="0"/>
        <c:majorTickMark val="out"/>
        <c:minorTickMark val="none"/>
        <c:tickLblPos val="nextTo"/>
        <c:txPr>
          <a:bodyPr/>
          <a:lstStyle/>
          <a:p>
            <a:pPr>
              <a:defRPr sz="800" b="0"/>
            </a:pPr>
            <a:endParaRPr lang="en-US"/>
          </a:p>
        </c:txPr>
        <c:crossAx val="284768831"/>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Forecast and Original Observations</a:t>
            </a:r>
          </a:p>
        </c:rich>
      </c:tx>
      <c:overlay val="0"/>
    </c:title>
    <c:autoTitleDeleted val="0"/>
    <c:plotArea>
      <c:layout/>
      <c:lineChart>
        <c:grouping val="standard"/>
        <c:varyColors val="0"/>
        <c:ser>
          <c:idx val="0"/>
          <c:order val="0"/>
          <c:tx>
            <c:v>East</c:v>
          </c:tx>
          <c:spPr>
            <a:ln>
              <a:solidFill>
                <a:srgbClr val="333399"/>
              </a:solidFill>
              <a:prstDash val="solid"/>
            </a:ln>
          </c:spPr>
          <c:marker>
            <c:symbol val="none"/>
          </c:marker>
          <c:cat>
            <c:strRef>
              <c:f>'Simple Expo.(East)'!$A$83:$A$207</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'Simple Expo.(East)'!$B$83:$B$207</c:f>
              <c:numCache>
                <c:formatCode>0.00</c:formatCode>
                <c:ptCount val="125"/>
                <c:pt idx="0">
                  <c:v>7419</c:v>
                </c:pt>
                <c:pt idx="1">
                  <c:v>8824</c:v>
                </c:pt>
                <c:pt idx="2">
                  <c:v>11583</c:v>
                </c:pt>
                <c:pt idx="3">
                  <c:v>7958</c:v>
                </c:pt>
                <c:pt idx="4">
                  <c:v>11933</c:v>
                </c:pt>
                <c:pt idx="5">
                  <c:v>11227</c:v>
                </c:pt>
                <c:pt idx="6">
                  <c:v>11258</c:v>
                </c:pt>
                <c:pt idx="7">
                  <c:v>15904</c:v>
                </c:pt>
                <c:pt idx="8">
                  <c:v>14470</c:v>
                </c:pt>
                <c:pt idx="9">
                  <c:v>10916</c:v>
                </c:pt>
                <c:pt idx="10">
                  <c:v>10391</c:v>
                </c:pt>
                <c:pt idx="11">
                  <c:v>8481</c:v>
                </c:pt>
                <c:pt idx="12">
                  <c:v>10120</c:v>
                </c:pt>
                <c:pt idx="13">
                  <c:v>8910</c:v>
                </c:pt>
                <c:pt idx="14">
                  <c:v>9375</c:v>
                </c:pt>
                <c:pt idx="15">
                  <c:v>12366</c:v>
                </c:pt>
                <c:pt idx="16">
                  <c:v>10808</c:v>
                </c:pt>
                <c:pt idx="17">
                  <c:v>11982</c:v>
                </c:pt>
                <c:pt idx="18">
                  <c:v>13330</c:v>
                </c:pt>
                <c:pt idx="19">
                  <c:v>12233</c:v>
                </c:pt>
                <c:pt idx="20">
                  <c:v>12302</c:v>
                </c:pt>
                <c:pt idx="21">
                  <c:v>7227</c:v>
                </c:pt>
                <c:pt idx="22">
                  <c:v>12660</c:v>
                </c:pt>
                <c:pt idx="23">
                  <c:v>9800</c:v>
                </c:pt>
                <c:pt idx="24">
                  <c:v>12004</c:v>
                </c:pt>
                <c:pt idx="25">
                  <c:v>10006</c:v>
                </c:pt>
                <c:pt idx="26">
                  <c:v>8394</c:v>
                </c:pt>
                <c:pt idx="27">
                  <c:v>9953</c:v>
                </c:pt>
                <c:pt idx="28">
                  <c:v>10461</c:v>
                </c:pt>
                <c:pt idx="29">
                  <c:v>10893</c:v>
                </c:pt>
                <c:pt idx="30">
                  <c:v>9212</c:v>
                </c:pt>
                <c:pt idx="31">
                  <c:v>13209</c:v>
                </c:pt>
                <c:pt idx="32">
                  <c:v>10294</c:v>
                </c:pt>
                <c:pt idx="33">
                  <c:v>11540</c:v>
                </c:pt>
                <c:pt idx="34">
                  <c:v>10219</c:v>
                </c:pt>
                <c:pt idx="35">
                  <c:v>10230</c:v>
                </c:pt>
                <c:pt idx="36">
                  <c:v>9985</c:v>
                </c:pt>
                <c:pt idx="37">
                  <c:v>6832</c:v>
                </c:pt>
                <c:pt idx="38">
                  <c:v>9050</c:v>
                </c:pt>
                <c:pt idx="39">
                  <c:v>10082</c:v>
                </c:pt>
                <c:pt idx="40">
                  <c:v>10659</c:v>
                </c:pt>
                <c:pt idx="41">
                  <c:v>11458</c:v>
                </c:pt>
                <c:pt idx="42">
                  <c:v>10867</c:v>
                </c:pt>
                <c:pt idx="43">
                  <c:v>12409</c:v>
                </c:pt>
                <c:pt idx="44">
                  <c:v>11869</c:v>
                </c:pt>
                <c:pt idx="45">
                  <c:v>8729</c:v>
                </c:pt>
                <c:pt idx="46">
                  <c:v>10665</c:v>
                </c:pt>
                <c:pt idx="47">
                  <c:v>8003</c:v>
                </c:pt>
                <c:pt idx="48">
                  <c:v>9224</c:v>
                </c:pt>
                <c:pt idx="49">
                  <c:v>9140</c:v>
                </c:pt>
                <c:pt idx="50">
                  <c:v>11616</c:v>
                </c:pt>
                <c:pt idx="51">
                  <c:v>9428</c:v>
                </c:pt>
                <c:pt idx="52">
                  <c:v>14249</c:v>
                </c:pt>
                <c:pt idx="53">
                  <c:v>9511</c:v>
                </c:pt>
                <c:pt idx="54">
                  <c:v>12094</c:v>
                </c:pt>
                <c:pt idx="55">
                  <c:v>13273</c:v>
                </c:pt>
                <c:pt idx="56">
                  <c:v>11184</c:v>
                </c:pt>
                <c:pt idx="57">
                  <c:v>10793</c:v>
                </c:pt>
                <c:pt idx="58">
                  <c:v>8693</c:v>
                </c:pt>
                <c:pt idx="59">
                  <c:v>8479</c:v>
                </c:pt>
                <c:pt idx="60">
                  <c:v>8120</c:v>
                </c:pt>
                <c:pt idx="61">
                  <c:v>9239</c:v>
                </c:pt>
                <c:pt idx="62">
                  <c:v>9266</c:v>
                </c:pt>
                <c:pt idx="63">
                  <c:v>8652</c:v>
                </c:pt>
                <c:pt idx="64">
                  <c:v>12405</c:v>
                </c:pt>
                <c:pt idx="65">
                  <c:v>8964</c:v>
                </c:pt>
                <c:pt idx="66">
                  <c:v>11521</c:v>
                </c:pt>
                <c:pt idx="67">
                  <c:v>12368</c:v>
                </c:pt>
                <c:pt idx="68">
                  <c:v>12729</c:v>
                </c:pt>
                <c:pt idx="69">
                  <c:v>10956</c:v>
                </c:pt>
                <c:pt idx="70">
                  <c:v>12069</c:v>
                </c:pt>
                <c:pt idx="71">
                  <c:v>9902</c:v>
                </c:pt>
                <c:pt idx="72">
                  <c:v>10091</c:v>
                </c:pt>
                <c:pt idx="73">
                  <c:v>9769</c:v>
                </c:pt>
                <c:pt idx="74">
                  <c:v>8578</c:v>
                </c:pt>
                <c:pt idx="75">
                  <c:v>9763</c:v>
                </c:pt>
                <c:pt idx="76">
                  <c:v>8348</c:v>
                </c:pt>
                <c:pt idx="77">
                  <c:v>9237</c:v>
                </c:pt>
                <c:pt idx="78">
                  <c:v>11204</c:v>
                </c:pt>
                <c:pt idx="79">
                  <c:v>10737</c:v>
                </c:pt>
                <c:pt idx="80">
                  <c:v>12276</c:v>
                </c:pt>
                <c:pt idx="81">
                  <c:v>9230</c:v>
                </c:pt>
                <c:pt idx="82">
                  <c:v>9405</c:v>
                </c:pt>
                <c:pt idx="83">
                  <c:v>10378</c:v>
                </c:pt>
                <c:pt idx="84">
                  <c:v>8827</c:v>
                </c:pt>
                <c:pt idx="85">
                  <c:v>8559</c:v>
                </c:pt>
                <c:pt idx="86">
                  <c:v>9143</c:v>
                </c:pt>
                <c:pt idx="87">
                  <c:v>9989</c:v>
                </c:pt>
                <c:pt idx="88">
                  <c:v>9299</c:v>
                </c:pt>
                <c:pt idx="89">
                  <c:v>10524</c:v>
                </c:pt>
                <c:pt idx="90">
                  <c:v>12887</c:v>
                </c:pt>
                <c:pt idx="91">
                  <c:v>11145</c:v>
                </c:pt>
                <c:pt idx="92">
                  <c:v>11882</c:v>
                </c:pt>
                <c:pt idx="93">
                  <c:v>9448</c:v>
                </c:pt>
                <c:pt idx="94">
                  <c:v>7857</c:v>
                </c:pt>
                <c:pt idx="95">
                  <c:v>8482</c:v>
                </c:pt>
                <c:pt idx="96">
                  <c:v>9064</c:v>
                </c:pt>
                <c:pt idx="97">
                  <c:v>7591</c:v>
                </c:pt>
                <c:pt idx="98">
                  <c:v>8801</c:v>
                </c:pt>
                <c:pt idx="99">
                  <c:v>10634</c:v>
                </c:pt>
                <c:pt idx="100">
                  <c:v>9951</c:v>
                </c:pt>
                <c:pt idx="101">
                  <c:v>11214</c:v>
                </c:pt>
                <c:pt idx="102">
                  <c:v>10990</c:v>
                </c:pt>
                <c:pt idx="103">
                  <c:v>11975</c:v>
                </c:pt>
                <c:pt idx="104">
                  <c:v>12137</c:v>
                </c:pt>
                <c:pt idx="105">
                  <c:v>10892</c:v>
                </c:pt>
                <c:pt idx="106">
                  <c:v>11249</c:v>
                </c:pt>
                <c:pt idx="107">
                  <c:v>7531</c:v>
                </c:pt>
                <c:pt idx="108">
                  <c:v>7992</c:v>
                </c:pt>
                <c:pt idx="109">
                  <c:v>9230</c:v>
                </c:pt>
                <c:pt idx="110">
                  <c:v>10123</c:v>
                </c:pt>
                <c:pt idx="111">
                  <c:v>11419</c:v>
                </c:pt>
                <c:pt idx="112">
                  <c:v>12102</c:v>
                </c:pt>
                <c:pt idx="113">
                  <c:v>10903</c:v>
                </c:pt>
                <c:pt idx="114">
                  <c:v>12513</c:v>
                </c:pt>
                <c:pt idx="115">
                  <c:v>10696</c:v>
                </c:pt>
                <c:pt idx="116">
                  <c:v>13758</c:v>
                </c:pt>
              </c:numCache>
            </c:numRef>
          </c:val>
          <c:smooth val="0"/>
          <c:extLst>
            <c:ext xmlns:c16="http://schemas.microsoft.com/office/drawing/2014/chart" uri="{C3380CC4-5D6E-409C-BE32-E72D297353CC}">
              <c16:uniqueId val="{00000000-7245-4523-8ADE-BA38E2CB3DF4}"/>
            </c:ext>
          </c:extLst>
        </c:ser>
        <c:ser>
          <c:idx val="1"/>
          <c:order val="1"/>
          <c:tx>
            <c:v>Forecast</c:v>
          </c:tx>
          <c:spPr>
            <a:ln>
              <a:solidFill>
                <a:srgbClr val="993366"/>
              </a:solidFill>
              <a:prstDash val="solid"/>
            </a:ln>
          </c:spPr>
          <c:marker>
            <c:symbol val="none"/>
          </c:marker>
          <c:cat>
            <c:strRef>
              <c:f>'Simple Expo.(East)'!$A$83:$A$207</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'Simple Expo.(East)'!$D$83:$D$207</c:f>
              <c:numCache>
                <c:formatCode>0.00</c:formatCode>
                <c:ptCount val="125"/>
                <c:pt idx="1">
                  <c:v>7419</c:v>
                </c:pt>
                <c:pt idx="2">
                  <c:v>8097.5359664036405</c:v>
                </c:pt>
                <c:pt idx="3">
                  <c:v>9780.8190314580461</c:v>
                </c:pt>
                <c:pt idx="4">
                  <c:v>8900.499975878447</c:v>
                </c:pt>
                <c:pt idx="5">
                  <c:v>10365.026904338505</c:v>
                </c:pt>
                <c:pt idx="6">
                  <c:v>10781.311422116876</c:v>
                </c:pt>
                <c:pt idx="7">
                  <c:v>11011.525190705845</c:v>
                </c:pt>
                <c:pt idx="8">
                  <c:v>13374.315313716435</c:v>
                </c:pt>
                <c:pt idx="9">
                  <c:v>13903.469383097992</c:v>
                </c:pt>
                <c:pt idx="10">
                  <c:v>12460.689721203553</c:v>
                </c:pt>
                <c:pt idx="11">
                  <c:v>11461.14600936545</c:v>
                </c:pt>
                <c:pt idx="12">
                  <c:v>10021.903125031826</c:v>
                </c:pt>
                <c:pt idx="13">
                  <c:v>10069.278397528415</c:v>
                </c:pt>
                <c:pt idx="14">
                  <c:v>9509.4121428680537</c:v>
                </c:pt>
                <c:pt idx="15">
                  <c:v>9444.4986387702884</c:v>
                </c:pt>
                <c:pt idx="16">
                  <c:v>10855.419456913743</c:v>
                </c:pt>
                <c:pt idx="17">
                  <c:v>10832.518526648048</c:v>
                </c:pt>
                <c:pt idx="18">
                  <c:v>11387.653418024523</c:v>
                </c:pt>
                <c:pt idx="19">
                  <c:v>12325.697556879712</c:v>
                </c:pt>
                <c:pt idx="20">
                  <c:v>12280.92985129919</c:v>
                </c:pt>
                <c:pt idx="21">
                  <c:v>12291.105547890629</c:v>
                </c:pt>
                <c:pt idx="22">
                  <c:v>9845.4274326536106</c:v>
                </c:pt>
                <c:pt idx="23">
                  <c:v>11204.707658274649</c:v>
                </c:pt>
                <c:pt idx="24">
                  <c:v>10526.312876479642</c:v>
                </c:pt>
                <c:pt idx="25">
                  <c:v>11239.952634771529</c:v>
                </c:pt>
                <c:pt idx="26">
                  <c:v>10644.022924073295</c:v>
                </c:pt>
                <c:pt idx="27">
                  <c:v>9557.3884192929236</c:v>
                </c:pt>
                <c:pt idx="28">
                  <c:v>9748.4465589623524</c:v>
                </c:pt>
                <c:pt idx="29">
                  <c:v>10092.569788662509</c:v>
                </c:pt>
                <c:pt idx="30">
                  <c:v>10479.132555202406</c:v>
                </c:pt>
                <c:pt idx="31">
                  <c:v>9867.1788093619925</c:v>
                </c:pt>
                <c:pt idx="32">
                  <c:v>11481.090461417314</c:v>
                </c:pt>
                <c:pt idx="33">
                  <c:v>10907.792544373653</c:v>
                </c:pt>
                <c:pt idx="34">
                  <c:v>11213.11318271601</c:v>
                </c:pt>
                <c:pt idx="35">
                  <c:v>10733.01243599088</c:v>
                </c:pt>
                <c:pt idx="36">
                  <c:v>10490.085724696843</c:v>
                </c:pt>
                <c:pt idx="37">
                  <c:v>10246.157731583779</c:v>
                </c:pt>
                <c:pt idx="38">
                  <c:v>8597.3115993028787</c:v>
                </c:pt>
                <c:pt idx="39">
                  <c:v>8815.9346323610553</c:v>
                </c:pt>
                <c:pt idx="40">
                  <c:v>9427.3729866393987</c:v>
                </c:pt>
                <c:pt idx="41">
                  <c:v>10022.179553016242</c:v>
                </c:pt>
                <c:pt idx="42">
                  <c:v>10715.600061611425</c:v>
                </c:pt>
                <c:pt idx="43">
                  <c:v>10788.717715353732</c:v>
                </c:pt>
                <c:pt idx="44">
                  <c:v>11571.222915253486</c:v>
                </c:pt>
                <c:pt idx="45">
                  <c:v>11715.032496727745</c:v>
                </c:pt>
                <c:pt idx="46">
                  <c:v>10272.946770122877</c:v>
                </c:pt>
                <c:pt idx="47">
                  <c:v>10462.286426504616</c:v>
                </c:pt>
                <c:pt idx="48">
                  <c:v>9274.589421471399</c:v>
                </c:pt>
                <c:pt idx="49">
                  <c:v>9250.1575766401547</c:v>
                </c:pt>
                <c:pt idx="50">
                  <c:v>9196.9576636706097</c:v>
                </c:pt>
                <c:pt idx="51">
                  <c:v>10365.21903694647</c:v>
                </c:pt>
                <c:pt idx="52">
                  <c:v>9912.5949622373155</c:v>
                </c:pt>
                <c:pt idx="53">
                  <c:v>12006.834665451493</c:v>
                </c:pt>
                <c:pt idx="54">
                  <c:v>10801.486916906411</c:v>
                </c:pt>
                <c:pt idx="55">
                  <c:v>11425.698030021185</c:v>
                </c:pt>
                <c:pt idx="56">
                  <c:v>12317.840967700135</c:v>
                </c:pt>
                <c:pt idx="57">
                  <c:v>11770.259560748924</c:v>
                </c:pt>
                <c:pt idx="58">
                  <c:v>11298.298165389515</c:v>
                </c:pt>
                <c:pt idx="59">
                  <c:v>10040.085703879045</c:v>
                </c:pt>
                <c:pt idx="60">
                  <c:v>9286.169122583331</c:v>
                </c:pt>
                <c:pt idx="61">
                  <c:v>8722.975035336236</c:v>
                </c:pt>
                <c:pt idx="62">
                  <c:v>8972.1860660028069</c:v>
                </c:pt>
                <c:pt idx="63">
                  <c:v>9114.0816685989921</c:v>
                </c:pt>
                <c:pt idx="64">
                  <c:v>8890.9222155312164</c:v>
                </c:pt>
                <c:pt idx="65">
                  <c:v>10588.024112685729</c:v>
                </c:pt>
                <c:pt idx="66">
                  <c:v>9803.7118203269893</c:v>
                </c:pt>
                <c:pt idx="67">
                  <c:v>10633.065410781064</c:v>
                </c:pt>
                <c:pt idx="68">
                  <c:v>11470.941224405815</c:v>
                </c:pt>
                <c:pt idx="69">
                  <c:v>12078.512845110712</c:v>
                </c:pt>
                <c:pt idx="70">
                  <c:v>11536.402284144378</c:v>
                </c:pt>
                <c:pt idx="71">
                  <c:v>11793.617021391685</c:v>
                </c:pt>
                <c:pt idx="72">
                  <c:v>10880.072406675965</c:v>
                </c:pt>
                <c:pt idx="73">
                  <c:v>10498.994820892105</c:v>
                </c:pt>
                <c:pt idx="74">
                  <c:v>10146.44838582899</c:v>
                </c:pt>
                <c:pt idx="75">
                  <c:v>9388.9760433146075</c:v>
                </c:pt>
                <c:pt idx="76">
                  <c:v>9569.6085749214653</c:v>
                </c:pt>
                <c:pt idx="77">
                  <c:v>8979.6403507568302</c:v>
                </c:pt>
                <c:pt idx="78">
                  <c:v>9103.9305844312184</c:v>
                </c:pt>
                <c:pt idx="79">
                  <c:v>10118.145979739184</c:v>
                </c:pt>
                <c:pt idx="80">
                  <c:v>10417.017659953028</c:v>
                </c:pt>
                <c:pt idx="81">
                  <c:v>11314.801559334575</c:v>
                </c:pt>
                <c:pt idx="82">
                  <c:v>10307.95967974532</c:v>
                </c:pt>
                <c:pt idx="83">
                  <c:v>9871.8809474182635</c:v>
                </c:pt>
                <c:pt idx="84">
                  <c:v>10116.307979773312</c:v>
                </c:pt>
                <c:pt idx="85">
                  <c:v>9493.6447512698178</c:v>
                </c:pt>
                <c:pt idx="86">
                  <c:v>9042.2639117346171</c:v>
                </c:pt>
                <c:pt idx="87">
                  <c:v>9090.9137757936023</c:v>
                </c:pt>
                <c:pt idx="88">
                  <c:v>9524.6389032353709</c:v>
                </c:pt>
                <c:pt idx="89">
                  <c:v>9415.668005537811</c:v>
                </c:pt>
                <c:pt idx="90">
                  <c:v>9950.9300133374381</c:v>
                </c:pt>
                <c:pt idx="91">
                  <c:v>11368.88665805545</c:v>
                </c:pt>
                <c:pt idx="92">
                  <c:v>11260.761996213074</c:v>
                </c:pt>
                <c:pt idx="93">
                  <c:v>11560.785006366974</c:v>
                </c:pt>
                <c:pt idx="94">
                  <c:v>10540.428695976698</c:v>
                </c:pt>
                <c:pt idx="95">
                  <c:v>9244.4835831654436</c:v>
                </c:pt>
                <c:pt idx="96">
                  <c:v>8876.2469034714377</c:v>
                </c:pt>
                <c:pt idx="97">
                  <c:v>8966.9210876695033</c:v>
                </c:pt>
                <c:pt idx="98">
                  <c:v>8302.4286001841119</c:v>
                </c:pt>
                <c:pt idx="99">
                  <c:v>8543.2105408213283</c:v>
                </c:pt>
                <c:pt idx="100">
                  <c:v>9552.9442392059154</c:v>
                </c:pt>
                <c:pt idx="101">
                  <c:v>9745.182780368159</c:v>
                </c:pt>
                <c:pt idx="102">
                  <c:v>10454.5388740288</c:v>
                </c:pt>
                <c:pt idx="103">
                  <c:v>10713.136477290329</c:v>
                </c:pt>
                <c:pt idx="104">
                  <c:v>11322.545576828627</c:v>
                </c:pt>
                <c:pt idx="105">
                  <c:v>11715.881248798953</c:v>
                </c:pt>
                <c:pt idx="106">
                  <c:v>11317.99295032519</c:v>
                </c:pt>
                <c:pt idx="107">
                  <c:v>11284.673236286797</c:v>
                </c:pt>
                <c:pt idx="108">
                  <c:v>9471.8602135484725</c:v>
                </c:pt>
                <c:pt idx="109">
                  <c:v>8757.1709750129467</c:v>
                </c:pt>
                <c:pt idx="110">
                  <c:v>8985.5207966594098</c:v>
                </c:pt>
                <c:pt idx="111">
                  <c:v>9534.8592667681296</c:v>
                </c:pt>
                <c:pt idx="112">
                  <c:v>10444.793254856351</c:v>
                </c:pt>
                <c:pt idx="113">
                  <c:v>11245.130892113773</c:v>
                </c:pt>
                <c:pt idx="114">
                  <c:v>11079.900916656861</c:v>
                </c:pt>
                <c:pt idx="115">
                  <c:v>11772.007159694875</c:v>
                </c:pt>
                <c:pt idx="116">
                  <c:v>11252.356228761921</c:v>
                </c:pt>
                <c:pt idx="117">
                  <c:v>12462.44122362334</c:v>
                </c:pt>
                <c:pt idx="118">
                  <c:v>12462.44122362334</c:v>
                </c:pt>
                <c:pt idx="119">
                  <c:v>12462.44122362334</c:v>
                </c:pt>
                <c:pt idx="120">
                  <c:v>12462.44122362334</c:v>
                </c:pt>
                <c:pt idx="121">
                  <c:v>12462.44122362334</c:v>
                </c:pt>
                <c:pt idx="122">
                  <c:v>12462.44122362334</c:v>
                </c:pt>
                <c:pt idx="123">
                  <c:v>12462.44122362334</c:v>
                </c:pt>
                <c:pt idx="124">
                  <c:v>12462.44122362334</c:v>
                </c:pt>
              </c:numCache>
            </c:numRef>
          </c:val>
          <c:smooth val="0"/>
          <c:extLst>
            <c:ext xmlns:c16="http://schemas.microsoft.com/office/drawing/2014/chart" uri="{C3380CC4-5D6E-409C-BE32-E72D297353CC}">
              <c16:uniqueId val="{00000001-7245-4523-8ADE-BA38E2CB3DF4}"/>
            </c:ext>
          </c:extLst>
        </c:ser>
        <c:dLbls>
          <c:showLegendKey val="0"/>
          <c:showVal val="0"/>
          <c:showCatName val="0"/>
          <c:showSerName val="0"/>
          <c:showPercent val="0"/>
          <c:showBubbleSize val="0"/>
        </c:dLbls>
        <c:smooth val="0"/>
        <c:axId val="1529143663"/>
        <c:axId val="1529142703"/>
      </c:lineChart>
      <c:catAx>
        <c:axId val="1529143663"/>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529142703"/>
        <c:crosses val="autoZero"/>
        <c:auto val="1"/>
        <c:lblAlgn val="ctr"/>
        <c:lblOffset val="100"/>
        <c:noMultiLvlLbl val="0"/>
      </c:catAx>
      <c:valAx>
        <c:axId val="1529142703"/>
        <c:scaling>
          <c:orientation val="minMax"/>
        </c:scaling>
        <c:delete val="0"/>
        <c:axPos val="l"/>
        <c:numFmt formatCode="0.00" sourceLinked="0"/>
        <c:majorTickMark val="out"/>
        <c:minorTickMark val="none"/>
        <c:tickLblPos val="nextTo"/>
        <c:txPr>
          <a:bodyPr/>
          <a:lstStyle/>
          <a:p>
            <a:pPr>
              <a:defRPr sz="800" b="0"/>
            </a:pPr>
            <a:endParaRPr lang="en-US"/>
          </a:p>
        </c:txPr>
        <c:crossAx val="1529143663"/>
        <c:crosses val="autoZero"/>
        <c:crossBetween val="between"/>
      </c:valAx>
    </c:plotArea>
    <c:legend>
      <c:legendPos val="r"/>
      <c:overlay val="0"/>
      <c:spPr>
        <a:ln>
          <a:solidFill>
            <a:srgbClr val="000000"/>
          </a:solidFill>
          <a:prstDash val="solid"/>
        </a:ln>
      </c:sp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Original Observations</a:t>
            </a:r>
          </a:p>
        </c:rich>
      </c:tx>
      <c:overlay val="0"/>
    </c:title>
    <c:autoTitleDeleted val="0"/>
    <c:plotArea>
      <c:layout/>
      <c:lineChart>
        <c:grouping val="standard"/>
        <c:varyColors val="0"/>
        <c:ser>
          <c:idx val="0"/>
          <c:order val="0"/>
          <c:tx>
            <c:v>East</c:v>
          </c:tx>
          <c:spPr>
            <a:ln>
              <a:solidFill>
                <a:srgbClr val="333399"/>
              </a:solidFill>
              <a:prstDash val="solid"/>
            </a:ln>
          </c:spPr>
          <c:marker>
            <c:symbol val="none"/>
          </c:marker>
          <c:cat>
            <c:strRef>
              <c:f>'Simple Expo.(East)'!$A$83:$A$199</c:f>
              <c:strCache>
                <c:ptCount val="117"/>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strCache>
            </c:strRef>
          </c:cat>
          <c:val>
            <c:numRef>
              <c:f>'Simple Expo.(East)'!$B$83:$B$199</c:f>
              <c:numCache>
                <c:formatCode>0.00</c:formatCode>
                <c:ptCount val="117"/>
                <c:pt idx="0">
                  <c:v>7419</c:v>
                </c:pt>
                <c:pt idx="1">
                  <c:v>8824</c:v>
                </c:pt>
                <c:pt idx="2">
                  <c:v>11583</c:v>
                </c:pt>
                <c:pt idx="3">
                  <c:v>7958</c:v>
                </c:pt>
                <c:pt idx="4">
                  <c:v>11933</c:v>
                </c:pt>
                <c:pt idx="5">
                  <c:v>11227</c:v>
                </c:pt>
                <c:pt idx="6">
                  <c:v>11258</c:v>
                </c:pt>
                <c:pt idx="7">
                  <c:v>15904</c:v>
                </c:pt>
                <c:pt idx="8">
                  <c:v>14470</c:v>
                </c:pt>
                <c:pt idx="9">
                  <c:v>10916</c:v>
                </c:pt>
                <c:pt idx="10">
                  <c:v>10391</c:v>
                </c:pt>
                <c:pt idx="11">
                  <c:v>8481</c:v>
                </c:pt>
                <c:pt idx="12">
                  <c:v>10120</c:v>
                </c:pt>
                <c:pt idx="13">
                  <c:v>8910</c:v>
                </c:pt>
                <c:pt idx="14">
                  <c:v>9375</c:v>
                </c:pt>
                <c:pt idx="15">
                  <c:v>12366</c:v>
                </c:pt>
                <c:pt idx="16">
                  <c:v>10808</c:v>
                </c:pt>
                <c:pt idx="17">
                  <c:v>11982</c:v>
                </c:pt>
                <c:pt idx="18">
                  <c:v>13330</c:v>
                </c:pt>
                <c:pt idx="19">
                  <c:v>12233</c:v>
                </c:pt>
                <c:pt idx="20">
                  <c:v>12302</c:v>
                </c:pt>
                <c:pt idx="21">
                  <c:v>7227</c:v>
                </c:pt>
                <c:pt idx="22">
                  <c:v>12660</c:v>
                </c:pt>
                <c:pt idx="23">
                  <c:v>9800</c:v>
                </c:pt>
                <c:pt idx="24">
                  <c:v>12004</c:v>
                </c:pt>
                <c:pt idx="25">
                  <c:v>10006</c:v>
                </c:pt>
                <c:pt idx="26">
                  <c:v>8394</c:v>
                </c:pt>
                <c:pt idx="27">
                  <c:v>9953</c:v>
                </c:pt>
                <c:pt idx="28">
                  <c:v>10461</c:v>
                </c:pt>
                <c:pt idx="29">
                  <c:v>10893</c:v>
                </c:pt>
                <c:pt idx="30">
                  <c:v>9212</c:v>
                </c:pt>
                <c:pt idx="31">
                  <c:v>13209</c:v>
                </c:pt>
                <c:pt idx="32">
                  <c:v>10294</c:v>
                </c:pt>
                <c:pt idx="33">
                  <c:v>11540</c:v>
                </c:pt>
                <c:pt idx="34">
                  <c:v>10219</c:v>
                </c:pt>
                <c:pt idx="35">
                  <c:v>10230</c:v>
                </c:pt>
                <c:pt idx="36">
                  <c:v>9985</c:v>
                </c:pt>
                <c:pt idx="37">
                  <c:v>6832</c:v>
                </c:pt>
                <c:pt idx="38">
                  <c:v>9050</c:v>
                </c:pt>
                <c:pt idx="39">
                  <c:v>10082</c:v>
                </c:pt>
                <c:pt idx="40">
                  <c:v>10659</c:v>
                </c:pt>
                <c:pt idx="41">
                  <c:v>11458</c:v>
                </c:pt>
                <c:pt idx="42">
                  <c:v>10867</c:v>
                </c:pt>
                <c:pt idx="43">
                  <c:v>12409</c:v>
                </c:pt>
                <c:pt idx="44">
                  <c:v>11869</c:v>
                </c:pt>
                <c:pt idx="45">
                  <c:v>8729</c:v>
                </c:pt>
                <c:pt idx="46">
                  <c:v>10665</c:v>
                </c:pt>
                <c:pt idx="47">
                  <c:v>8003</c:v>
                </c:pt>
                <c:pt idx="48">
                  <c:v>9224</c:v>
                </c:pt>
                <c:pt idx="49">
                  <c:v>9140</c:v>
                </c:pt>
                <c:pt idx="50">
                  <c:v>11616</c:v>
                </c:pt>
                <c:pt idx="51">
                  <c:v>9428</c:v>
                </c:pt>
                <c:pt idx="52">
                  <c:v>14249</c:v>
                </c:pt>
                <c:pt idx="53">
                  <c:v>9511</c:v>
                </c:pt>
                <c:pt idx="54">
                  <c:v>12094</c:v>
                </c:pt>
                <c:pt idx="55">
                  <c:v>13273</c:v>
                </c:pt>
                <c:pt idx="56">
                  <c:v>11184</c:v>
                </c:pt>
                <c:pt idx="57">
                  <c:v>10793</c:v>
                </c:pt>
                <c:pt idx="58">
                  <c:v>8693</c:v>
                </c:pt>
                <c:pt idx="59">
                  <c:v>8479</c:v>
                </c:pt>
                <c:pt idx="60">
                  <c:v>8120</c:v>
                </c:pt>
                <c:pt idx="61">
                  <c:v>9239</c:v>
                </c:pt>
                <c:pt idx="62">
                  <c:v>9266</c:v>
                </c:pt>
                <c:pt idx="63">
                  <c:v>8652</c:v>
                </c:pt>
                <c:pt idx="64">
                  <c:v>12405</c:v>
                </c:pt>
                <c:pt idx="65">
                  <c:v>8964</c:v>
                </c:pt>
                <c:pt idx="66">
                  <c:v>11521</c:v>
                </c:pt>
                <c:pt idx="67">
                  <c:v>12368</c:v>
                </c:pt>
                <c:pt idx="68">
                  <c:v>12729</c:v>
                </c:pt>
                <c:pt idx="69">
                  <c:v>10956</c:v>
                </c:pt>
                <c:pt idx="70">
                  <c:v>12069</c:v>
                </c:pt>
                <c:pt idx="71">
                  <c:v>9902</c:v>
                </c:pt>
                <c:pt idx="72">
                  <c:v>10091</c:v>
                </c:pt>
                <c:pt idx="73">
                  <c:v>9769</c:v>
                </c:pt>
                <c:pt idx="74">
                  <c:v>8578</c:v>
                </c:pt>
                <c:pt idx="75">
                  <c:v>9763</c:v>
                </c:pt>
                <c:pt idx="76">
                  <c:v>8348</c:v>
                </c:pt>
                <c:pt idx="77">
                  <c:v>9237</c:v>
                </c:pt>
                <c:pt idx="78">
                  <c:v>11204</c:v>
                </c:pt>
                <c:pt idx="79">
                  <c:v>10737</c:v>
                </c:pt>
                <c:pt idx="80">
                  <c:v>12276</c:v>
                </c:pt>
                <c:pt idx="81">
                  <c:v>9230</c:v>
                </c:pt>
                <c:pt idx="82">
                  <c:v>9405</c:v>
                </c:pt>
                <c:pt idx="83">
                  <c:v>10378</c:v>
                </c:pt>
                <c:pt idx="84">
                  <c:v>8827</c:v>
                </c:pt>
                <c:pt idx="85">
                  <c:v>8559</c:v>
                </c:pt>
                <c:pt idx="86">
                  <c:v>9143</c:v>
                </c:pt>
                <c:pt idx="87">
                  <c:v>9989</c:v>
                </c:pt>
                <c:pt idx="88">
                  <c:v>9299</c:v>
                </c:pt>
                <c:pt idx="89">
                  <c:v>10524</c:v>
                </c:pt>
                <c:pt idx="90">
                  <c:v>12887</c:v>
                </c:pt>
                <c:pt idx="91">
                  <c:v>11145</c:v>
                </c:pt>
                <c:pt idx="92">
                  <c:v>11882</c:v>
                </c:pt>
                <c:pt idx="93">
                  <c:v>9448</c:v>
                </c:pt>
                <c:pt idx="94">
                  <c:v>7857</c:v>
                </c:pt>
                <c:pt idx="95">
                  <c:v>8482</c:v>
                </c:pt>
                <c:pt idx="96">
                  <c:v>9064</c:v>
                </c:pt>
                <c:pt idx="97">
                  <c:v>7591</c:v>
                </c:pt>
                <c:pt idx="98">
                  <c:v>8801</c:v>
                </c:pt>
                <c:pt idx="99">
                  <c:v>10634</c:v>
                </c:pt>
                <c:pt idx="100">
                  <c:v>9951</c:v>
                </c:pt>
                <c:pt idx="101">
                  <c:v>11214</c:v>
                </c:pt>
                <c:pt idx="102">
                  <c:v>10990</c:v>
                </c:pt>
                <c:pt idx="103">
                  <c:v>11975</c:v>
                </c:pt>
                <c:pt idx="104">
                  <c:v>12137</c:v>
                </c:pt>
                <c:pt idx="105">
                  <c:v>10892</c:v>
                </c:pt>
                <c:pt idx="106">
                  <c:v>11249</c:v>
                </c:pt>
                <c:pt idx="107">
                  <c:v>7531</c:v>
                </c:pt>
                <c:pt idx="108">
                  <c:v>7992</c:v>
                </c:pt>
                <c:pt idx="109">
                  <c:v>9230</c:v>
                </c:pt>
                <c:pt idx="110">
                  <c:v>10123</c:v>
                </c:pt>
                <c:pt idx="111">
                  <c:v>11419</c:v>
                </c:pt>
                <c:pt idx="112">
                  <c:v>12102</c:v>
                </c:pt>
                <c:pt idx="113">
                  <c:v>10903</c:v>
                </c:pt>
                <c:pt idx="114">
                  <c:v>12513</c:v>
                </c:pt>
                <c:pt idx="115">
                  <c:v>10696</c:v>
                </c:pt>
                <c:pt idx="116">
                  <c:v>13758</c:v>
                </c:pt>
              </c:numCache>
            </c:numRef>
          </c:val>
          <c:smooth val="0"/>
          <c:extLst>
            <c:ext xmlns:c16="http://schemas.microsoft.com/office/drawing/2014/chart" uri="{C3380CC4-5D6E-409C-BE32-E72D297353CC}">
              <c16:uniqueId val="{00000000-0E6F-49C5-9BBE-9C9E465DD50A}"/>
            </c:ext>
          </c:extLst>
        </c:ser>
        <c:dLbls>
          <c:showLegendKey val="0"/>
          <c:showVal val="0"/>
          <c:showCatName val="0"/>
          <c:showSerName val="0"/>
          <c:showPercent val="0"/>
          <c:showBubbleSize val="0"/>
        </c:dLbls>
        <c:smooth val="0"/>
        <c:axId val="1529151823"/>
        <c:axId val="1529149903"/>
      </c:lineChart>
      <c:catAx>
        <c:axId val="1529151823"/>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529149903"/>
        <c:crosses val="autoZero"/>
        <c:auto val="1"/>
        <c:lblAlgn val="ctr"/>
        <c:lblOffset val="100"/>
        <c:noMultiLvlLbl val="0"/>
      </c:catAx>
      <c:valAx>
        <c:axId val="1529149903"/>
        <c:scaling>
          <c:orientation val="minMax"/>
        </c:scaling>
        <c:delete val="0"/>
        <c:axPos val="l"/>
        <c:numFmt formatCode="0.00" sourceLinked="0"/>
        <c:majorTickMark val="out"/>
        <c:minorTickMark val="none"/>
        <c:tickLblPos val="nextTo"/>
        <c:txPr>
          <a:bodyPr/>
          <a:lstStyle/>
          <a:p>
            <a:pPr>
              <a:defRPr sz="800" b="0"/>
            </a:pPr>
            <a:endParaRPr lang="en-US"/>
          </a:p>
        </c:txPr>
        <c:crossAx val="1529151823"/>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Forecast Errors</a:t>
            </a:r>
          </a:p>
        </c:rich>
      </c:tx>
      <c:overlay val="0"/>
    </c:title>
    <c:autoTitleDeleted val="0"/>
    <c:plotArea>
      <c:layout/>
      <c:lineChart>
        <c:grouping val="standard"/>
        <c:varyColors val="0"/>
        <c:ser>
          <c:idx val="0"/>
          <c:order val="0"/>
          <c:tx>
            <c:v>Errors</c:v>
          </c:tx>
          <c:spPr>
            <a:ln>
              <a:solidFill>
                <a:srgbClr val="333399"/>
              </a:solidFill>
              <a:prstDash val="solid"/>
            </a:ln>
          </c:spPr>
          <c:marker>
            <c:symbol val="none"/>
          </c:marker>
          <c:cat>
            <c:strRef>
              <c:f>'Simple Expo.(East)'!$A$83:$A$199</c:f>
              <c:strCache>
                <c:ptCount val="117"/>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strCache>
            </c:strRef>
          </c:cat>
          <c:val>
            <c:numRef>
              <c:f>'Simple Expo.(East)'!$E$84:$E$207</c:f>
              <c:numCache>
                <c:formatCode>0.00</c:formatCode>
                <c:ptCount val="124"/>
                <c:pt idx="0">
                  <c:v>1405</c:v>
                </c:pt>
                <c:pt idx="1">
                  <c:v>3485.4640335963595</c:v>
                </c:pt>
                <c:pt idx="2">
                  <c:v>-1822.8190314580461</c:v>
                </c:pt>
                <c:pt idx="3">
                  <c:v>3032.500024121553</c:v>
                </c:pt>
                <c:pt idx="4">
                  <c:v>861.97309566149488</c:v>
                </c:pt>
                <c:pt idx="5">
                  <c:v>476.6885778831238</c:v>
                </c:pt>
                <c:pt idx="6">
                  <c:v>4892.4748092941554</c:v>
                </c:pt>
                <c:pt idx="7">
                  <c:v>1095.6846862835646</c:v>
                </c:pt>
                <c:pt idx="8">
                  <c:v>-2987.4693830979922</c:v>
                </c:pt>
                <c:pt idx="9">
                  <c:v>-2069.6897212035528</c:v>
                </c:pt>
                <c:pt idx="10">
                  <c:v>-2980.1460093654496</c:v>
                </c:pt>
                <c:pt idx="11">
                  <c:v>98.096874968174234</c:v>
                </c:pt>
                <c:pt idx="12">
                  <c:v>-1159.2783975284146</c:v>
                </c:pt>
                <c:pt idx="13">
                  <c:v>-134.41214286805371</c:v>
                </c:pt>
                <c:pt idx="14">
                  <c:v>2921.5013612297116</c:v>
                </c:pt>
                <c:pt idx="15">
                  <c:v>-47.419456913743488</c:v>
                </c:pt>
                <c:pt idx="16">
                  <c:v>1149.4814733519524</c:v>
                </c:pt>
                <c:pt idx="17">
                  <c:v>1942.3465819754765</c:v>
                </c:pt>
                <c:pt idx="18">
                  <c:v>-92.697556879711556</c:v>
                </c:pt>
                <c:pt idx="19">
                  <c:v>21.070148700810023</c:v>
                </c:pt>
                <c:pt idx="20">
                  <c:v>-5064.1055478906292</c:v>
                </c:pt>
                <c:pt idx="21">
                  <c:v>2814.5725673463894</c:v>
                </c:pt>
                <c:pt idx="22">
                  <c:v>-1404.7076582746486</c:v>
                </c:pt>
                <c:pt idx="23">
                  <c:v>1477.687123520358</c:v>
                </c:pt>
                <c:pt idx="24">
                  <c:v>-1233.9526347715291</c:v>
                </c:pt>
                <c:pt idx="25">
                  <c:v>-2250.0229240732951</c:v>
                </c:pt>
                <c:pt idx="26">
                  <c:v>395.61158070707643</c:v>
                </c:pt>
                <c:pt idx="27">
                  <c:v>712.55344103764764</c:v>
                </c:pt>
                <c:pt idx="28">
                  <c:v>800.43021133749062</c:v>
                </c:pt>
                <c:pt idx="29">
                  <c:v>-1267.1325552024064</c:v>
                </c:pt>
                <c:pt idx="30">
                  <c:v>3341.8211906380075</c:v>
                </c:pt>
                <c:pt idx="31">
                  <c:v>-1187.0904614173141</c:v>
                </c:pt>
                <c:pt idx="32">
                  <c:v>632.20745562634693</c:v>
                </c:pt>
                <c:pt idx="33">
                  <c:v>-994.11318271600976</c:v>
                </c:pt>
                <c:pt idx="34">
                  <c:v>-503.01243599088048</c:v>
                </c:pt>
                <c:pt idx="35">
                  <c:v>-505.08572469684259</c:v>
                </c:pt>
                <c:pt idx="36">
                  <c:v>-3414.1577315837785</c:v>
                </c:pt>
                <c:pt idx="37">
                  <c:v>452.68840069712132</c:v>
                </c:pt>
                <c:pt idx="38">
                  <c:v>1266.0653676389447</c:v>
                </c:pt>
                <c:pt idx="39">
                  <c:v>1231.6270133606013</c:v>
                </c:pt>
                <c:pt idx="40">
                  <c:v>1435.8204469837583</c:v>
                </c:pt>
                <c:pt idx="41">
                  <c:v>151.39993838857481</c:v>
                </c:pt>
                <c:pt idx="42">
                  <c:v>1620.2822846462677</c:v>
                </c:pt>
                <c:pt idx="43">
                  <c:v>297.77708474651445</c:v>
                </c:pt>
                <c:pt idx="44">
                  <c:v>-2986.0324967277447</c:v>
                </c:pt>
                <c:pt idx="45">
                  <c:v>392.05322987712316</c:v>
                </c:pt>
                <c:pt idx="46">
                  <c:v>-2459.2864265046155</c:v>
                </c:pt>
                <c:pt idx="47">
                  <c:v>-50.589421471398964</c:v>
                </c:pt>
                <c:pt idx="48">
                  <c:v>-110.15757664015473</c:v>
                </c:pt>
                <c:pt idx="49">
                  <c:v>2419.0423363293903</c:v>
                </c:pt>
                <c:pt idx="50">
                  <c:v>-937.21903694646971</c:v>
                </c:pt>
                <c:pt idx="51">
                  <c:v>4336.4050377626845</c:v>
                </c:pt>
                <c:pt idx="52">
                  <c:v>-2495.8346654514935</c:v>
                </c:pt>
                <c:pt idx="53">
                  <c:v>1292.5130830935886</c:v>
                </c:pt>
                <c:pt idx="54">
                  <c:v>1847.3019699788147</c:v>
                </c:pt>
                <c:pt idx="55">
                  <c:v>-1133.8409677001346</c:v>
                </c:pt>
                <c:pt idx="56">
                  <c:v>-977.25956074892383</c:v>
                </c:pt>
                <c:pt idx="57">
                  <c:v>-2605.2981653895149</c:v>
                </c:pt>
                <c:pt idx="58">
                  <c:v>-1561.0857038790455</c:v>
                </c:pt>
                <c:pt idx="59">
                  <c:v>-1166.169122583331</c:v>
                </c:pt>
                <c:pt idx="60">
                  <c:v>516.02496466376397</c:v>
                </c:pt>
                <c:pt idx="61">
                  <c:v>293.81393399719309</c:v>
                </c:pt>
                <c:pt idx="62">
                  <c:v>-462.08166859899211</c:v>
                </c:pt>
                <c:pt idx="63">
                  <c:v>3514.0777844687836</c:v>
                </c:pt>
                <c:pt idx="64">
                  <c:v>-1624.0241126857291</c:v>
                </c:pt>
                <c:pt idx="65">
                  <c:v>1717.2881796730107</c:v>
                </c:pt>
                <c:pt idx="66">
                  <c:v>1734.9345892189358</c:v>
                </c:pt>
                <c:pt idx="67">
                  <c:v>1258.0587755941851</c:v>
                </c:pt>
                <c:pt idx="68">
                  <c:v>-1122.5128451107121</c:v>
                </c:pt>
                <c:pt idx="69">
                  <c:v>532.59771585562157</c:v>
                </c:pt>
                <c:pt idx="70">
                  <c:v>-1891.6170213916848</c:v>
                </c:pt>
                <c:pt idx="71">
                  <c:v>-789.07240667596488</c:v>
                </c:pt>
                <c:pt idx="72">
                  <c:v>-729.99482089210505</c:v>
                </c:pt>
                <c:pt idx="73">
                  <c:v>-1568.4483858289896</c:v>
                </c:pt>
                <c:pt idx="74">
                  <c:v>374.02395668539248</c:v>
                </c:pt>
                <c:pt idx="75">
                  <c:v>-1221.6085749214653</c:v>
                </c:pt>
                <c:pt idx="76">
                  <c:v>257.35964924316977</c:v>
                </c:pt>
                <c:pt idx="77">
                  <c:v>2100.0694155687816</c:v>
                </c:pt>
                <c:pt idx="78">
                  <c:v>618.85402026081647</c:v>
                </c:pt>
                <c:pt idx="79">
                  <c:v>1858.9823400469722</c:v>
                </c:pt>
                <c:pt idx="80">
                  <c:v>-2084.8015593345754</c:v>
                </c:pt>
                <c:pt idx="81">
                  <c:v>-902.95967974531959</c:v>
                </c:pt>
                <c:pt idx="82">
                  <c:v>506.11905258173647</c:v>
                </c:pt>
                <c:pt idx="83">
                  <c:v>-1289.3079797733117</c:v>
                </c:pt>
                <c:pt idx="84">
                  <c:v>-934.64475126981779</c:v>
                </c:pt>
                <c:pt idx="85">
                  <c:v>100.73608826538293</c:v>
                </c:pt>
                <c:pt idx="86">
                  <c:v>898.08622420639767</c:v>
                </c:pt>
                <c:pt idx="87">
                  <c:v>-225.63890323537089</c:v>
                </c:pt>
                <c:pt idx="88">
                  <c:v>1108.331994462189</c:v>
                </c:pt>
                <c:pt idx="89">
                  <c:v>2936.0699866625619</c:v>
                </c:pt>
                <c:pt idx="90">
                  <c:v>-223.88665805544952</c:v>
                </c:pt>
                <c:pt idx="91">
                  <c:v>621.23800378692613</c:v>
                </c:pt>
                <c:pt idx="92">
                  <c:v>-2112.7850063669739</c:v>
                </c:pt>
                <c:pt idx="93">
                  <c:v>-2683.4286959766978</c:v>
                </c:pt>
                <c:pt idx="94">
                  <c:v>-762.48358316544363</c:v>
                </c:pt>
                <c:pt idx="95">
                  <c:v>187.75309652856231</c:v>
                </c:pt>
                <c:pt idx="96">
                  <c:v>-1375.9210876695033</c:v>
                </c:pt>
                <c:pt idx="97">
                  <c:v>498.57139981588807</c:v>
                </c:pt>
                <c:pt idx="98">
                  <c:v>2090.7894591786717</c:v>
                </c:pt>
                <c:pt idx="99">
                  <c:v>398.05576079408456</c:v>
                </c:pt>
                <c:pt idx="100">
                  <c:v>1468.817219631841</c:v>
                </c:pt>
                <c:pt idx="101">
                  <c:v>535.46112597120009</c:v>
                </c:pt>
                <c:pt idx="102">
                  <c:v>1261.8635227096711</c:v>
                </c:pt>
                <c:pt idx="103">
                  <c:v>814.45442317137349</c:v>
                </c:pt>
                <c:pt idx="104">
                  <c:v>-823.88124879895258</c:v>
                </c:pt>
                <c:pt idx="105">
                  <c:v>-68.992950325189668</c:v>
                </c:pt>
                <c:pt idx="106">
                  <c:v>-3753.673236286797</c:v>
                </c:pt>
                <c:pt idx="107">
                  <c:v>-1479.8602135484725</c:v>
                </c:pt>
                <c:pt idx="108">
                  <c:v>472.82902498705334</c:v>
                </c:pt>
                <c:pt idx="109">
                  <c:v>1137.4792033405902</c:v>
                </c:pt>
                <c:pt idx="110">
                  <c:v>1884.1407332318704</c:v>
                </c:pt>
                <c:pt idx="111">
                  <c:v>1657.2067451436487</c:v>
                </c:pt>
                <c:pt idx="112">
                  <c:v>-342.13089211377337</c:v>
                </c:pt>
                <c:pt idx="113">
                  <c:v>1433.0990833431388</c:v>
                </c:pt>
                <c:pt idx="114">
                  <c:v>-1076.0071596948746</c:v>
                </c:pt>
                <c:pt idx="115">
                  <c:v>2505.6437712380794</c:v>
                </c:pt>
              </c:numCache>
            </c:numRef>
          </c:val>
          <c:smooth val="0"/>
          <c:extLst>
            <c:ext xmlns:c16="http://schemas.microsoft.com/office/drawing/2014/chart" uri="{C3380CC4-5D6E-409C-BE32-E72D297353CC}">
              <c16:uniqueId val="{00000000-DB7D-450F-A59B-ABBBF130E4BA}"/>
            </c:ext>
          </c:extLst>
        </c:ser>
        <c:dLbls>
          <c:showLegendKey val="0"/>
          <c:showVal val="0"/>
          <c:showCatName val="0"/>
          <c:showSerName val="0"/>
          <c:showPercent val="0"/>
          <c:showBubbleSize val="0"/>
        </c:dLbls>
        <c:smooth val="0"/>
        <c:axId val="1529141263"/>
        <c:axId val="1529151343"/>
      </c:lineChart>
      <c:catAx>
        <c:axId val="1529141263"/>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529151343"/>
        <c:crosses val="autoZero"/>
        <c:auto val="1"/>
        <c:lblAlgn val="ctr"/>
        <c:lblOffset val="100"/>
        <c:noMultiLvlLbl val="0"/>
      </c:catAx>
      <c:valAx>
        <c:axId val="1529151343"/>
        <c:scaling>
          <c:orientation val="minMax"/>
        </c:scaling>
        <c:delete val="0"/>
        <c:axPos val="l"/>
        <c:numFmt formatCode="0.00" sourceLinked="0"/>
        <c:majorTickMark val="out"/>
        <c:minorTickMark val="none"/>
        <c:tickLblPos val="nextTo"/>
        <c:txPr>
          <a:bodyPr/>
          <a:lstStyle/>
          <a:p>
            <a:pPr>
              <a:defRPr sz="800" b="0"/>
            </a:pPr>
            <a:endParaRPr lang="en-US"/>
          </a:p>
        </c:txPr>
        <c:crossAx val="1529141263"/>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Forecast and Original Observations</a:t>
            </a:r>
          </a:p>
        </c:rich>
      </c:tx>
      <c:layout/>
      <c:overlay val="0"/>
    </c:title>
    <c:autoTitleDeleted val="0"/>
    <c:plotArea>
      <c:layout/>
      <c:lineChart>
        <c:grouping val="standard"/>
        <c:varyColors val="0"/>
        <c:ser>
          <c:idx val="0"/>
          <c:order val="0"/>
          <c:tx>
            <c:v>East</c:v>
          </c:tx>
          <c:spPr>
            <a:ln>
              <a:solidFill>
                <a:srgbClr val="333399"/>
              </a:solidFill>
              <a:prstDash val="solid"/>
            </a:ln>
          </c:spPr>
          <c:marker>
            <c:symbol val="none"/>
          </c:marker>
          <c:cat>
            <c:strRef>
              <c:f>'Holt''s Expo. Ds (East)'!$A$147:$A$271</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'Holt''s Expo. Ds (East)'!$B$147:$B$271</c:f>
              <c:numCache>
                <c:formatCode>0.00</c:formatCode>
                <c:ptCount val="125"/>
                <c:pt idx="0">
                  <c:v>7419</c:v>
                </c:pt>
                <c:pt idx="1">
                  <c:v>8824</c:v>
                </c:pt>
                <c:pt idx="2">
                  <c:v>11583</c:v>
                </c:pt>
                <c:pt idx="3">
                  <c:v>7958</c:v>
                </c:pt>
                <c:pt idx="4">
                  <c:v>11933</c:v>
                </c:pt>
                <c:pt idx="5">
                  <c:v>11227</c:v>
                </c:pt>
                <c:pt idx="6">
                  <c:v>11258</c:v>
                </c:pt>
                <c:pt idx="7">
                  <c:v>15904</c:v>
                </c:pt>
                <c:pt idx="8">
                  <c:v>14470</c:v>
                </c:pt>
                <c:pt idx="9">
                  <c:v>10916</c:v>
                </c:pt>
                <c:pt idx="10">
                  <c:v>10391</c:v>
                </c:pt>
                <c:pt idx="11">
                  <c:v>8481</c:v>
                </c:pt>
                <c:pt idx="12">
                  <c:v>10120</c:v>
                </c:pt>
                <c:pt idx="13">
                  <c:v>8910</c:v>
                </c:pt>
                <c:pt idx="14">
                  <c:v>9375</c:v>
                </c:pt>
                <c:pt idx="15">
                  <c:v>12366</c:v>
                </c:pt>
                <c:pt idx="16">
                  <c:v>10808</c:v>
                </c:pt>
                <c:pt idx="17">
                  <c:v>11982</c:v>
                </c:pt>
                <c:pt idx="18">
                  <c:v>13330</c:v>
                </c:pt>
                <c:pt idx="19">
                  <c:v>12233</c:v>
                </c:pt>
                <c:pt idx="20">
                  <c:v>12302</c:v>
                </c:pt>
                <c:pt idx="21">
                  <c:v>7227</c:v>
                </c:pt>
                <c:pt idx="22">
                  <c:v>12660</c:v>
                </c:pt>
                <c:pt idx="23">
                  <c:v>9800</c:v>
                </c:pt>
                <c:pt idx="24">
                  <c:v>12004</c:v>
                </c:pt>
                <c:pt idx="25">
                  <c:v>10006</c:v>
                </c:pt>
                <c:pt idx="26">
                  <c:v>8394</c:v>
                </c:pt>
                <c:pt idx="27">
                  <c:v>9953</c:v>
                </c:pt>
                <c:pt idx="28">
                  <c:v>10461</c:v>
                </c:pt>
                <c:pt idx="29">
                  <c:v>10893</c:v>
                </c:pt>
                <c:pt idx="30">
                  <c:v>9212</c:v>
                </c:pt>
                <c:pt idx="31">
                  <c:v>13209</c:v>
                </c:pt>
                <c:pt idx="32">
                  <c:v>10294</c:v>
                </c:pt>
                <c:pt idx="33">
                  <c:v>11540</c:v>
                </c:pt>
                <c:pt idx="34">
                  <c:v>10219</c:v>
                </c:pt>
                <c:pt idx="35">
                  <c:v>10230</c:v>
                </c:pt>
                <c:pt idx="36">
                  <c:v>9985</c:v>
                </c:pt>
                <c:pt idx="37">
                  <c:v>6832</c:v>
                </c:pt>
                <c:pt idx="38">
                  <c:v>9050</c:v>
                </c:pt>
                <c:pt idx="39">
                  <c:v>10082</c:v>
                </c:pt>
                <c:pt idx="40">
                  <c:v>10659</c:v>
                </c:pt>
                <c:pt idx="41">
                  <c:v>11458</c:v>
                </c:pt>
                <c:pt idx="42">
                  <c:v>10867</c:v>
                </c:pt>
                <c:pt idx="43">
                  <c:v>12409</c:v>
                </c:pt>
                <c:pt idx="44">
                  <c:v>11869</c:v>
                </c:pt>
                <c:pt idx="45">
                  <c:v>8729</c:v>
                </c:pt>
                <c:pt idx="46">
                  <c:v>10665</c:v>
                </c:pt>
                <c:pt idx="47">
                  <c:v>8003</c:v>
                </c:pt>
                <c:pt idx="48">
                  <c:v>9224</c:v>
                </c:pt>
                <c:pt idx="49">
                  <c:v>9140</c:v>
                </c:pt>
                <c:pt idx="50">
                  <c:v>11616</c:v>
                </c:pt>
                <c:pt idx="51">
                  <c:v>9428</c:v>
                </c:pt>
                <c:pt idx="52">
                  <c:v>14249</c:v>
                </c:pt>
                <c:pt idx="53">
                  <c:v>9511</c:v>
                </c:pt>
                <c:pt idx="54">
                  <c:v>12094</c:v>
                </c:pt>
                <c:pt idx="55">
                  <c:v>13273</c:v>
                </c:pt>
                <c:pt idx="56">
                  <c:v>11184</c:v>
                </c:pt>
                <c:pt idx="57">
                  <c:v>10793</c:v>
                </c:pt>
                <c:pt idx="58">
                  <c:v>8693</c:v>
                </c:pt>
                <c:pt idx="59">
                  <c:v>8479</c:v>
                </c:pt>
                <c:pt idx="60">
                  <c:v>8120</c:v>
                </c:pt>
                <c:pt idx="61">
                  <c:v>9239</c:v>
                </c:pt>
                <c:pt idx="62">
                  <c:v>9266</c:v>
                </c:pt>
                <c:pt idx="63">
                  <c:v>8652</c:v>
                </c:pt>
                <c:pt idx="64">
                  <c:v>12405</c:v>
                </c:pt>
                <c:pt idx="65">
                  <c:v>8964</c:v>
                </c:pt>
                <c:pt idx="66">
                  <c:v>11521</c:v>
                </c:pt>
                <c:pt idx="67">
                  <c:v>12368</c:v>
                </c:pt>
                <c:pt idx="68">
                  <c:v>12729</c:v>
                </c:pt>
                <c:pt idx="69">
                  <c:v>10956</c:v>
                </c:pt>
                <c:pt idx="70">
                  <c:v>12069</c:v>
                </c:pt>
                <c:pt idx="71">
                  <c:v>9902</c:v>
                </c:pt>
                <c:pt idx="72">
                  <c:v>10091</c:v>
                </c:pt>
                <c:pt idx="73">
                  <c:v>9769</c:v>
                </c:pt>
                <c:pt idx="74">
                  <c:v>8578</c:v>
                </c:pt>
                <c:pt idx="75">
                  <c:v>9763</c:v>
                </c:pt>
                <c:pt idx="76">
                  <c:v>8348</c:v>
                </c:pt>
                <c:pt idx="77">
                  <c:v>9237</c:v>
                </c:pt>
                <c:pt idx="78">
                  <c:v>11204</c:v>
                </c:pt>
                <c:pt idx="79">
                  <c:v>10737</c:v>
                </c:pt>
                <c:pt idx="80">
                  <c:v>12276</c:v>
                </c:pt>
                <c:pt idx="81">
                  <c:v>9230</c:v>
                </c:pt>
                <c:pt idx="82">
                  <c:v>9405</c:v>
                </c:pt>
                <c:pt idx="83">
                  <c:v>10378</c:v>
                </c:pt>
                <c:pt idx="84">
                  <c:v>8827</c:v>
                </c:pt>
                <c:pt idx="85">
                  <c:v>8559</c:v>
                </c:pt>
                <c:pt idx="86">
                  <c:v>9143</c:v>
                </c:pt>
                <c:pt idx="87">
                  <c:v>9989</c:v>
                </c:pt>
                <c:pt idx="88">
                  <c:v>9299</c:v>
                </c:pt>
                <c:pt idx="89">
                  <c:v>10524</c:v>
                </c:pt>
                <c:pt idx="90">
                  <c:v>12887</c:v>
                </c:pt>
                <c:pt idx="91">
                  <c:v>11145</c:v>
                </c:pt>
                <c:pt idx="92">
                  <c:v>11882</c:v>
                </c:pt>
                <c:pt idx="93">
                  <c:v>9448</c:v>
                </c:pt>
                <c:pt idx="94">
                  <c:v>7857</c:v>
                </c:pt>
                <c:pt idx="95">
                  <c:v>8482</c:v>
                </c:pt>
                <c:pt idx="96">
                  <c:v>9064</c:v>
                </c:pt>
                <c:pt idx="97">
                  <c:v>7591</c:v>
                </c:pt>
                <c:pt idx="98">
                  <c:v>8801</c:v>
                </c:pt>
                <c:pt idx="99">
                  <c:v>10634</c:v>
                </c:pt>
                <c:pt idx="100">
                  <c:v>9951</c:v>
                </c:pt>
                <c:pt idx="101">
                  <c:v>11214</c:v>
                </c:pt>
                <c:pt idx="102">
                  <c:v>10990</c:v>
                </c:pt>
                <c:pt idx="103">
                  <c:v>11975</c:v>
                </c:pt>
                <c:pt idx="104">
                  <c:v>12137</c:v>
                </c:pt>
                <c:pt idx="105">
                  <c:v>10892</c:v>
                </c:pt>
                <c:pt idx="106">
                  <c:v>11249</c:v>
                </c:pt>
                <c:pt idx="107">
                  <c:v>7531</c:v>
                </c:pt>
                <c:pt idx="108">
                  <c:v>7992</c:v>
                </c:pt>
                <c:pt idx="109">
                  <c:v>9230</c:v>
                </c:pt>
                <c:pt idx="110">
                  <c:v>10123</c:v>
                </c:pt>
                <c:pt idx="111">
                  <c:v>11419</c:v>
                </c:pt>
                <c:pt idx="112">
                  <c:v>12102</c:v>
                </c:pt>
                <c:pt idx="113">
                  <c:v>10903</c:v>
                </c:pt>
                <c:pt idx="114">
                  <c:v>12513</c:v>
                </c:pt>
                <c:pt idx="115">
                  <c:v>10696</c:v>
                </c:pt>
                <c:pt idx="116">
                  <c:v>13758</c:v>
                </c:pt>
              </c:numCache>
            </c:numRef>
          </c:val>
          <c:smooth val="0"/>
          <c:extLst>
            <c:ext xmlns:c16="http://schemas.microsoft.com/office/drawing/2014/chart" uri="{C3380CC4-5D6E-409C-BE32-E72D297353CC}">
              <c16:uniqueId val="{00000000-5FE1-45EB-B9E5-C75C74580516}"/>
            </c:ext>
          </c:extLst>
        </c:ser>
        <c:ser>
          <c:idx val="1"/>
          <c:order val="1"/>
          <c:tx>
            <c:v>Forecast</c:v>
          </c:tx>
          <c:spPr>
            <a:ln>
              <a:solidFill>
                <a:srgbClr val="993366"/>
              </a:solidFill>
              <a:prstDash val="solid"/>
            </a:ln>
          </c:spPr>
          <c:marker>
            <c:symbol val="none"/>
          </c:marker>
          <c:cat>
            <c:strRef>
              <c:f>'Holt''s Expo. Ds (East)'!$A$147:$A$271</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'Holt''s Expo. Ds (East)'!$I$147:$I$271</c:f>
              <c:numCache>
                <c:formatCode>0.00</c:formatCode>
                <c:ptCount val="125"/>
                <c:pt idx="1">
                  <c:v>6926.3621528719732</c:v>
                </c:pt>
                <c:pt idx="2">
                  <c:v>7883.7554598377019</c:v>
                </c:pt>
                <c:pt idx="3">
                  <c:v>9502.3110124349751</c:v>
                </c:pt>
                <c:pt idx="4">
                  <c:v>9755.3107632370466</c:v>
                </c:pt>
                <c:pt idx="5">
                  <c:v>10030.772603642794</c:v>
                </c:pt>
                <c:pt idx="6">
                  <c:v>11285.301227918264</c:v>
                </c:pt>
                <c:pt idx="7">
                  <c:v>12359.700657122918</c:v>
                </c:pt>
                <c:pt idx="8">
                  <c:v>12766.923544943385</c:v>
                </c:pt>
                <c:pt idx="9">
                  <c:v>10863.238345956144</c:v>
                </c:pt>
                <c:pt idx="10">
                  <c:v>11260.24375392394</c:v>
                </c:pt>
                <c:pt idx="11">
                  <c:v>9719.477432900745</c:v>
                </c:pt>
                <c:pt idx="12">
                  <c:v>9907.3147863821396</c:v>
                </c:pt>
                <c:pt idx="13">
                  <c:v>9286.5754243702922</c:v>
                </c:pt>
                <c:pt idx="14">
                  <c:v>9836.9132749333512</c:v>
                </c:pt>
                <c:pt idx="15">
                  <c:v>10570.691798936674</c:v>
                </c:pt>
                <c:pt idx="16">
                  <c:v>11716.631498653411</c:v>
                </c:pt>
                <c:pt idx="17">
                  <c:v>11243.129150128952</c:v>
                </c:pt>
                <c:pt idx="18">
                  <c:v>12492.465967330287</c:v>
                </c:pt>
                <c:pt idx="19">
                  <c:v>13898.063055480119</c:v>
                </c:pt>
                <c:pt idx="20">
                  <c:v>13083.502884248295</c:v>
                </c:pt>
                <c:pt idx="21">
                  <c:v>10648.611407104365</c:v>
                </c:pt>
                <c:pt idx="22">
                  <c:v>10205.004323826477</c:v>
                </c:pt>
                <c:pt idx="23">
                  <c:v>9471.6334620997986</c:v>
                </c:pt>
                <c:pt idx="24">
                  <c:v>10029.079405752846</c:v>
                </c:pt>
                <c:pt idx="25">
                  <c:v>9780.6755796227608</c:v>
                </c:pt>
                <c:pt idx="26">
                  <c:v>10512.901613086606</c:v>
                </c:pt>
                <c:pt idx="27">
                  <c:v>10885.879391233586</c:v>
                </c:pt>
                <c:pt idx="28">
                  <c:v>11377.653180882198</c:v>
                </c:pt>
                <c:pt idx="29">
                  <c:v>10910.993318674906</c:v>
                </c:pt>
                <c:pt idx="30">
                  <c:v>11938.02571185152</c:v>
                </c:pt>
                <c:pt idx="31">
                  <c:v>12387.677440951442</c:v>
                </c:pt>
                <c:pt idx="32">
                  <c:v>12182.915750561244</c:v>
                </c:pt>
                <c:pt idx="33">
                  <c:v>9695.6001824567447</c:v>
                </c:pt>
                <c:pt idx="34">
                  <c:v>10484.490239082381</c:v>
                </c:pt>
                <c:pt idx="35">
                  <c:v>9162.5074407586744</c:v>
                </c:pt>
                <c:pt idx="36">
                  <c:v>9885.1929449649724</c:v>
                </c:pt>
                <c:pt idx="37">
                  <c:v>9241.6059175536557</c:v>
                </c:pt>
                <c:pt idx="38">
                  <c:v>9285.2234116360814</c:v>
                </c:pt>
                <c:pt idx="39">
                  <c:v>10030.100686908649</c:v>
                </c:pt>
                <c:pt idx="40">
                  <c:v>10710.97818403261</c:v>
                </c:pt>
                <c:pt idx="41">
                  <c:v>10457.144258746643</c:v>
                </c:pt>
                <c:pt idx="42">
                  <c:v>11701.091103280953</c:v>
                </c:pt>
                <c:pt idx="43">
                  <c:v>12609.128272617134</c:v>
                </c:pt>
                <c:pt idx="44">
                  <c:v>12167.55323203095</c:v>
                </c:pt>
                <c:pt idx="45">
                  <c:v>9987.1177327968071</c:v>
                </c:pt>
                <c:pt idx="46">
                  <c:v>10041.086757271303</c:v>
                </c:pt>
                <c:pt idx="47">
                  <c:v>8955.0178184707802</c:v>
                </c:pt>
                <c:pt idx="48">
                  <c:v>9176.323622951244</c:v>
                </c:pt>
                <c:pt idx="49">
                  <c:v>8571.0582029336347</c:v>
                </c:pt>
                <c:pt idx="50">
                  <c:v>9308.2469422231934</c:v>
                </c:pt>
                <c:pt idx="51">
                  <c:v>10695.203183284959</c:v>
                </c:pt>
                <c:pt idx="52">
                  <c:v>11092.280066891695</c:v>
                </c:pt>
                <c:pt idx="53">
                  <c:v>11555.281085400582</c:v>
                </c:pt>
                <c:pt idx="54">
                  <c:v>12127.30485001737</c:v>
                </c:pt>
                <c:pt idx="55">
                  <c:v>13278.053216798191</c:v>
                </c:pt>
                <c:pt idx="56">
                  <c:v>12857.28217620225</c:v>
                </c:pt>
                <c:pt idx="57">
                  <c:v>10291.868324915662</c:v>
                </c:pt>
                <c:pt idx="58">
                  <c:v>10777.861824629326</c:v>
                </c:pt>
                <c:pt idx="59">
                  <c:v>9049.0855742602616</c:v>
                </c:pt>
                <c:pt idx="60">
                  <c:v>9367.8130873780337</c:v>
                </c:pt>
                <c:pt idx="61">
                  <c:v>8469.171728761643</c:v>
                </c:pt>
                <c:pt idx="62">
                  <c:v>9249.382234462093</c:v>
                </c:pt>
                <c:pt idx="63">
                  <c:v>10054.670860965454</c:v>
                </c:pt>
                <c:pt idx="64">
                  <c:v>10377.677697876064</c:v>
                </c:pt>
                <c:pt idx="65">
                  <c:v>10603.192744962669</c:v>
                </c:pt>
                <c:pt idx="66">
                  <c:v>11190.938828077764</c:v>
                </c:pt>
                <c:pt idx="67">
                  <c:v>12347.333381169306</c:v>
                </c:pt>
                <c:pt idx="68">
                  <c:v>11964.293415065127</c:v>
                </c:pt>
                <c:pt idx="69">
                  <c:v>10023.179189485987</c:v>
                </c:pt>
                <c:pt idx="70">
                  <c:v>10604.0075702295</c:v>
                </c:pt>
                <c:pt idx="71">
                  <c:v>9619.7172455954478</c:v>
                </c:pt>
                <c:pt idx="72">
                  <c:v>10172.969482433928</c:v>
                </c:pt>
                <c:pt idx="73">
                  <c:v>9469.9659545265004</c:v>
                </c:pt>
                <c:pt idx="74">
                  <c:v>10199.86057963862</c:v>
                </c:pt>
                <c:pt idx="75">
                  <c:v>10671.878920373556</c:v>
                </c:pt>
                <c:pt idx="76">
                  <c:v>11156.020365995575</c:v>
                </c:pt>
                <c:pt idx="77">
                  <c:v>10266.742287810346</c:v>
                </c:pt>
                <c:pt idx="78">
                  <c:v>10978.30362268703</c:v>
                </c:pt>
                <c:pt idx="79">
                  <c:v>12088.537816349537</c:v>
                </c:pt>
                <c:pt idx="80">
                  <c:v>11406.467959974552</c:v>
                </c:pt>
                <c:pt idx="81">
                  <c:v>9584.1171380625237</c:v>
                </c:pt>
                <c:pt idx="82">
                  <c:v>9841.8753065733454</c:v>
                </c:pt>
                <c:pt idx="83">
                  <c:v>8564.3563078908355</c:v>
                </c:pt>
                <c:pt idx="84">
                  <c:v>9440.2842365600445</c:v>
                </c:pt>
                <c:pt idx="85">
                  <c:v>8673.7073068062164</c:v>
                </c:pt>
                <c:pt idx="86">
                  <c:v>9248.3070185229662</c:v>
                </c:pt>
                <c:pt idx="87">
                  <c:v>10022.813108535925</c:v>
                </c:pt>
                <c:pt idx="88">
                  <c:v>10682.048983353316</c:v>
                </c:pt>
                <c:pt idx="89">
                  <c:v>10127.547448539159</c:v>
                </c:pt>
                <c:pt idx="90">
                  <c:v>11188.08787202273</c:v>
                </c:pt>
                <c:pt idx="91">
                  <c:v>12691.723878590625</c:v>
                </c:pt>
                <c:pt idx="92">
                  <c:v>11945.142545163402</c:v>
                </c:pt>
                <c:pt idx="93">
                  <c:v>9849.0887908455843</c:v>
                </c:pt>
                <c:pt idx="94">
                  <c:v>10104.198844111152</c:v>
                </c:pt>
                <c:pt idx="95">
                  <c:v>8425.5640430051371</c:v>
                </c:pt>
                <c:pt idx="96">
                  <c:v>8867.2134965942951</c:v>
                </c:pt>
                <c:pt idx="97">
                  <c:v>8315.7970931057025</c:v>
                </c:pt>
                <c:pt idx="98">
                  <c:v>8715.5065215868417</c:v>
                </c:pt>
                <c:pt idx="99">
                  <c:v>9493.6505737488769</c:v>
                </c:pt>
                <c:pt idx="100">
                  <c:v>10409.487642352142</c:v>
                </c:pt>
                <c:pt idx="101">
                  <c:v>10071.305364915794</c:v>
                </c:pt>
                <c:pt idx="102">
                  <c:v>11315.961789746241</c:v>
                </c:pt>
                <c:pt idx="103">
                  <c:v>12317.377022431223</c:v>
                </c:pt>
                <c:pt idx="104">
                  <c:v>11853.900336817143</c:v>
                </c:pt>
                <c:pt idx="105">
                  <c:v>9840.2130304446164</c:v>
                </c:pt>
                <c:pt idx="106">
                  <c:v>10443.632062823943</c:v>
                </c:pt>
                <c:pt idx="107">
                  <c:v>9344.8016578034149</c:v>
                </c:pt>
                <c:pt idx="108">
                  <c:v>9374.8387519734497</c:v>
                </c:pt>
                <c:pt idx="109">
                  <c:v>8446.5242428757774</c:v>
                </c:pt>
                <c:pt idx="110">
                  <c:v>9228.615130124077</c:v>
                </c:pt>
                <c:pt idx="111">
                  <c:v>10253.139652103051</c:v>
                </c:pt>
                <c:pt idx="112">
                  <c:v>11223.415422417091</c:v>
                </c:pt>
                <c:pt idx="113">
                  <c:v>11167.207597983766</c:v>
                </c:pt>
                <c:pt idx="114">
                  <c:v>12155.212925536618</c:v>
                </c:pt>
                <c:pt idx="115">
                  <c:v>13407.82744149772</c:v>
                </c:pt>
                <c:pt idx="116">
                  <c:v>12375.21201883816</c:v>
                </c:pt>
                <c:pt idx="117">
                  <c:v>10479.589702969797</c:v>
                </c:pt>
                <c:pt idx="118">
                  <c:v>10851.451862583282</c:v>
                </c:pt>
                <c:pt idx="119">
                  <c:v>9538.2184523144042</c:v>
                </c:pt>
                <c:pt idx="120">
                  <c:v>10018.899289423771</c:v>
                </c:pt>
                <c:pt idx="121">
                  <c:v>9344.3887518692045</c:v>
                </c:pt>
                <c:pt idx="122">
                  <c:v>9991.8656787443833</c:v>
                </c:pt>
                <c:pt idx="123">
                  <c:v>10854.835554897903</c:v>
                </c:pt>
                <c:pt idx="124">
                  <c:v>11575.158641207667</c:v>
                </c:pt>
              </c:numCache>
            </c:numRef>
          </c:val>
          <c:smooth val="0"/>
          <c:extLst>
            <c:ext xmlns:c16="http://schemas.microsoft.com/office/drawing/2014/chart" uri="{C3380CC4-5D6E-409C-BE32-E72D297353CC}">
              <c16:uniqueId val="{00000001-5FE1-45EB-B9E5-C75C74580516}"/>
            </c:ext>
          </c:extLst>
        </c:ser>
        <c:dLbls>
          <c:showLegendKey val="0"/>
          <c:showVal val="0"/>
          <c:showCatName val="0"/>
          <c:showSerName val="0"/>
          <c:showPercent val="0"/>
          <c:showBubbleSize val="0"/>
        </c:dLbls>
        <c:smooth val="0"/>
        <c:axId val="89525663"/>
        <c:axId val="89522303"/>
      </c:lineChart>
      <c:catAx>
        <c:axId val="89525663"/>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89522303"/>
        <c:crosses val="autoZero"/>
        <c:auto val="1"/>
        <c:lblAlgn val="ctr"/>
        <c:lblOffset val="100"/>
        <c:noMultiLvlLbl val="0"/>
      </c:catAx>
      <c:valAx>
        <c:axId val="89522303"/>
        <c:scaling>
          <c:orientation val="minMax"/>
        </c:scaling>
        <c:delete val="0"/>
        <c:axPos val="l"/>
        <c:numFmt formatCode="0.00" sourceLinked="0"/>
        <c:majorTickMark val="out"/>
        <c:minorTickMark val="none"/>
        <c:tickLblPos val="nextTo"/>
        <c:txPr>
          <a:bodyPr/>
          <a:lstStyle/>
          <a:p>
            <a:pPr>
              <a:defRPr sz="800" b="0"/>
            </a:pPr>
            <a:endParaRPr lang="en-US"/>
          </a:p>
        </c:txPr>
        <c:crossAx val="89525663"/>
        <c:crosses val="autoZero"/>
        <c:crossBetween val="between"/>
      </c:valAx>
    </c:plotArea>
    <c:legend>
      <c:legendPos val="r"/>
      <c:layout/>
      <c:overlay val="0"/>
      <c:spPr>
        <a:ln>
          <a:solidFill>
            <a:srgbClr val="000000"/>
          </a:solidFill>
          <a:prstDash val="solid"/>
        </a:ln>
      </c:sp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Original Observations</a:t>
            </a:r>
          </a:p>
        </c:rich>
      </c:tx>
      <c:overlay val="0"/>
    </c:title>
    <c:autoTitleDeleted val="0"/>
    <c:plotArea>
      <c:layout/>
      <c:lineChart>
        <c:grouping val="standard"/>
        <c:varyColors val="0"/>
        <c:ser>
          <c:idx val="0"/>
          <c:order val="0"/>
          <c:tx>
            <c:v>East</c:v>
          </c:tx>
          <c:spPr>
            <a:ln>
              <a:solidFill>
                <a:srgbClr val="333399"/>
              </a:solidFill>
              <a:prstDash val="solid"/>
            </a:ln>
          </c:spPr>
          <c:marker>
            <c:symbol val="none"/>
          </c:marker>
          <c:cat>
            <c:strRef>
              <c:f>'Holt''s Expo. Ds (East)'!$A$147:$A$263</c:f>
              <c:strCache>
                <c:ptCount val="117"/>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strCache>
            </c:strRef>
          </c:cat>
          <c:val>
            <c:numRef>
              <c:f>'Holt''s Expo. Ds (East)'!$B$147:$B$263</c:f>
              <c:numCache>
                <c:formatCode>0.00</c:formatCode>
                <c:ptCount val="117"/>
                <c:pt idx="0">
                  <c:v>7419</c:v>
                </c:pt>
                <c:pt idx="1">
                  <c:v>8824</c:v>
                </c:pt>
                <c:pt idx="2">
                  <c:v>11583</c:v>
                </c:pt>
                <c:pt idx="3">
                  <c:v>7958</c:v>
                </c:pt>
                <c:pt idx="4">
                  <c:v>11933</c:v>
                </c:pt>
                <c:pt idx="5">
                  <c:v>11227</c:v>
                </c:pt>
                <c:pt idx="6">
                  <c:v>11258</c:v>
                </c:pt>
                <c:pt idx="7">
                  <c:v>15904</c:v>
                </c:pt>
                <c:pt idx="8">
                  <c:v>14470</c:v>
                </c:pt>
                <c:pt idx="9">
                  <c:v>10916</c:v>
                </c:pt>
                <c:pt idx="10">
                  <c:v>10391</c:v>
                </c:pt>
                <c:pt idx="11">
                  <c:v>8481</c:v>
                </c:pt>
                <c:pt idx="12">
                  <c:v>10120</c:v>
                </c:pt>
                <c:pt idx="13">
                  <c:v>8910</c:v>
                </c:pt>
                <c:pt idx="14">
                  <c:v>9375</c:v>
                </c:pt>
                <c:pt idx="15">
                  <c:v>12366</c:v>
                </c:pt>
                <c:pt idx="16">
                  <c:v>10808</c:v>
                </c:pt>
                <c:pt idx="17">
                  <c:v>11982</c:v>
                </c:pt>
                <c:pt idx="18">
                  <c:v>13330</c:v>
                </c:pt>
                <c:pt idx="19">
                  <c:v>12233</c:v>
                </c:pt>
                <c:pt idx="20">
                  <c:v>12302</c:v>
                </c:pt>
                <c:pt idx="21">
                  <c:v>7227</c:v>
                </c:pt>
                <c:pt idx="22">
                  <c:v>12660</c:v>
                </c:pt>
                <c:pt idx="23">
                  <c:v>9800</c:v>
                </c:pt>
                <c:pt idx="24">
                  <c:v>12004</c:v>
                </c:pt>
                <c:pt idx="25">
                  <c:v>10006</c:v>
                </c:pt>
                <c:pt idx="26">
                  <c:v>8394</c:v>
                </c:pt>
                <c:pt idx="27">
                  <c:v>9953</c:v>
                </c:pt>
                <c:pt idx="28">
                  <c:v>10461</c:v>
                </c:pt>
                <c:pt idx="29">
                  <c:v>10893</c:v>
                </c:pt>
                <c:pt idx="30">
                  <c:v>9212</c:v>
                </c:pt>
                <c:pt idx="31">
                  <c:v>13209</c:v>
                </c:pt>
                <c:pt idx="32">
                  <c:v>10294</c:v>
                </c:pt>
                <c:pt idx="33">
                  <c:v>11540</c:v>
                </c:pt>
                <c:pt idx="34">
                  <c:v>10219</c:v>
                </c:pt>
                <c:pt idx="35">
                  <c:v>10230</c:v>
                </c:pt>
                <c:pt idx="36">
                  <c:v>9985</c:v>
                </c:pt>
                <c:pt idx="37">
                  <c:v>6832</c:v>
                </c:pt>
                <c:pt idx="38">
                  <c:v>9050</c:v>
                </c:pt>
                <c:pt idx="39">
                  <c:v>10082</c:v>
                </c:pt>
                <c:pt idx="40">
                  <c:v>10659</c:v>
                </c:pt>
                <c:pt idx="41">
                  <c:v>11458</c:v>
                </c:pt>
                <c:pt idx="42">
                  <c:v>10867</c:v>
                </c:pt>
                <c:pt idx="43">
                  <c:v>12409</c:v>
                </c:pt>
                <c:pt idx="44">
                  <c:v>11869</c:v>
                </c:pt>
                <c:pt idx="45">
                  <c:v>8729</c:v>
                </c:pt>
                <c:pt idx="46">
                  <c:v>10665</c:v>
                </c:pt>
                <c:pt idx="47">
                  <c:v>8003</c:v>
                </c:pt>
                <c:pt idx="48">
                  <c:v>9224</c:v>
                </c:pt>
                <c:pt idx="49">
                  <c:v>9140</c:v>
                </c:pt>
                <c:pt idx="50">
                  <c:v>11616</c:v>
                </c:pt>
                <c:pt idx="51">
                  <c:v>9428</c:v>
                </c:pt>
                <c:pt idx="52">
                  <c:v>14249</c:v>
                </c:pt>
                <c:pt idx="53">
                  <c:v>9511</c:v>
                </c:pt>
                <c:pt idx="54">
                  <c:v>12094</c:v>
                </c:pt>
                <c:pt idx="55">
                  <c:v>13273</c:v>
                </c:pt>
                <c:pt idx="56">
                  <c:v>11184</c:v>
                </c:pt>
                <c:pt idx="57">
                  <c:v>10793</c:v>
                </c:pt>
                <c:pt idx="58">
                  <c:v>8693</c:v>
                </c:pt>
                <c:pt idx="59">
                  <c:v>8479</c:v>
                </c:pt>
                <c:pt idx="60">
                  <c:v>8120</c:v>
                </c:pt>
                <c:pt idx="61">
                  <c:v>9239</c:v>
                </c:pt>
                <c:pt idx="62">
                  <c:v>9266</c:v>
                </c:pt>
                <c:pt idx="63">
                  <c:v>8652</c:v>
                </c:pt>
                <c:pt idx="64">
                  <c:v>12405</c:v>
                </c:pt>
                <c:pt idx="65">
                  <c:v>8964</c:v>
                </c:pt>
                <c:pt idx="66">
                  <c:v>11521</c:v>
                </c:pt>
                <c:pt idx="67">
                  <c:v>12368</c:v>
                </c:pt>
                <c:pt idx="68">
                  <c:v>12729</c:v>
                </c:pt>
                <c:pt idx="69">
                  <c:v>10956</c:v>
                </c:pt>
                <c:pt idx="70">
                  <c:v>12069</c:v>
                </c:pt>
                <c:pt idx="71">
                  <c:v>9902</c:v>
                </c:pt>
                <c:pt idx="72">
                  <c:v>10091</c:v>
                </c:pt>
                <c:pt idx="73">
                  <c:v>9769</c:v>
                </c:pt>
                <c:pt idx="74">
                  <c:v>8578</c:v>
                </c:pt>
                <c:pt idx="75">
                  <c:v>9763</c:v>
                </c:pt>
                <c:pt idx="76">
                  <c:v>8348</c:v>
                </c:pt>
                <c:pt idx="77">
                  <c:v>9237</c:v>
                </c:pt>
                <c:pt idx="78">
                  <c:v>11204</c:v>
                </c:pt>
                <c:pt idx="79">
                  <c:v>10737</c:v>
                </c:pt>
                <c:pt idx="80">
                  <c:v>12276</c:v>
                </c:pt>
                <c:pt idx="81">
                  <c:v>9230</c:v>
                </c:pt>
                <c:pt idx="82">
                  <c:v>9405</c:v>
                </c:pt>
                <c:pt idx="83">
                  <c:v>10378</c:v>
                </c:pt>
                <c:pt idx="84">
                  <c:v>8827</c:v>
                </c:pt>
                <c:pt idx="85">
                  <c:v>8559</c:v>
                </c:pt>
                <c:pt idx="86">
                  <c:v>9143</c:v>
                </c:pt>
                <c:pt idx="87">
                  <c:v>9989</c:v>
                </c:pt>
                <c:pt idx="88">
                  <c:v>9299</c:v>
                </c:pt>
                <c:pt idx="89">
                  <c:v>10524</c:v>
                </c:pt>
                <c:pt idx="90">
                  <c:v>12887</c:v>
                </c:pt>
                <c:pt idx="91">
                  <c:v>11145</c:v>
                </c:pt>
                <c:pt idx="92">
                  <c:v>11882</c:v>
                </c:pt>
                <c:pt idx="93">
                  <c:v>9448</c:v>
                </c:pt>
                <c:pt idx="94">
                  <c:v>7857</c:v>
                </c:pt>
                <c:pt idx="95">
                  <c:v>8482</c:v>
                </c:pt>
                <c:pt idx="96">
                  <c:v>9064</c:v>
                </c:pt>
                <c:pt idx="97">
                  <c:v>7591</c:v>
                </c:pt>
                <c:pt idx="98">
                  <c:v>8801</c:v>
                </c:pt>
                <c:pt idx="99">
                  <c:v>10634</c:v>
                </c:pt>
                <c:pt idx="100">
                  <c:v>9951</c:v>
                </c:pt>
                <c:pt idx="101">
                  <c:v>11214</c:v>
                </c:pt>
                <c:pt idx="102">
                  <c:v>10990</c:v>
                </c:pt>
                <c:pt idx="103">
                  <c:v>11975</c:v>
                </c:pt>
                <c:pt idx="104">
                  <c:v>12137</c:v>
                </c:pt>
                <c:pt idx="105">
                  <c:v>10892</c:v>
                </c:pt>
                <c:pt idx="106">
                  <c:v>11249</c:v>
                </c:pt>
                <c:pt idx="107">
                  <c:v>7531</c:v>
                </c:pt>
                <c:pt idx="108">
                  <c:v>7992</c:v>
                </c:pt>
                <c:pt idx="109">
                  <c:v>9230</c:v>
                </c:pt>
                <c:pt idx="110">
                  <c:v>10123</c:v>
                </c:pt>
                <c:pt idx="111">
                  <c:v>11419</c:v>
                </c:pt>
                <c:pt idx="112">
                  <c:v>12102</c:v>
                </c:pt>
                <c:pt idx="113">
                  <c:v>10903</c:v>
                </c:pt>
                <c:pt idx="114">
                  <c:v>12513</c:v>
                </c:pt>
                <c:pt idx="115">
                  <c:v>10696</c:v>
                </c:pt>
                <c:pt idx="116">
                  <c:v>13758</c:v>
                </c:pt>
              </c:numCache>
            </c:numRef>
          </c:val>
          <c:smooth val="0"/>
          <c:extLst>
            <c:ext xmlns:c16="http://schemas.microsoft.com/office/drawing/2014/chart" uri="{C3380CC4-5D6E-409C-BE32-E72D297353CC}">
              <c16:uniqueId val="{00000000-7AF3-4D7B-8855-AF0679C445F1}"/>
            </c:ext>
          </c:extLst>
        </c:ser>
        <c:dLbls>
          <c:showLegendKey val="0"/>
          <c:showVal val="0"/>
          <c:showCatName val="0"/>
          <c:showSerName val="0"/>
          <c:showPercent val="0"/>
          <c:showBubbleSize val="0"/>
        </c:dLbls>
        <c:smooth val="0"/>
        <c:axId val="89524703"/>
        <c:axId val="89525183"/>
      </c:lineChart>
      <c:catAx>
        <c:axId val="89524703"/>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89525183"/>
        <c:crosses val="autoZero"/>
        <c:auto val="1"/>
        <c:lblAlgn val="ctr"/>
        <c:lblOffset val="100"/>
        <c:noMultiLvlLbl val="0"/>
      </c:catAx>
      <c:valAx>
        <c:axId val="89525183"/>
        <c:scaling>
          <c:orientation val="minMax"/>
        </c:scaling>
        <c:delete val="0"/>
        <c:axPos val="l"/>
        <c:numFmt formatCode="0.00" sourceLinked="0"/>
        <c:majorTickMark val="out"/>
        <c:minorTickMark val="none"/>
        <c:tickLblPos val="nextTo"/>
        <c:txPr>
          <a:bodyPr/>
          <a:lstStyle/>
          <a:p>
            <a:pPr>
              <a:defRPr sz="800" b="0"/>
            </a:pPr>
            <a:endParaRPr lang="en-US"/>
          </a:p>
        </c:txPr>
        <c:crossAx val="89524703"/>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Forecast Errors</a:t>
            </a:r>
          </a:p>
        </c:rich>
      </c:tx>
      <c:overlay val="0"/>
    </c:title>
    <c:autoTitleDeleted val="0"/>
    <c:plotArea>
      <c:layout/>
      <c:lineChart>
        <c:grouping val="standard"/>
        <c:varyColors val="0"/>
        <c:ser>
          <c:idx val="0"/>
          <c:order val="0"/>
          <c:tx>
            <c:v>Errors</c:v>
          </c:tx>
          <c:spPr>
            <a:ln>
              <a:solidFill>
                <a:srgbClr val="333399"/>
              </a:solidFill>
              <a:prstDash val="solid"/>
            </a:ln>
          </c:spPr>
          <c:marker>
            <c:symbol val="none"/>
          </c:marker>
          <c:cat>
            <c:strRef>
              <c:f>'Holt''s Expo. Ds (East)'!$A$147:$A$263</c:f>
              <c:strCache>
                <c:ptCount val="117"/>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strCache>
            </c:strRef>
          </c:cat>
          <c:val>
            <c:numRef>
              <c:f>'Holt''s Expo. Ds (East)'!$J$148:$J$271</c:f>
              <c:numCache>
                <c:formatCode>0.00</c:formatCode>
                <c:ptCount val="124"/>
                <c:pt idx="0">
                  <c:v>1897.6378471280268</c:v>
                </c:pt>
                <c:pt idx="1">
                  <c:v>3699.2445401622981</c:v>
                </c:pt>
                <c:pt idx="2">
                  <c:v>-1544.3110124349751</c:v>
                </c:pt>
                <c:pt idx="3">
                  <c:v>2177.6892367629534</c:v>
                </c:pt>
                <c:pt idx="4">
                  <c:v>1196.2273963572061</c:v>
                </c:pt>
                <c:pt idx="5">
                  <c:v>-27.301227918263976</c:v>
                </c:pt>
                <c:pt idx="6">
                  <c:v>3544.2993428770824</c:v>
                </c:pt>
                <c:pt idx="7">
                  <c:v>1703.0764550566146</c:v>
                </c:pt>
                <c:pt idx="8">
                  <c:v>52.761654043855742</c:v>
                </c:pt>
                <c:pt idx="9">
                  <c:v>-869.24375392393995</c:v>
                </c:pt>
                <c:pt idx="10">
                  <c:v>-1238.477432900745</c:v>
                </c:pt>
                <c:pt idx="11">
                  <c:v>212.68521361786043</c:v>
                </c:pt>
                <c:pt idx="12">
                  <c:v>-376.57542437029224</c:v>
                </c:pt>
                <c:pt idx="13">
                  <c:v>-461.9132749333512</c:v>
                </c:pt>
                <c:pt idx="14">
                  <c:v>1795.3082010633261</c:v>
                </c:pt>
                <c:pt idx="15">
                  <c:v>-908.63149865341074</c:v>
                </c:pt>
                <c:pt idx="16">
                  <c:v>738.87084987104754</c:v>
                </c:pt>
                <c:pt idx="17">
                  <c:v>837.53403266971327</c:v>
                </c:pt>
                <c:pt idx="18">
                  <c:v>-1665.0630554801191</c:v>
                </c:pt>
                <c:pt idx="19">
                  <c:v>-781.50288424829523</c:v>
                </c:pt>
                <c:pt idx="20">
                  <c:v>-3421.6114071043648</c:v>
                </c:pt>
                <c:pt idx="21">
                  <c:v>2454.995676173523</c:v>
                </c:pt>
                <c:pt idx="22">
                  <c:v>328.36653790020137</c:v>
                </c:pt>
                <c:pt idx="23">
                  <c:v>1974.9205942471544</c:v>
                </c:pt>
                <c:pt idx="24">
                  <c:v>225.32442037723922</c:v>
                </c:pt>
                <c:pt idx="25">
                  <c:v>-2118.9016130866057</c:v>
                </c:pt>
                <c:pt idx="26">
                  <c:v>-932.87939123358592</c:v>
                </c:pt>
                <c:pt idx="27">
                  <c:v>-916.65318088219828</c:v>
                </c:pt>
                <c:pt idx="28">
                  <c:v>-17.993318674905822</c:v>
                </c:pt>
                <c:pt idx="29">
                  <c:v>-2726.0257118515201</c:v>
                </c:pt>
                <c:pt idx="30">
                  <c:v>821.32255904855811</c:v>
                </c:pt>
                <c:pt idx="31">
                  <c:v>-1888.9157505612438</c:v>
                </c:pt>
                <c:pt idx="32">
                  <c:v>1844.3998175432553</c:v>
                </c:pt>
                <c:pt idx="33">
                  <c:v>-265.49023908238087</c:v>
                </c:pt>
                <c:pt idx="34">
                  <c:v>1067.4925592413256</c:v>
                </c:pt>
                <c:pt idx="35">
                  <c:v>99.807055035027588</c:v>
                </c:pt>
                <c:pt idx="36">
                  <c:v>-2409.6059175536557</c:v>
                </c:pt>
                <c:pt idx="37">
                  <c:v>-235.22341163608144</c:v>
                </c:pt>
                <c:pt idx="38">
                  <c:v>51.89931309135136</c:v>
                </c:pt>
                <c:pt idx="39">
                  <c:v>-51.978184032610443</c:v>
                </c:pt>
                <c:pt idx="40">
                  <c:v>1000.8557412533573</c:v>
                </c:pt>
                <c:pt idx="41">
                  <c:v>-834.09110328095267</c:v>
                </c:pt>
                <c:pt idx="42">
                  <c:v>-200.12827261713392</c:v>
                </c:pt>
                <c:pt idx="43">
                  <c:v>-298.55323203095031</c:v>
                </c:pt>
                <c:pt idx="44">
                  <c:v>-1258.1177327968071</c:v>
                </c:pt>
                <c:pt idx="45">
                  <c:v>623.91324272869679</c:v>
                </c:pt>
                <c:pt idx="46">
                  <c:v>-952.01781847078018</c:v>
                </c:pt>
                <c:pt idx="47">
                  <c:v>47.676377048755967</c:v>
                </c:pt>
                <c:pt idx="48">
                  <c:v>568.94179706636533</c:v>
                </c:pt>
                <c:pt idx="49">
                  <c:v>2307.7530577768066</c:v>
                </c:pt>
                <c:pt idx="50">
                  <c:v>-1267.2031832849589</c:v>
                </c:pt>
                <c:pt idx="51">
                  <c:v>3156.7199331083048</c:v>
                </c:pt>
                <c:pt idx="52">
                  <c:v>-2044.281085400582</c:v>
                </c:pt>
                <c:pt idx="53">
                  <c:v>-33.304850017369972</c:v>
                </c:pt>
                <c:pt idx="54">
                  <c:v>-5.0532167981909879</c:v>
                </c:pt>
                <c:pt idx="55">
                  <c:v>-1673.2821762022504</c:v>
                </c:pt>
                <c:pt idx="56">
                  <c:v>501.13167508433799</c:v>
                </c:pt>
                <c:pt idx="57">
                  <c:v>-2084.8618246293263</c:v>
                </c:pt>
                <c:pt idx="58">
                  <c:v>-570.08557426026164</c:v>
                </c:pt>
                <c:pt idx="59">
                  <c:v>-1247.8130873780337</c:v>
                </c:pt>
                <c:pt idx="60">
                  <c:v>769.82827123835705</c:v>
                </c:pt>
                <c:pt idx="61">
                  <c:v>16.617765537906962</c:v>
                </c:pt>
                <c:pt idx="62">
                  <c:v>-1402.6708609654543</c:v>
                </c:pt>
                <c:pt idx="63">
                  <c:v>2027.3223021239355</c:v>
                </c:pt>
                <c:pt idx="64">
                  <c:v>-1639.1927449626692</c:v>
                </c:pt>
                <c:pt idx="65">
                  <c:v>330.0611719222361</c:v>
                </c:pt>
                <c:pt idx="66">
                  <c:v>20.666618830693551</c:v>
                </c:pt>
                <c:pt idx="67">
                  <c:v>764.70658493487281</c:v>
                </c:pt>
                <c:pt idx="68">
                  <c:v>932.82081051401292</c:v>
                </c:pt>
                <c:pt idx="69">
                  <c:v>1464.9924297705002</c:v>
                </c:pt>
                <c:pt idx="70">
                  <c:v>282.28275440455218</c:v>
                </c:pt>
                <c:pt idx="71">
                  <c:v>-81.969482433927624</c:v>
                </c:pt>
                <c:pt idx="72">
                  <c:v>299.03404547349965</c:v>
                </c:pt>
                <c:pt idx="73">
                  <c:v>-1621.86057963862</c:v>
                </c:pt>
                <c:pt idx="74">
                  <c:v>-908.87892037355596</c:v>
                </c:pt>
                <c:pt idx="75">
                  <c:v>-2808.020365995575</c:v>
                </c:pt>
                <c:pt idx="76">
                  <c:v>-1029.7422878103462</c:v>
                </c:pt>
                <c:pt idx="77">
                  <c:v>225.69637731297007</c:v>
                </c:pt>
                <c:pt idx="78">
                  <c:v>-1351.537816349537</c:v>
                </c:pt>
                <c:pt idx="79">
                  <c:v>869.53204002544771</c:v>
                </c:pt>
                <c:pt idx="80">
                  <c:v>-354.11713806252374</c:v>
                </c:pt>
                <c:pt idx="81">
                  <c:v>-436.87530657334537</c:v>
                </c:pt>
                <c:pt idx="82">
                  <c:v>1813.6436921091645</c:v>
                </c:pt>
                <c:pt idx="83">
                  <c:v>-613.28423656004452</c:v>
                </c:pt>
                <c:pt idx="84">
                  <c:v>-114.70730680621637</c:v>
                </c:pt>
                <c:pt idx="85">
                  <c:v>-105.30701852296625</c:v>
                </c:pt>
                <c:pt idx="86">
                  <c:v>-33.813108535925494</c:v>
                </c:pt>
                <c:pt idx="87">
                  <c:v>-1383.0489833533156</c:v>
                </c:pt>
                <c:pt idx="88">
                  <c:v>396.45255146084128</c:v>
                </c:pt>
                <c:pt idx="89">
                  <c:v>1698.9121279772698</c:v>
                </c:pt>
                <c:pt idx="90">
                  <c:v>-1546.7238785906247</c:v>
                </c:pt>
                <c:pt idx="91">
                  <c:v>-63.142545163402247</c:v>
                </c:pt>
                <c:pt idx="92">
                  <c:v>-401.0887908455843</c:v>
                </c:pt>
                <c:pt idx="93">
                  <c:v>-2247.1988441111516</c:v>
                </c:pt>
                <c:pt idx="94">
                  <c:v>56.435956994862863</c:v>
                </c:pt>
                <c:pt idx="95">
                  <c:v>196.78650340570493</c:v>
                </c:pt>
                <c:pt idx="96">
                  <c:v>-724.79709310570252</c:v>
                </c:pt>
                <c:pt idx="97">
                  <c:v>85.4934784131583</c:v>
                </c:pt>
                <c:pt idx="98">
                  <c:v>1140.3494262511231</c:v>
                </c:pt>
                <c:pt idx="99">
                  <c:v>-458.48764235214185</c:v>
                </c:pt>
                <c:pt idx="100">
                  <c:v>1142.6946350842063</c:v>
                </c:pt>
                <c:pt idx="101">
                  <c:v>-325.96178974624127</c:v>
                </c:pt>
                <c:pt idx="102">
                  <c:v>-342.37702243122294</c:v>
                </c:pt>
                <c:pt idx="103">
                  <c:v>283.0996631828566</c:v>
                </c:pt>
                <c:pt idx="104">
                  <c:v>1051.7869695553836</c:v>
                </c:pt>
                <c:pt idx="105">
                  <c:v>805.36793717605724</c:v>
                </c:pt>
                <c:pt idx="106">
                  <c:v>-1813.8016578034149</c:v>
                </c:pt>
                <c:pt idx="107">
                  <c:v>-1382.8387519734497</c:v>
                </c:pt>
                <c:pt idx="108">
                  <c:v>783.47575712422258</c:v>
                </c:pt>
                <c:pt idx="109">
                  <c:v>894.38486987592296</c:v>
                </c:pt>
                <c:pt idx="110">
                  <c:v>1165.860347896949</c:v>
                </c:pt>
                <c:pt idx="111">
                  <c:v>878.58457758290933</c:v>
                </c:pt>
                <c:pt idx="112">
                  <c:v>-264.20759798376639</c:v>
                </c:pt>
                <c:pt idx="113">
                  <c:v>357.78707446338194</c:v>
                </c:pt>
                <c:pt idx="114">
                  <c:v>-2711.8274414977204</c:v>
                </c:pt>
                <c:pt idx="115">
                  <c:v>1382.7879811618404</c:v>
                </c:pt>
              </c:numCache>
            </c:numRef>
          </c:val>
          <c:smooth val="0"/>
          <c:extLst>
            <c:ext xmlns:c16="http://schemas.microsoft.com/office/drawing/2014/chart" uri="{C3380CC4-5D6E-409C-BE32-E72D297353CC}">
              <c16:uniqueId val="{00000000-FAF2-43E4-B0BE-50DB991155CB}"/>
            </c:ext>
          </c:extLst>
        </c:ser>
        <c:dLbls>
          <c:showLegendKey val="0"/>
          <c:showVal val="0"/>
          <c:showCatName val="0"/>
          <c:showSerName val="0"/>
          <c:showPercent val="0"/>
          <c:showBubbleSize val="0"/>
        </c:dLbls>
        <c:smooth val="0"/>
        <c:axId val="86895775"/>
        <c:axId val="86899135"/>
      </c:lineChart>
      <c:catAx>
        <c:axId val="86895775"/>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86899135"/>
        <c:crosses val="autoZero"/>
        <c:auto val="1"/>
        <c:lblAlgn val="ctr"/>
        <c:lblOffset val="100"/>
        <c:noMultiLvlLbl val="0"/>
      </c:catAx>
      <c:valAx>
        <c:axId val="86899135"/>
        <c:scaling>
          <c:orientation val="minMax"/>
        </c:scaling>
        <c:delete val="0"/>
        <c:axPos val="l"/>
        <c:numFmt formatCode="0.00" sourceLinked="0"/>
        <c:majorTickMark val="out"/>
        <c:minorTickMark val="none"/>
        <c:tickLblPos val="nextTo"/>
        <c:txPr>
          <a:bodyPr/>
          <a:lstStyle/>
          <a:p>
            <a:pPr>
              <a:defRPr sz="800" b="0"/>
            </a:pPr>
            <a:endParaRPr lang="en-US"/>
          </a:p>
        </c:txPr>
        <c:crossAx val="86895775"/>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Deseasonalized Forecast and Original Observations</a:t>
            </a:r>
          </a:p>
        </c:rich>
      </c:tx>
      <c:overlay val="0"/>
    </c:title>
    <c:autoTitleDeleted val="0"/>
    <c:plotArea>
      <c:layout/>
      <c:lineChart>
        <c:grouping val="standard"/>
        <c:varyColors val="0"/>
        <c:ser>
          <c:idx val="0"/>
          <c:order val="0"/>
          <c:tx>
            <c:v>East</c:v>
          </c:tx>
          <c:spPr>
            <a:ln>
              <a:solidFill>
                <a:srgbClr val="333399"/>
              </a:solidFill>
              <a:prstDash val="solid"/>
            </a:ln>
          </c:spPr>
          <c:marker>
            <c:symbol val="none"/>
          </c:marker>
          <c:cat>
            <c:strRef>
              <c:f>'Holt''s Expo. Ds (East)'!$A$147:$A$271</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'Holt''s Expo. Ds (East)'!$D$147:$D$271</c:f>
              <c:numCache>
                <c:formatCode>0.00</c:formatCode>
                <c:ptCount val="125"/>
                <c:pt idx="0">
                  <c:v>8145.242261508587</c:v>
                </c:pt>
                <c:pt idx="1">
                  <c:v>10416.446453608565</c:v>
                </c:pt>
                <c:pt idx="2">
                  <c:v>12823.374877466002</c:v>
                </c:pt>
                <c:pt idx="3">
                  <c:v>8132.5736898867053</c:v>
                </c:pt>
                <c:pt idx="4">
                  <c:v>11467.956753951106</c:v>
                </c:pt>
                <c:pt idx="5">
                  <c:v>11072.302866226855</c:v>
                </c:pt>
                <c:pt idx="6">
                  <c:v>10173.135204727409</c:v>
                </c:pt>
                <c:pt idx="7">
                  <c:v>13154.801260364744</c:v>
                </c:pt>
                <c:pt idx="8">
                  <c:v>12394.288572970971</c:v>
                </c:pt>
                <c:pt idx="9">
                  <c:v>11360.513533881589</c:v>
                </c:pt>
                <c:pt idx="10">
                  <c:v>10473.33579782507</c:v>
                </c:pt>
                <c:pt idx="11">
                  <c:v>9752.7846194837675</c:v>
                </c:pt>
                <c:pt idx="12">
                  <c:v>11110.641823219692</c:v>
                </c:pt>
                <c:pt idx="13">
                  <c:v>10517.966670631495</c:v>
                </c:pt>
                <c:pt idx="14">
                  <c:v>10378.929420378467</c:v>
                </c:pt>
                <c:pt idx="15">
                  <c:v>12637.271456287886</c:v>
                </c:pt>
                <c:pt idx="16">
                  <c:v>10386.799346074211</c:v>
                </c:pt>
                <c:pt idx="17">
                  <c:v>11816.899701000282</c:v>
                </c:pt>
                <c:pt idx="18">
                  <c:v>12045.469202257626</c:v>
                </c:pt>
                <c:pt idx="19">
                  <c:v>10118.378006667626</c:v>
                </c:pt>
                <c:pt idx="20">
                  <c:v>10537.286663765644</c:v>
                </c:pt>
                <c:pt idx="21">
                  <c:v>7521.2927179701583</c:v>
                </c:pt>
                <c:pt idx="22">
                  <c:v>12760.314810938829</c:v>
                </c:pt>
                <c:pt idx="23">
                  <c:v>11269.577794003175</c:v>
                </c:pt>
                <c:pt idx="24">
                  <c:v>13179.065656712371</c:v>
                </c:pt>
                <c:pt idx="25">
                  <c:v>11811.759203853955</c:v>
                </c:pt>
                <c:pt idx="26">
                  <c:v>9292.878245830063</c:v>
                </c:pt>
                <c:pt idx="27">
                  <c:v>10171.337765197584</c:v>
                </c:pt>
                <c:pt idx="28">
                  <c:v>10053.322350044627</c:v>
                </c:pt>
                <c:pt idx="29">
                  <c:v>10742.905061174768</c:v>
                </c:pt>
                <c:pt idx="30">
                  <c:v>8324.2957457762368</c:v>
                </c:pt>
                <c:pt idx="31">
                  <c:v>10925.664603128642</c:v>
                </c:pt>
                <c:pt idx="32">
                  <c:v>8817.3328659407853</c:v>
                </c:pt>
                <c:pt idx="33">
                  <c:v>12009.923614968262</c:v>
                </c:pt>
                <c:pt idx="34">
                  <c:v>10299.972910978191</c:v>
                </c:pt>
                <c:pt idx="35">
                  <c:v>11764.059268638008</c:v>
                </c:pt>
                <c:pt idx="36">
                  <c:v>10962.426739609549</c:v>
                </c:pt>
                <c:pt idx="37">
                  <c:v>8064.954915123948</c:v>
                </c:pt>
                <c:pt idx="38">
                  <c:v>10019.126533805345</c:v>
                </c:pt>
                <c:pt idx="39">
                  <c:v>10303.167622698889</c:v>
                </c:pt>
                <c:pt idx="40">
                  <c:v>10243.606053830961</c:v>
                </c:pt>
                <c:pt idx="41">
                  <c:v>11300.119911038328</c:v>
                </c:pt>
                <c:pt idx="42">
                  <c:v>9819.8134899425077</c:v>
                </c:pt>
                <c:pt idx="43">
                  <c:v>10263.954278160596</c:v>
                </c:pt>
                <c:pt idx="44">
                  <c:v>10166.400212342256</c:v>
                </c:pt>
                <c:pt idx="45">
                  <c:v>9084.456086226859</c:v>
                </c:pt>
                <c:pt idx="46">
                  <c:v>10749.506908267189</c:v>
                </c:pt>
                <c:pt idx="47">
                  <c:v>9203.1052127966741</c:v>
                </c:pt>
                <c:pt idx="48">
                  <c:v>10126.932823851625</c:v>
                </c:pt>
                <c:pt idx="49">
                  <c:v>10789.474227785844</c:v>
                </c:pt>
                <c:pt idx="50">
                  <c:v>12859.908709025734</c:v>
                </c:pt>
                <c:pt idx="51">
                  <c:v>9634.8209032736686</c:v>
                </c:pt>
                <c:pt idx="52">
                  <c:v>13693.699470967009</c:v>
                </c:pt>
                <c:pt idx="53">
                  <c:v>9379.9476761987717</c:v>
                </c:pt>
                <c:pt idx="54">
                  <c:v>10928.574983653692</c:v>
                </c:pt>
                <c:pt idx="55">
                  <c:v>10978.601429126085</c:v>
                </c:pt>
                <c:pt idx="56">
                  <c:v>9579.6629854946332</c:v>
                </c:pt>
                <c:pt idx="57">
                  <c:v>11232.504815975082</c:v>
                </c:pt>
                <c:pt idx="58">
                  <c:v>8761.8812520925148</c:v>
                </c:pt>
                <c:pt idx="59">
                  <c:v>9750.4847056482558</c:v>
                </c:pt>
                <c:pt idx="60">
                  <c:v>8914.8628067731133</c:v>
                </c:pt>
                <c:pt idx="61">
                  <c:v>10906.340524126193</c:v>
                </c:pt>
                <c:pt idx="62">
                  <c:v>10258.257067650866</c:v>
                </c:pt>
                <c:pt idx="63">
                  <c:v>8841.797884506128</c:v>
                </c:pt>
                <c:pt idx="64">
                  <c:v>11921.562350855902</c:v>
                </c:pt>
                <c:pt idx="65">
                  <c:v>8840.4848038529908</c:v>
                </c:pt>
                <c:pt idx="66">
                  <c:v>10410.791498815461</c:v>
                </c:pt>
                <c:pt idx="67">
                  <c:v>10230.041624005984</c:v>
                </c:pt>
                <c:pt idx="68">
                  <c:v>10903.033811012267</c:v>
                </c:pt>
                <c:pt idx="69">
                  <c:v>11402.142385233299</c:v>
                </c:pt>
                <c:pt idx="70">
                  <c:v>12164.631868342869</c:v>
                </c:pt>
                <c:pt idx="71">
                  <c:v>11386.873399614227</c:v>
                </c:pt>
                <c:pt idx="72">
                  <c:v>11078.803027481217</c:v>
                </c:pt>
                <c:pt idx="73">
                  <c:v>11531.988373220996</c:v>
                </c:pt>
                <c:pt idx="74">
                  <c:v>9496.5820339206912</c:v>
                </c:pt>
                <c:pt idx="75">
                  <c:v>9977.1697580251202</c:v>
                </c:pt>
                <c:pt idx="76">
                  <c:v>8022.6684808500668</c:v>
                </c:pt>
                <c:pt idx="77">
                  <c:v>9109.7231295392758</c:v>
                </c:pt>
                <c:pt idx="78">
                  <c:v>10124.338855370925</c:v>
                </c:pt>
                <c:pt idx="79">
                  <c:v>8880.9796989773804</c:v>
                </c:pt>
                <c:pt idx="80">
                  <c:v>10515.016345666319</c:v>
                </c:pt>
                <c:pt idx="81">
                  <c:v>9605.8574494070235</c:v>
                </c:pt>
                <c:pt idx="82">
                  <c:v>9479.5229697377326</c:v>
                </c:pt>
                <c:pt idx="83">
                  <c:v>11934.252892465811</c:v>
                </c:pt>
                <c:pt idx="84">
                  <c:v>9691.0706890869787</c:v>
                </c:pt>
                <c:pt idx="85">
                  <c:v>10103.622529061164</c:v>
                </c:pt>
                <c:pt idx="86">
                  <c:v>10122.0855136555</c:v>
                </c:pt>
                <c:pt idx="87">
                  <c:v>10208.127492872367</c:v>
                </c:pt>
                <c:pt idx="88">
                  <c:v>8936.6068763086696</c:v>
                </c:pt>
                <c:pt idx="89">
                  <c:v>10378.989522060338</c:v>
                </c:pt>
                <c:pt idx="90">
                  <c:v>11645.158410314631</c:v>
                </c:pt>
                <c:pt idx="91">
                  <c:v>9218.4519647110847</c:v>
                </c:pt>
                <c:pt idx="92">
                  <c:v>10177.535371391919</c:v>
                </c:pt>
                <c:pt idx="93">
                  <c:v>9832.7346892738424</c:v>
                </c:pt>
                <c:pt idx="94">
                  <c:v>7919.2569881158279</c:v>
                </c:pt>
                <c:pt idx="95">
                  <c:v>9753.9345764015234</c:v>
                </c:pt>
                <c:pt idx="96">
                  <c:v>9951.2705025358991</c:v>
                </c:pt>
                <c:pt idx="97">
                  <c:v>8960.9298537332979</c:v>
                </c:pt>
                <c:pt idx="98">
                  <c:v>9743.462168400094</c:v>
                </c:pt>
                <c:pt idx="99">
                  <c:v>10867.276780378892</c:v>
                </c:pt>
                <c:pt idx="100">
                  <c:v>9563.1976584737677</c:v>
                </c:pt>
                <c:pt idx="101">
                  <c:v>11059.481993575127</c:v>
                </c:pt>
                <c:pt idx="102">
                  <c:v>9930.9607301433844</c:v>
                </c:pt>
                <c:pt idx="103">
                  <c:v>9904.9764268654308</c:v>
                </c:pt>
                <c:pt idx="104">
                  <c:v>10395.955798904539</c:v>
                </c:pt>
                <c:pt idx="105">
                  <c:v>11335.536223070563</c:v>
                </c:pt>
                <c:pt idx="106">
                  <c:v>11338.134384537985</c:v>
                </c:pt>
                <c:pt idx="107">
                  <c:v>8660.3255476161121</c:v>
                </c:pt>
                <c:pt idx="108">
                  <c:v>8774.3329497205323</c:v>
                </c:pt>
                <c:pt idx="109">
                  <c:v>10895.716315367979</c:v>
                </c:pt>
                <c:pt idx="110">
                  <c:v>11207.029602399063</c:v>
                </c:pt>
                <c:pt idx="111">
                  <c:v>11669.497231065128</c:v>
                </c:pt>
                <c:pt idx="112">
                  <c:v>11630.370622334392</c:v>
                </c:pt>
                <c:pt idx="113">
                  <c:v>10752.767270906867</c:v>
                </c:pt>
                <c:pt idx="114">
                  <c:v>11307.198509216028</c:v>
                </c:pt>
                <c:pt idx="115">
                  <c:v>8847.0670448227684</c:v>
                </c:pt>
                <c:pt idx="116">
                  <c:v>11784.424477327893</c:v>
                </c:pt>
              </c:numCache>
            </c:numRef>
          </c:val>
          <c:smooth val="0"/>
          <c:extLst>
            <c:ext xmlns:c16="http://schemas.microsoft.com/office/drawing/2014/chart" uri="{C3380CC4-5D6E-409C-BE32-E72D297353CC}">
              <c16:uniqueId val="{00000000-43CF-47BE-843F-F5CF1A8CAA26}"/>
            </c:ext>
          </c:extLst>
        </c:ser>
        <c:ser>
          <c:idx val="1"/>
          <c:order val="1"/>
          <c:tx>
            <c:v>Deseasonalized Forecast</c:v>
          </c:tx>
          <c:spPr>
            <a:ln>
              <a:solidFill>
                <a:srgbClr val="993366"/>
              </a:solidFill>
              <a:prstDash val="solid"/>
            </a:ln>
          </c:spPr>
          <c:marker>
            <c:symbol val="none"/>
          </c:marker>
          <c:cat>
            <c:strRef>
              <c:f>'Holt''s Expo. Ds (East)'!$A$147:$A$271</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'Holt''s Expo. Ds (East)'!$G$147:$G$271</c:f>
              <c:numCache>
                <c:formatCode>0.00</c:formatCode>
                <c:ptCount val="125"/>
                <c:pt idx="1">
                  <c:v>8176.346383011316</c:v>
                </c:pt>
                <c:pt idx="2">
                  <c:v>8727.9937584190811</c:v>
                </c:pt>
                <c:pt idx="3">
                  <c:v>9710.7620674603386</c:v>
                </c:pt>
                <c:pt idx="4">
                  <c:v>9375.1346647243954</c:v>
                </c:pt>
                <c:pt idx="5">
                  <c:v>9892.5583192111808</c:v>
                </c:pt>
                <c:pt idx="6">
                  <c:v>10197.805579826678</c:v>
                </c:pt>
                <c:pt idx="7">
                  <c:v>10223.176922915714</c:v>
                </c:pt>
                <c:pt idx="8">
                  <c:v>10935.517249833161</c:v>
                </c:pt>
                <c:pt idx="9">
                  <c:v>11305.603357550039</c:v>
                </c:pt>
                <c:pt idx="10">
                  <c:v>11349.467231277811</c:v>
                </c:pt>
                <c:pt idx="11">
                  <c:v>11176.98031093196</c:v>
                </c:pt>
                <c:pt idx="12">
                  <c:v>10877.136958634415</c:v>
                </c:pt>
                <c:pt idx="13">
                  <c:v>10962.501773045147</c:v>
                </c:pt>
                <c:pt idx="14">
                  <c:v>10890.307050124506</c:v>
                </c:pt>
                <c:pt idx="15">
                  <c:v>10802.579794914998</c:v>
                </c:pt>
                <c:pt idx="16">
                  <c:v>11260.020391229253</c:v>
                </c:pt>
                <c:pt idx="17">
                  <c:v>11088.209772364078</c:v>
                </c:pt>
                <c:pt idx="18">
                  <c:v>11288.643216033644</c:v>
                </c:pt>
                <c:pt idx="19">
                  <c:v>11495.614776085171</c:v>
                </c:pt>
                <c:pt idx="20">
                  <c:v>11206.683503294498</c:v>
                </c:pt>
                <c:pt idx="21">
                  <c:v>11082.236534211708</c:v>
                </c:pt>
                <c:pt idx="22">
                  <c:v>10285.866336415307</c:v>
                </c:pt>
                <c:pt idx="23">
                  <c:v>10891.970422185439</c:v>
                </c:pt>
                <c:pt idx="24">
                  <c:v>11010.821056714314</c:v>
                </c:pt>
                <c:pt idx="25">
                  <c:v>11545.771017141591</c:v>
                </c:pt>
                <c:pt idx="26">
                  <c:v>11638.684143531606</c:v>
                </c:pt>
                <c:pt idx="27">
                  <c:v>11124.681619555939</c:v>
                </c:pt>
                <c:pt idx="28">
                  <c:v>10934.252462902146</c:v>
                </c:pt>
                <c:pt idx="29">
                  <c:v>10760.65044942961</c:v>
                </c:pt>
                <c:pt idx="30">
                  <c:v>10787.63098633662</c:v>
                </c:pt>
                <c:pt idx="31">
                  <c:v>10246.317581314132</c:v>
                </c:pt>
                <c:pt idx="32">
                  <c:v>10435.284967011008</c:v>
                </c:pt>
                <c:pt idx="33">
                  <c:v>10090.417469027543</c:v>
                </c:pt>
                <c:pt idx="34">
                  <c:v>10567.566831193246</c:v>
                </c:pt>
                <c:pt idx="35">
                  <c:v>10536.488815486002</c:v>
                </c:pt>
                <c:pt idx="36">
                  <c:v>10852.849621039928</c:v>
                </c:pt>
                <c:pt idx="37">
                  <c:v>10909.416725470273</c:v>
                </c:pt>
                <c:pt idx="38">
                  <c:v>10279.539033793775</c:v>
                </c:pt>
                <c:pt idx="39">
                  <c:v>10250.129800611692</c:v>
                </c:pt>
                <c:pt idx="40">
                  <c:v>10293.558586021934</c:v>
                </c:pt>
                <c:pt idx="41">
                  <c:v>10313.054987856787</c:v>
                </c:pt>
                <c:pt idx="42">
                  <c:v>10573.528320883826</c:v>
                </c:pt>
                <c:pt idx="43">
                  <c:v>10429.487958546568</c:v>
                </c:pt>
                <c:pt idx="44">
                  <c:v>10422.126191069607</c:v>
                </c:pt>
                <c:pt idx="45">
                  <c:v>10393.805988265567</c:v>
                </c:pt>
                <c:pt idx="46">
                  <c:v>10120.649926282051</c:v>
                </c:pt>
                <c:pt idx="47">
                  <c:v>10297.884688973576</c:v>
                </c:pt>
                <c:pt idx="48">
                  <c:v>10074.589429699698</c:v>
                </c:pt>
                <c:pt idx="49">
                  <c:v>10117.856847418479</c:v>
                </c:pt>
                <c:pt idx="50">
                  <c:v>10305.028057684074</c:v>
                </c:pt>
                <c:pt idx="51">
                  <c:v>10929.822570542321</c:v>
                </c:pt>
                <c:pt idx="52">
                  <c:v>10660.000679613497</c:v>
                </c:pt>
                <c:pt idx="53">
                  <c:v>11396.060557756999</c:v>
                </c:pt>
                <c:pt idx="54">
                  <c:v>10958.670448407634</c:v>
                </c:pt>
                <c:pt idx="55">
                  <c:v>10982.781136288166</c:v>
                </c:pt>
                <c:pt idx="56">
                  <c:v>11012.913998339107</c:v>
                </c:pt>
                <c:pt idx="57">
                  <c:v>10710.966415732102</c:v>
                </c:pt>
                <c:pt idx="58">
                  <c:v>10863.263022991294</c:v>
                </c:pt>
                <c:pt idx="59">
                  <c:v>10406.058555481419</c:v>
                </c:pt>
                <c:pt idx="60">
                  <c:v>10284.823703629167</c:v>
                </c:pt>
                <c:pt idx="61">
                  <c:v>9997.5831617249696</c:v>
                </c:pt>
                <c:pt idx="62">
                  <c:v>10239.859775315683</c:v>
                </c:pt>
                <c:pt idx="63">
                  <c:v>10275.2389676248</c:v>
                </c:pt>
                <c:pt idx="64">
                  <c:v>9973.2472174378272</c:v>
                </c:pt>
                <c:pt idx="65">
                  <c:v>10457.091068068581</c:v>
                </c:pt>
                <c:pt idx="66">
                  <c:v>10112.536308924213</c:v>
                </c:pt>
                <c:pt idx="67">
                  <c:v>10212.947480177922</c:v>
                </c:pt>
                <c:pt idx="68">
                  <c:v>10248.023853352697</c:v>
                </c:pt>
                <c:pt idx="69">
                  <c:v>10431.335913766568</c:v>
                </c:pt>
                <c:pt idx="70">
                  <c:v>10688.031189076379</c:v>
                </c:pt>
                <c:pt idx="71">
                  <c:v>11062.260393423658</c:v>
                </c:pt>
                <c:pt idx="72">
                  <c:v>11168.796462239919</c:v>
                </c:pt>
                <c:pt idx="73">
                  <c:v>11178.988359340596</c:v>
                </c:pt>
                <c:pt idx="74">
                  <c:v>11292.120859068782</c:v>
                </c:pt>
                <c:pt idx="75">
                  <c:v>10905.986646077723</c:v>
                </c:pt>
                <c:pt idx="76">
                  <c:v>10721.256943219229</c:v>
                </c:pt>
                <c:pt idx="77">
                  <c:v>10125.276570778922</c:v>
                </c:pt>
                <c:pt idx="78">
                  <c:v>9920.3914613735888</c:v>
                </c:pt>
                <c:pt idx="79">
                  <c:v>9998.8878585564489</c:v>
                </c:pt>
                <c:pt idx="80">
                  <c:v>9770.2180714769929</c:v>
                </c:pt>
                <c:pt idx="81">
                  <c:v>9974.3946919444661</c:v>
                </c:pt>
                <c:pt idx="82">
                  <c:v>9919.859971712558</c:v>
                </c:pt>
                <c:pt idx="83">
                  <c:v>9848.6407823813861</c:v>
                </c:pt>
                <c:pt idx="84">
                  <c:v>10364.389017964982</c:v>
                </c:pt>
                <c:pt idx="85">
                  <c:v>10239.030792794685</c:v>
                </c:pt>
                <c:pt idx="86">
                  <c:v>10238.669419012338</c:v>
                </c:pt>
                <c:pt idx="87">
                  <c:v>10242.682355507772</c:v>
                </c:pt>
                <c:pt idx="88">
                  <c:v>10265.756790805599</c:v>
                </c:pt>
                <c:pt idx="89">
                  <c:v>9987.9997009271046</c:v>
                </c:pt>
                <c:pt idx="90">
                  <c:v>10109.960082115667</c:v>
                </c:pt>
                <c:pt idx="91">
                  <c:v>10497.805915133631</c:v>
                </c:pt>
                <c:pt idx="92">
                  <c:v>10231.62016240692</c:v>
                </c:pt>
                <c:pt idx="93">
                  <c:v>10250.156330597538</c:v>
                </c:pt>
                <c:pt idx="94">
                  <c:v>10184.262098197672</c:v>
                </c:pt>
                <c:pt idx="95">
                  <c:v>9689.0356572451328</c:v>
                </c:pt>
                <c:pt idx="96">
                  <c:v>9735.2206650868284</c:v>
                </c:pt>
                <c:pt idx="97">
                  <c:v>9816.5293675667854</c:v>
                </c:pt>
                <c:pt idx="98">
                  <c:v>9648.8135520424585</c:v>
                </c:pt>
                <c:pt idx="99">
                  <c:v>9701.9116457712917</c:v>
                </c:pt>
                <c:pt idx="100">
                  <c:v>10003.817490428462</c:v>
                </c:pt>
                <c:pt idx="101">
                  <c:v>9932.5325784807192</c:v>
                </c:pt>
                <c:pt idx="102">
                  <c:v>10225.511570316012</c:v>
                </c:pt>
                <c:pt idx="103">
                  <c:v>10188.169440333626</c:v>
                </c:pt>
                <c:pt idx="104">
                  <c:v>10153.466585331684</c:v>
                </c:pt>
                <c:pt idx="105">
                  <c:v>10240.919137838406</c:v>
                </c:pt>
                <c:pt idx="106">
                  <c:v>10526.384904521958</c:v>
                </c:pt>
                <c:pt idx="107">
                  <c:v>10746.11931144341</c:v>
                </c:pt>
                <c:pt idx="108">
                  <c:v>10292.537107076771</c:v>
                </c:pt>
                <c:pt idx="109">
                  <c:v>9970.8485375138443</c:v>
                </c:pt>
                <c:pt idx="110">
                  <c:v>10216.868808895428</c:v>
                </c:pt>
                <c:pt idx="111">
                  <c:v>10478.061544788565</c:v>
                </c:pt>
                <c:pt idx="112">
                  <c:v>10786.02553388981</c:v>
                </c:pt>
                <c:pt idx="113">
                  <c:v>11013.33434531985</c:v>
                </c:pt>
                <c:pt idx="114">
                  <c:v>10983.889192905863</c:v>
                </c:pt>
                <c:pt idx="115">
                  <c:v>11090.122316786168</c:v>
                </c:pt>
                <c:pt idx="116">
                  <c:v>10599.996469466401</c:v>
                </c:pt>
                <c:pt idx="117">
                  <c:v>10906.332049295945</c:v>
                </c:pt>
                <c:pt idx="118">
                  <c:v>10937.436170798674</c:v>
                </c:pt>
                <c:pt idx="119">
                  <c:v>10968.540292301403</c:v>
                </c:pt>
                <c:pt idx="120">
                  <c:v>10999.644413804132</c:v>
                </c:pt>
                <c:pt idx="121">
                  <c:v>11030.748535306861</c:v>
                </c:pt>
                <c:pt idx="122">
                  <c:v>11061.852656809591</c:v>
                </c:pt>
                <c:pt idx="123">
                  <c:v>11092.95677831232</c:v>
                </c:pt>
                <c:pt idx="124">
                  <c:v>11124.060899815049</c:v>
                </c:pt>
              </c:numCache>
            </c:numRef>
          </c:val>
          <c:smooth val="0"/>
          <c:extLst>
            <c:ext xmlns:c16="http://schemas.microsoft.com/office/drawing/2014/chart" uri="{C3380CC4-5D6E-409C-BE32-E72D297353CC}">
              <c16:uniqueId val="{00000001-43CF-47BE-843F-F5CF1A8CAA26}"/>
            </c:ext>
          </c:extLst>
        </c:ser>
        <c:dLbls>
          <c:showLegendKey val="0"/>
          <c:showVal val="0"/>
          <c:showCatName val="0"/>
          <c:showSerName val="0"/>
          <c:showPercent val="0"/>
          <c:showBubbleSize val="0"/>
        </c:dLbls>
        <c:smooth val="0"/>
        <c:axId val="86898655"/>
        <c:axId val="86897215"/>
      </c:lineChart>
      <c:catAx>
        <c:axId val="86898655"/>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86897215"/>
        <c:crosses val="autoZero"/>
        <c:auto val="1"/>
        <c:lblAlgn val="ctr"/>
        <c:lblOffset val="100"/>
        <c:noMultiLvlLbl val="0"/>
      </c:catAx>
      <c:valAx>
        <c:axId val="86897215"/>
        <c:scaling>
          <c:orientation val="minMax"/>
        </c:scaling>
        <c:delete val="0"/>
        <c:axPos val="l"/>
        <c:numFmt formatCode="0.00" sourceLinked="0"/>
        <c:majorTickMark val="out"/>
        <c:minorTickMark val="none"/>
        <c:tickLblPos val="nextTo"/>
        <c:txPr>
          <a:bodyPr/>
          <a:lstStyle/>
          <a:p>
            <a:pPr>
              <a:defRPr sz="800" b="0"/>
            </a:pPr>
            <a:endParaRPr lang="en-US"/>
          </a:p>
        </c:txPr>
        <c:crossAx val="86898655"/>
        <c:crosses val="autoZero"/>
        <c:crossBetween val="between"/>
      </c:valAx>
    </c:plotArea>
    <c:legend>
      <c:legendPos val="r"/>
      <c:overlay val="0"/>
      <c:spPr>
        <a:ln>
          <a:solidFill>
            <a:srgbClr val="000000"/>
          </a:solidFill>
          <a:prstDash val="solid"/>
        </a:ln>
      </c:sp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Time Series of East / East</a:t>
            </a:r>
          </a:p>
        </c:rich>
      </c:tx>
      <c:layout/>
      <c:overlay val="0"/>
    </c:title>
    <c:autoTitleDeleted val="0"/>
    <c:plotArea>
      <c:layout/>
      <c:lineChart>
        <c:grouping val="standard"/>
        <c:varyColors val="0"/>
        <c:ser>
          <c:idx val="0"/>
          <c:order val="0"/>
          <c:spPr>
            <a:ln>
              <a:solidFill>
                <a:srgbClr val="333399"/>
              </a:solidFill>
              <a:prstDash val="solid"/>
            </a:ln>
          </c:spPr>
          <c:marker>
            <c:symbol val="diamond"/>
            <c:size val="3"/>
          </c:marker>
          <c:cat>
            <c:numRef>
              <c:f>'Problem 4 a(1)'!$A$2:$A$118</c:f>
              <c:numCache>
                <c:formatCode>mmm\-yy</c:formatCode>
                <c:ptCount val="117"/>
                <c:pt idx="0">
                  <c:v>41487</c:v>
                </c:pt>
                <c:pt idx="1">
                  <c:v>41518</c:v>
                </c:pt>
                <c:pt idx="2">
                  <c:v>41548</c:v>
                </c:pt>
                <c:pt idx="3">
                  <c:v>41579</c:v>
                </c:pt>
                <c:pt idx="4">
                  <c:v>41609</c:v>
                </c:pt>
                <c:pt idx="5">
                  <c:v>41640</c:v>
                </c:pt>
                <c:pt idx="6">
                  <c:v>41671</c:v>
                </c:pt>
                <c:pt idx="7">
                  <c:v>41699</c:v>
                </c:pt>
                <c:pt idx="8">
                  <c:v>41730</c:v>
                </c:pt>
                <c:pt idx="9">
                  <c:v>41760</c:v>
                </c:pt>
                <c:pt idx="10">
                  <c:v>41791</c:v>
                </c:pt>
                <c:pt idx="11">
                  <c:v>41821</c:v>
                </c:pt>
                <c:pt idx="12">
                  <c:v>41852</c:v>
                </c:pt>
                <c:pt idx="13">
                  <c:v>41883</c:v>
                </c:pt>
                <c:pt idx="14">
                  <c:v>41913</c:v>
                </c:pt>
                <c:pt idx="15">
                  <c:v>41944</c:v>
                </c:pt>
                <c:pt idx="16">
                  <c:v>41974</c:v>
                </c:pt>
                <c:pt idx="17">
                  <c:v>42005</c:v>
                </c:pt>
                <c:pt idx="18">
                  <c:v>42036</c:v>
                </c:pt>
                <c:pt idx="19">
                  <c:v>42064</c:v>
                </c:pt>
                <c:pt idx="20">
                  <c:v>42095</c:v>
                </c:pt>
                <c:pt idx="21">
                  <c:v>42125</c:v>
                </c:pt>
                <c:pt idx="22">
                  <c:v>42156</c:v>
                </c:pt>
                <c:pt idx="23">
                  <c:v>42186</c:v>
                </c:pt>
                <c:pt idx="24">
                  <c:v>42217</c:v>
                </c:pt>
                <c:pt idx="25">
                  <c:v>42248</c:v>
                </c:pt>
                <c:pt idx="26">
                  <c:v>42278</c:v>
                </c:pt>
                <c:pt idx="27">
                  <c:v>42309</c:v>
                </c:pt>
                <c:pt idx="28">
                  <c:v>42339</c:v>
                </c:pt>
                <c:pt idx="29">
                  <c:v>42370</c:v>
                </c:pt>
                <c:pt idx="30">
                  <c:v>42401</c:v>
                </c:pt>
                <c:pt idx="31">
                  <c:v>42430</c:v>
                </c:pt>
                <c:pt idx="32">
                  <c:v>42461</c:v>
                </c:pt>
                <c:pt idx="33">
                  <c:v>42491</c:v>
                </c:pt>
                <c:pt idx="34">
                  <c:v>42522</c:v>
                </c:pt>
                <c:pt idx="35">
                  <c:v>42552</c:v>
                </c:pt>
                <c:pt idx="36">
                  <c:v>42583</c:v>
                </c:pt>
                <c:pt idx="37">
                  <c:v>42614</c:v>
                </c:pt>
                <c:pt idx="38">
                  <c:v>42644</c:v>
                </c:pt>
                <c:pt idx="39">
                  <c:v>42675</c:v>
                </c:pt>
                <c:pt idx="40">
                  <c:v>42705</c:v>
                </c:pt>
                <c:pt idx="41">
                  <c:v>42736</c:v>
                </c:pt>
                <c:pt idx="42">
                  <c:v>42767</c:v>
                </c:pt>
                <c:pt idx="43">
                  <c:v>42795</c:v>
                </c:pt>
                <c:pt idx="44">
                  <c:v>42826</c:v>
                </c:pt>
                <c:pt idx="45">
                  <c:v>42856</c:v>
                </c:pt>
                <c:pt idx="46">
                  <c:v>42887</c:v>
                </c:pt>
                <c:pt idx="47">
                  <c:v>42917</c:v>
                </c:pt>
                <c:pt idx="48">
                  <c:v>42948</c:v>
                </c:pt>
                <c:pt idx="49">
                  <c:v>42979</c:v>
                </c:pt>
                <c:pt idx="50">
                  <c:v>43009</c:v>
                </c:pt>
                <c:pt idx="51">
                  <c:v>43040</c:v>
                </c:pt>
                <c:pt idx="52">
                  <c:v>43070</c:v>
                </c:pt>
                <c:pt idx="53">
                  <c:v>43101</c:v>
                </c:pt>
                <c:pt idx="54">
                  <c:v>43132</c:v>
                </c:pt>
                <c:pt idx="55">
                  <c:v>43160</c:v>
                </c:pt>
                <c:pt idx="56">
                  <c:v>43191</c:v>
                </c:pt>
                <c:pt idx="57">
                  <c:v>43221</c:v>
                </c:pt>
                <c:pt idx="58">
                  <c:v>43252</c:v>
                </c:pt>
                <c:pt idx="59">
                  <c:v>43282</c:v>
                </c:pt>
                <c:pt idx="60">
                  <c:v>43313</c:v>
                </c:pt>
                <c:pt idx="61">
                  <c:v>43344</c:v>
                </c:pt>
                <c:pt idx="62">
                  <c:v>43374</c:v>
                </c:pt>
                <c:pt idx="63">
                  <c:v>43405</c:v>
                </c:pt>
                <c:pt idx="64">
                  <c:v>43435</c:v>
                </c:pt>
                <c:pt idx="65">
                  <c:v>43466</c:v>
                </c:pt>
                <c:pt idx="66">
                  <c:v>43497</c:v>
                </c:pt>
                <c:pt idx="67">
                  <c:v>43525</c:v>
                </c:pt>
                <c:pt idx="68">
                  <c:v>43556</c:v>
                </c:pt>
                <c:pt idx="69">
                  <c:v>43586</c:v>
                </c:pt>
                <c:pt idx="70">
                  <c:v>43617</c:v>
                </c:pt>
                <c:pt idx="71">
                  <c:v>43647</c:v>
                </c:pt>
                <c:pt idx="72">
                  <c:v>43678</c:v>
                </c:pt>
                <c:pt idx="73">
                  <c:v>43709</c:v>
                </c:pt>
                <c:pt idx="74">
                  <c:v>43739</c:v>
                </c:pt>
                <c:pt idx="75">
                  <c:v>43770</c:v>
                </c:pt>
                <c:pt idx="76">
                  <c:v>43800</c:v>
                </c:pt>
                <c:pt idx="77">
                  <c:v>43831</c:v>
                </c:pt>
                <c:pt idx="78">
                  <c:v>43862</c:v>
                </c:pt>
                <c:pt idx="79">
                  <c:v>43891</c:v>
                </c:pt>
                <c:pt idx="80">
                  <c:v>43922</c:v>
                </c:pt>
                <c:pt idx="81">
                  <c:v>43952</c:v>
                </c:pt>
                <c:pt idx="82">
                  <c:v>43983</c:v>
                </c:pt>
                <c:pt idx="83">
                  <c:v>44013</c:v>
                </c:pt>
                <c:pt idx="84">
                  <c:v>44044</c:v>
                </c:pt>
                <c:pt idx="85">
                  <c:v>44075</c:v>
                </c:pt>
                <c:pt idx="86">
                  <c:v>44105</c:v>
                </c:pt>
                <c:pt idx="87">
                  <c:v>44136</c:v>
                </c:pt>
                <c:pt idx="88">
                  <c:v>44166</c:v>
                </c:pt>
                <c:pt idx="89">
                  <c:v>44197</c:v>
                </c:pt>
                <c:pt idx="90">
                  <c:v>44228</c:v>
                </c:pt>
                <c:pt idx="91">
                  <c:v>44256</c:v>
                </c:pt>
                <c:pt idx="92">
                  <c:v>44287</c:v>
                </c:pt>
                <c:pt idx="93">
                  <c:v>44317</c:v>
                </c:pt>
                <c:pt idx="94">
                  <c:v>44348</c:v>
                </c:pt>
                <c:pt idx="95">
                  <c:v>44378</c:v>
                </c:pt>
                <c:pt idx="96">
                  <c:v>44409</c:v>
                </c:pt>
                <c:pt idx="97">
                  <c:v>44440</c:v>
                </c:pt>
                <c:pt idx="98">
                  <c:v>44470</c:v>
                </c:pt>
                <c:pt idx="99">
                  <c:v>44501</c:v>
                </c:pt>
                <c:pt idx="100">
                  <c:v>44531</c:v>
                </c:pt>
                <c:pt idx="101">
                  <c:v>44562</c:v>
                </c:pt>
                <c:pt idx="102">
                  <c:v>44593</c:v>
                </c:pt>
                <c:pt idx="103">
                  <c:v>44621</c:v>
                </c:pt>
                <c:pt idx="104">
                  <c:v>44652</c:v>
                </c:pt>
                <c:pt idx="105">
                  <c:v>44682</c:v>
                </c:pt>
                <c:pt idx="106">
                  <c:v>44713</c:v>
                </c:pt>
                <c:pt idx="107">
                  <c:v>44743</c:v>
                </c:pt>
                <c:pt idx="108">
                  <c:v>44774</c:v>
                </c:pt>
                <c:pt idx="109">
                  <c:v>44805</c:v>
                </c:pt>
                <c:pt idx="110">
                  <c:v>44835</c:v>
                </c:pt>
                <c:pt idx="111">
                  <c:v>44866</c:v>
                </c:pt>
                <c:pt idx="112">
                  <c:v>44896</c:v>
                </c:pt>
                <c:pt idx="113">
                  <c:v>44927</c:v>
                </c:pt>
                <c:pt idx="114">
                  <c:v>44958</c:v>
                </c:pt>
                <c:pt idx="115">
                  <c:v>44986</c:v>
                </c:pt>
                <c:pt idx="116">
                  <c:v>45017</c:v>
                </c:pt>
              </c:numCache>
            </c:numRef>
          </c:cat>
          <c:val>
            <c:numRef>
              <c:f>'Problem 4 a(1)'!$B$2:$B$118</c:f>
              <c:numCache>
                <c:formatCode>General</c:formatCode>
                <c:ptCount val="117"/>
                <c:pt idx="0">
                  <c:v>7419</c:v>
                </c:pt>
                <c:pt idx="1">
                  <c:v>8824</c:v>
                </c:pt>
                <c:pt idx="2">
                  <c:v>11583</c:v>
                </c:pt>
                <c:pt idx="3">
                  <c:v>7958</c:v>
                </c:pt>
                <c:pt idx="4">
                  <c:v>11933</c:v>
                </c:pt>
                <c:pt idx="5">
                  <c:v>11227</c:v>
                </c:pt>
                <c:pt idx="6">
                  <c:v>11258</c:v>
                </c:pt>
                <c:pt idx="7">
                  <c:v>15904</c:v>
                </c:pt>
                <c:pt idx="8">
                  <c:v>14470</c:v>
                </c:pt>
                <c:pt idx="9">
                  <c:v>10916</c:v>
                </c:pt>
                <c:pt idx="10">
                  <c:v>10391</c:v>
                </c:pt>
                <c:pt idx="11">
                  <c:v>8481</c:v>
                </c:pt>
                <c:pt idx="12">
                  <c:v>10120</c:v>
                </c:pt>
                <c:pt idx="13">
                  <c:v>8910</c:v>
                </c:pt>
                <c:pt idx="14">
                  <c:v>9375</c:v>
                </c:pt>
                <c:pt idx="15">
                  <c:v>12366</c:v>
                </c:pt>
                <c:pt idx="16">
                  <c:v>10808</c:v>
                </c:pt>
                <c:pt idx="17">
                  <c:v>11982</c:v>
                </c:pt>
                <c:pt idx="18">
                  <c:v>13330</c:v>
                </c:pt>
                <c:pt idx="19">
                  <c:v>12233</c:v>
                </c:pt>
                <c:pt idx="20">
                  <c:v>12302</c:v>
                </c:pt>
                <c:pt idx="21">
                  <c:v>7227</c:v>
                </c:pt>
                <c:pt idx="22">
                  <c:v>12660</c:v>
                </c:pt>
                <c:pt idx="23">
                  <c:v>9800</c:v>
                </c:pt>
                <c:pt idx="24">
                  <c:v>12004</c:v>
                </c:pt>
                <c:pt idx="25">
                  <c:v>10006</c:v>
                </c:pt>
                <c:pt idx="26">
                  <c:v>8394</c:v>
                </c:pt>
                <c:pt idx="27">
                  <c:v>9953</c:v>
                </c:pt>
                <c:pt idx="28">
                  <c:v>10461</c:v>
                </c:pt>
                <c:pt idx="29">
                  <c:v>10893</c:v>
                </c:pt>
                <c:pt idx="30">
                  <c:v>9212</c:v>
                </c:pt>
                <c:pt idx="31">
                  <c:v>13209</c:v>
                </c:pt>
                <c:pt idx="32">
                  <c:v>10294</c:v>
                </c:pt>
                <c:pt idx="33">
                  <c:v>11540</c:v>
                </c:pt>
                <c:pt idx="34">
                  <c:v>10219</c:v>
                </c:pt>
                <c:pt idx="35">
                  <c:v>10230</c:v>
                </c:pt>
                <c:pt idx="36">
                  <c:v>9985</c:v>
                </c:pt>
                <c:pt idx="37">
                  <c:v>6832</c:v>
                </c:pt>
                <c:pt idx="38">
                  <c:v>9050</c:v>
                </c:pt>
                <c:pt idx="39">
                  <c:v>10082</c:v>
                </c:pt>
                <c:pt idx="40">
                  <c:v>10659</c:v>
                </c:pt>
                <c:pt idx="41">
                  <c:v>11458</c:v>
                </c:pt>
                <c:pt idx="42">
                  <c:v>10867</c:v>
                </c:pt>
                <c:pt idx="43">
                  <c:v>12409</c:v>
                </c:pt>
                <c:pt idx="44">
                  <c:v>11869</c:v>
                </c:pt>
                <c:pt idx="45">
                  <c:v>8729</c:v>
                </c:pt>
                <c:pt idx="46">
                  <c:v>10665</c:v>
                </c:pt>
                <c:pt idx="47">
                  <c:v>8003</c:v>
                </c:pt>
                <c:pt idx="48">
                  <c:v>9224</c:v>
                </c:pt>
                <c:pt idx="49">
                  <c:v>9140</c:v>
                </c:pt>
                <c:pt idx="50">
                  <c:v>11616</c:v>
                </c:pt>
                <c:pt idx="51">
                  <c:v>9428</c:v>
                </c:pt>
                <c:pt idx="52">
                  <c:v>14249</c:v>
                </c:pt>
                <c:pt idx="53">
                  <c:v>9511</c:v>
                </c:pt>
                <c:pt idx="54">
                  <c:v>12094</c:v>
                </c:pt>
                <c:pt idx="55">
                  <c:v>13273</c:v>
                </c:pt>
                <c:pt idx="56">
                  <c:v>11184</c:v>
                </c:pt>
                <c:pt idx="57">
                  <c:v>10793</c:v>
                </c:pt>
                <c:pt idx="58">
                  <c:v>8693</c:v>
                </c:pt>
                <c:pt idx="59">
                  <c:v>8479</c:v>
                </c:pt>
                <c:pt idx="60">
                  <c:v>8120</c:v>
                </c:pt>
                <c:pt idx="61">
                  <c:v>9239</c:v>
                </c:pt>
                <c:pt idx="62">
                  <c:v>9266</c:v>
                </c:pt>
                <c:pt idx="63">
                  <c:v>8652</c:v>
                </c:pt>
                <c:pt idx="64">
                  <c:v>12405</c:v>
                </c:pt>
                <c:pt idx="65">
                  <c:v>8964</c:v>
                </c:pt>
                <c:pt idx="66">
                  <c:v>11521</c:v>
                </c:pt>
                <c:pt idx="67">
                  <c:v>12368</c:v>
                </c:pt>
                <c:pt idx="68">
                  <c:v>12729</c:v>
                </c:pt>
                <c:pt idx="69">
                  <c:v>10956</c:v>
                </c:pt>
                <c:pt idx="70">
                  <c:v>12069</c:v>
                </c:pt>
                <c:pt idx="71">
                  <c:v>9902</c:v>
                </c:pt>
                <c:pt idx="72">
                  <c:v>10091</c:v>
                </c:pt>
                <c:pt idx="73">
                  <c:v>9769</c:v>
                </c:pt>
                <c:pt idx="74">
                  <c:v>8578</c:v>
                </c:pt>
                <c:pt idx="75">
                  <c:v>9763</c:v>
                </c:pt>
                <c:pt idx="76">
                  <c:v>8348</c:v>
                </c:pt>
                <c:pt idx="77">
                  <c:v>9237</c:v>
                </c:pt>
                <c:pt idx="78">
                  <c:v>11204</c:v>
                </c:pt>
                <c:pt idx="79">
                  <c:v>10737</c:v>
                </c:pt>
                <c:pt idx="80">
                  <c:v>12276</c:v>
                </c:pt>
                <c:pt idx="81">
                  <c:v>9230</c:v>
                </c:pt>
                <c:pt idx="82">
                  <c:v>9405</c:v>
                </c:pt>
                <c:pt idx="83">
                  <c:v>10378</c:v>
                </c:pt>
                <c:pt idx="84">
                  <c:v>8827</c:v>
                </c:pt>
                <c:pt idx="85">
                  <c:v>8559</c:v>
                </c:pt>
                <c:pt idx="86">
                  <c:v>9143</c:v>
                </c:pt>
                <c:pt idx="87">
                  <c:v>9989</c:v>
                </c:pt>
                <c:pt idx="88">
                  <c:v>9299</c:v>
                </c:pt>
                <c:pt idx="89">
                  <c:v>10524</c:v>
                </c:pt>
                <c:pt idx="90">
                  <c:v>12887</c:v>
                </c:pt>
                <c:pt idx="91">
                  <c:v>11145</c:v>
                </c:pt>
                <c:pt idx="92">
                  <c:v>11882</c:v>
                </c:pt>
                <c:pt idx="93">
                  <c:v>9448</c:v>
                </c:pt>
                <c:pt idx="94">
                  <c:v>7857</c:v>
                </c:pt>
                <c:pt idx="95">
                  <c:v>8482</c:v>
                </c:pt>
                <c:pt idx="96">
                  <c:v>9064</c:v>
                </c:pt>
                <c:pt idx="97">
                  <c:v>7591</c:v>
                </c:pt>
                <c:pt idx="98">
                  <c:v>8801</c:v>
                </c:pt>
                <c:pt idx="99">
                  <c:v>10634</c:v>
                </c:pt>
                <c:pt idx="100">
                  <c:v>9951</c:v>
                </c:pt>
                <c:pt idx="101">
                  <c:v>11214</c:v>
                </c:pt>
                <c:pt idx="102">
                  <c:v>10990</c:v>
                </c:pt>
                <c:pt idx="103">
                  <c:v>11975</c:v>
                </c:pt>
                <c:pt idx="104">
                  <c:v>12137</c:v>
                </c:pt>
                <c:pt idx="105">
                  <c:v>10892</c:v>
                </c:pt>
                <c:pt idx="106">
                  <c:v>11249</c:v>
                </c:pt>
                <c:pt idx="107">
                  <c:v>7531</c:v>
                </c:pt>
                <c:pt idx="108">
                  <c:v>7992</c:v>
                </c:pt>
                <c:pt idx="109">
                  <c:v>9230</c:v>
                </c:pt>
                <c:pt idx="110">
                  <c:v>10123</c:v>
                </c:pt>
                <c:pt idx="111">
                  <c:v>11419</c:v>
                </c:pt>
                <c:pt idx="112">
                  <c:v>12102</c:v>
                </c:pt>
                <c:pt idx="113">
                  <c:v>10903</c:v>
                </c:pt>
                <c:pt idx="114">
                  <c:v>12513</c:v>
                </c:pt>
                <c:pt idx="115">
                  <c:v>10696</c:v>
                </c:pt>
                <c:pt idx="116">
                  <c:v>13758</c:v>
                </c:pt>
              </c:numCache>
            </c:numRef>
          </c:val>
          <c:smooth val="0"/>
          <c:extLst>
            <c:ext xmlns:c16="http://schemas.microsoft.com/office/drawing/2014/chart" uri="{C3380CC4-5D6E-409C-BE32-E72D297353CC}">
              <c16:uniqueId val="{00000000-99FC-49BB-B379-E64F40ABB756}"/>
            </c:ext>
          </c:extLst>
        </c:ser>
        <c:dLbls>
          <c:showLegendKey val="0"/>
          <c:showVal val="0"/>
          <c:showCatName val="0"/>
          <c:showSerName val="0"/>
          <c:showPercent val="0"/>
          <c:showBubbleSize val="0"/>
        </c:dLbls>
        <c:marker val="1"/>
        <c:smooth val="0"/>
        <c:axId val="390589775"/>
        <c:axId val="390585455"/>
      </c:lineChart>
      <c:dateAx>
        <c:axId val="390589775"/>
        <c:scaling>
          <c:orientation val="minMax"/>
        </c:scaling>
        <c:delete val="0"/>
        <c:axPos val="b"/>
        <c:numFmt formatCode="mmm\-yy" sourceLinked="1"/>
        <c:majorTickMark val="none"/>
        <c:minorTickMark val="none"/>
        <c:tickLblPos val="low"/>
        <c:txPr>
          <a:bodyPr rot="-5400000" vert="horz"/>
          <a:lstStyle/>
          <a:p>
            <a:pPr>
              <a:defRPr sz="800"/>
            </a:pPr>
            <a:endParaRPr lang="en-US"/>
          </a:p>
        </c:txPr>
        <c:crossAx val="390585455"/>
        <c:crosses val="autoZero"/>
        <c:auto val="1"/>
        <c:lblOffset val="100"/>
        <c:baseTimeUnit val="months"/>
      </c:dateAx>
      <c:valAx>
        <c:axId val="390585455"/>
        <c:scaling>
          <c:orientation val="minMax"/>
        </c:scaling>
        <c:delete val="0"/>
        <c:axPos val="l"/>
        <c:numFmt formatCode="General" sourceLinked="0"/>
        <c:majorTickMark val="out"/>
        <c:minorTickMark val="none"/>
        <c:tickLblPos val="nextTo"/>
        <c:txPr>
          <a:bodyPr/>
          <a:lstStyle/>
          <a:p>
            <a:pPr>
              <a:defRPr sz="800" b="0"/>
            </a:pPr>
            <a:endParaRPr lang="en-US"/>
          </a:p>
        </c:txPr>
        <c:crossAx val="390589775"/>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Deseasonalized Observations</a:t>
            </a:r>
          </a:p>
        </c:rich>
      </c:tx>
      <c:overlay val="0"/>
    </c:title>
    <c:autoTitleDeleted val="0"/>
    <c:plotArea>
      <c:layout/>
      <c:lineChart>
        <c:grouping val="standard"/>
        <c:varyColors val="0"/>
        <c:ser>
          <c:idx val="0"/>
          <c:order val="0"/>
          <c:tx>
            <c:v>East</c:v>
          </c:tx>
          <c:spPr>
            <a:ln>
              <a:solidFill>
                <a:srgbClr val="333399"/>
              </a:solidFill>
              <a:prstDash val="solid"/>
            </a:ln>
          </c:spPr>
          <c:marker>
            <c:symbol val="none"/>
          </c:marker>
          <c:cat>
            <c:strRef>
              <c:f>'Holt''s Expo. Ds (East)'!$A$147:$A$271</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'Holt''s Expo. Ds (East)'!$D$147:$D$271</c:f>
              <c:numCache>
                <c:formatCode>0.00</c:formatCode>
                <c:ptCount val="125"/>
                <c:pt idx="0">
                  <c:v>8145.242261508587</c:v>
                </c:pt>
                <c:pt idx="1">
                  <c:v>10416.446453608565</c:v>
                </c:pt>
                <c:pt idx="2">
                  <c:v>12823.374877466002</c:v>
                </c:pt>
                <c:pt idx="3">
                  <c:v>8132.5736898867053</c:v>
                </c:pt>
                <c:pt idx="4">
                  <c:v>11467.956753951106</c:v>
                </c:pt>
                <c:pt idx="5">
                  <c:v>11072.302866226855</c:v>
                </c:pt>
                <c:pt idx="6">
                  <c:v>10173.135204727409</c:v>
                </c:pt>
                <c:pt idx="7">
                  <c:v>13154.801260364744</c:v>
                </c:pt>
                <c:pt idx="8">
                  <c:v>12394.288572970971</c:v>
                </c:pt>
                <c:pt idx="9">
                  <c:v>11360.513533881589</c:v>
                </c:pt>
                <c:pt idx="10">
                  <c:v>10473.33579782507</c:v>
                </c:pt>
                <c:pt idx="11">
                  <c:v>9752.7846194837675</c:v>
                </c:pt>
                <c:pt idx="12">
                  <c:v>11110.641823219692</c:v>
                </c:pt>
                <c:pt idx="13">
                  <c:v>10517.966670631495</c:v>
                </c:pt>
                <c:pt idx="14">
                  <c:v>10378.929420378467</c:v>
                </c:pt>
                <c:pt idx="15">
                  <c:v>12637.271456287886</c:v>
                </c:pt>
                <c:pt idx="16">
                  <c:v>10386.799346074211</c:v>
                </c:pt>
                <c:pt idx="17">
                  <c:v>11816.899701000282</c:v>
                </c:pt>
                <c:pt idx="18">
                  <c:v>12045.469202257626</c:v>
                </c:pt>
                <c:pt idx="19">
                  <c:v>10118.378006667626</c:v>
                </c:pt>
                <c:pt idx="20">
                  <c:v>10537.286663765644</c:v>
                </c:pt>
                <c:pt idx="21">
                  <c:v>7521.2927179701583</c:v>
                </c:pt>
                <c:pt idx="22">
                  <c:v>12760.314810938829</c:v>
                </c:pt>
                <c:pt idx="23">
                  <c:v>11269.577794003175</c:v>
                </c:pt>
                <c:pt idx="24">
                  <c:v>13179.065656712371</c:v>
                </c:pt>
                <c:pt idx="25">
                  <c:v>11811.759203853955</c:v>
                </c:pt>
                <c:pt idx="26">
                  <c:v>9292.878245830063</c:v>
                </c:pt>
                <c:pt idx="27">
                  <c:v>10171.337765197584</c:v>
                </c:pt>
                <c:pt idx="28">
                  <c:v>10053.322350044627</c:v>
                </c:pt>
                <c:pt idx="29">
                  <c:v>10742.905061174768</c:v>
                </c:pt>
                <c:pt idx="30">
                  <c:v>8324.2957457762368</c:v>
                </c:pt>
                <c:pt idx="31">
                  <c:v>10925.664603128642</c:v>
                </c:pt>
                <c:pt idx="32">
                  <c:v>8817.3328659407853</c:v>
                </c:pt>
                <c:pt idx="33">
                  <c:v>12009.923614968262</c:v>
                </c:pt>
                <c:pt idx="34">
                  <c:v>10299.972910978191</c:v>
                </c:pt>
                <c:pt idx="35">
                  <c:v>11764.059268638008</c:v>
                </c:pt>
                <c:pt idx="36">
                  <c:v>10962.426739609549</c:v>
                </c:pt>
                <c:pt idx="37">
                  <c:v>8064.954915123948</c:v>
                </c:pt>
                <c:pt idx="38">
                  <c:v>10019.126533805345</c:v>
                </c:pt>
                <c:pt idx="39">
                  <c:v>10303.167622698889</c:v>
                </c:pt>
                <c:pt idx="40">
                  <c:v>10243.606053830961</c:v>
                </c:pt>
                <c:pt idx="41">
                  <c:v>11300.119911038328</c:v>
                </c:pt>
                <c:pt idx="42">
                  <c:v>9819.8134899425077</c:v>
                </c:pt>
                <c:pt idx="43">
                  <c:v>10263.954278160596</c:v>
                </c:pt>
                <c:pt idx="44">
                  <c:v>10166.400212342256</c:v>
                </c:pt>
                <c:pt idx="45">
                  <c:v>9084.456086226859</c:v>
                </c:pt>
                <c:pt idx="46">
                  <c:v>10749.506908267189</c:v>
                </c:pt>
                <c:pt idx="47">
                  <c:v>9203.1052127966741</c:v>
                </c:pt>
                <c:pt idx="48">
                  <c:v>10126.932823851625</c:v>
                </c:pt>
                <c:pt idx="49">
                  <c:v>10789.474227785844</c:v>
                </c:pt>
                <c:pt idx="50">
                  <c:v>12859.908709025734</c:v>
                </c:pt>
                <c:pt idx="51">
                  <c:v>9634.8209032736686</c:v>
                </c:pt>
                <c:pt idx="52">
                  <c:v>13693.699470967009</c:v>
                </c:pt>
                <c:pt idx="53">
                  <c:v>9379.9476761987717</c:v>
                </c:pt>
                <c:pt idx="54">
                  <c:v>10928.574983653692</c:v>
                </c:pt>
                <c:pt idx="55">
                  <c:v>10978.601429126085</c:v>
                </c:pt>
                <c:pt idx="56">
                  <c:v>9579.6629854946332</c:v>
                </c:pt>
                <c:pt idx="57">
                  <c:v>11232.504815975082</c:v>
                </c:pt>
                <c:pt idx="58">
                  <c:v>8761.8812520925148</c:v>
                </c:pt>
                <c:pt idx="59">
                  <c:v>9750.4847056482558</c:v>
                </c:pt>
                <c:pt idx="60">
                  <c:v>8914.8628067731133</c:v>
                </c:pt>
                <c:pt idx="61">
                  <c:v>10906.340524126193</c:v>
                </c:pt>
                <c:pt idx="62">
                  <c:v>10258.257067650866</c:v>
                </c:pt>
                <c:pt idx="63">
                  <c:v>8841.797884506128</c:v>
                </c:pt>
                <c:pt idx="64">
                  <c:v>11921.562350855902</c:v>
                </c:pt>
                <c:pt idx="65">
                  <c:v>8840.4848038529908</c:v>
                </c:pt>
                <c:pt idx="66">
                  <c:v>10410.791498815461</c:v>
                </c:pt>
                <c:pt idx="67">
                  <c:v>10230.041624005984</c:v>
                </c:pt>
                <c:pt idx="68">
                  <c:v>10903.033811012267</c:v>
                </c:pt>
                <c:pt idx="69">
                  <c:v>11402.142385233299</c:v>
                </c:pt>
                <c:pt idx="70">
                  <c:v>12164.631868342869</c:v>
                </c:pt>
                <c:pt idx="71">
                  <c:v>11386.873399614227</c:v>
                </c:pt>
                <c:pt idx="72">
                  <c:v>11078.803027481217</c:v>
                </c:pt>
                <c:pt idx="73">
                  <c:v>11531.988373220996</c:v>
                </c:pt>
                <c:pt idx="74">
                  <c:v>9496.5820339206912</c:v>
                </c:pt>
                <c:pt idx="75">
                  <c:v>9977.1697580251202</c:v>
                </c:pt>
                <c:pt idx="76">
                  <c:v>8022.6684808500668</c:v>
                </c:pt>
                <c:pt idx="77">
                  <c:v>9109.7231295392758</c:v>
                </c:pt>
                <c:pt idx="78">
                  <c:v>10124.338855370925</c:v>
                </c:pt>
                <c:pt idx="79">
                  <c:v>8880.9796989773804</c:v>
                </c:pt>
                <c:pt idx="80">
                  <c:v>10515.016345666319</c:v>
                </c:pt>
                <c:pt idx="81">
                  <c:v>9605.8574494070235</c:v>
                </c:pt>
                <c:pt idx="82">
                  <c:v>9479.5229697377326</c:v>
                </c:pt>
                <c:pt idx="83">
                  <c:v>11934.252892465811</c:v>
                </c:pt>
                <c:pt idx="84">
                  <c:v>9691.0706890869787</c:v>
                </c:pt>
                <c:pt idx="85">
                  <c:v>10103.622529061164</c:v>
                </c:pt>
                <c:pt idx="86">
                  <c:v>10122.0855136555</c:v>
                </c:pt>
                <c:pt idx="87">
                  <c:v>10208.127492872367</c:v>
                </c:pt>
                <c:pt idx="88">
                  <c:v>8936.6068763086696</c:v>
                </c:pt>
                <c:pt idx="89">
                  <c:v>10378.989522060338</c:v>
                </c:pt>
                <c:pt idx="90">
                  <c:v>11645.158410314631</c:v>
                </c:pt>
                <c:pt idx="91">
                  <c:v>9218.4519647110847</c:v>
                </c:pt>
                <c:pt idx="92">
                  <c:v>10177.535371391919</c:v>
                </c:pt>
                <c:pt idx="93">
                  <c:v>9832.7346892738424</c:v>
                </c:pt>
                <c:pt idx="94">
                  <c:v>7919.2569881158279</c:v>
                </c:pt>
                <c:pt idx="95">
                  <c:v>9753.9345764015234</c:v>
                </c:pt>
                <c:pt idx="96">
                  <c:v>9951.2705025358991</c:v>
                </c:pt>
                <c:pt idx="97">
                  <c:v>8960.9298537332979</c:v>
                </c:pt>
                <c:pt idx="98">
                  <c:v>9743.462168400094</c:v>
                </c:pt>
                <c:pt idx="99">
                  <c:v>10867.276780378892</c:v>
                </c:pt>
                <c:pt idx="100">
                  <c:v>9563.1976584737677</c:v>
                </c:pt>
                <c:pt idx="101">
                  <c:v>11059.481993575127</c:v>
                </c:pt>
                <c:pt idx="102">
                  <c:v>9930.9607301433844</c:v>
                </c:pt>
                <c:pt idx="103">
                  <c:v>9904.9764268654308</c:v>
                </c:pt>
                <c:pt idx="104">
                  <c:v>10395.955798904539</c:v>
                </c:pt>
                <c:pt idx="105">
                  <c:v>11335.536223070563</c:v>
                </c:pt>
                <c:pt idx="106">
                  <c:v>11338.134384537985</c:v>
                </c:pt>
                <c:pt idx="107">
                  <c:v>8660.3255476161121</c:v>
                </c:pt>
                <c:pt idx="108">
                  <c:v>8774.3329497205323</c:v>
                </c:pt>
                <c:pt idx="109">
                  <c:v>10895.716315367979</c:v>
                </c:pt>
                <c:pt idx="110">
                  <c:v>11207.029602399063</c:v>
                </c:pt>
                <c:pt idx="111">
                  <c:v>11669.497231065128</c:v>
                </c:pt>
                <c:pt idx="112">
                  <c:v>11630.370622334392</c:v>
                </c:pt>
                <c:pt idx="113">
                  <c:v>10752.767270906867</c:v>
                </c:pt>
                <c:pt idx="114">
                  <c:v>11307.198509216028</c:v>
                </c:pt>
                <c:pt idx="115">
                  <c:v>8847.0670448227684</c:v>
                </c:pt>
                <c:pt idx="116">
                  <c:v>11784.424477327893</c:v>
                </c:pt>
              </c:numCache>
            </c:numRef>
          </c:val>
          <c:smooth val="0"/>
          <c:extLst>
            <c:ext xmlns:c16="http://schemas.microsoft.com/office/drawing/2014/chart" uri="{C3380CC4-5D6E-409C-BE32-E72D297353CC}">
              <c16:uniqueId val="{00000000-DDA4-4540-A04B-3C5761EA63DE}"/>
            </c:ext>
          </c:extLst>
        </c:ser>
        <c:dLbls>
          <c:showLegendKey val="0"/>
          <c:showVal val="0"/>
          <c:showCatName val="0"/>
          <c:showSerName val="0"/>
          <c:showPercent val="0"/>
          <c:showBubbleSize val="0"/>
        </c:dLbls>
        <c:smooth val="0"/>
        <c:axId val="225821791"/>
        <c:axId val="225822751"/>
      </c:lineChart>
      <c:catAx>
        <c:axId val="225821791"/>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225822751"/>
        <c:crosses val="autoZero"/>
        <c:auto val="1"/>
        <c:lblAlgn val="ctr"/>
        <c:lblOffset val="100"/>
        <c:noMultiLvlLbl val="0"/>
      </c:catAx>
      <c:valAx>
        <c:axId val="225822751"/>
        <c:scaling>
          <c:orientation val="minMax"/>
        </c:scaling>
        <c:delete val="0"/>
        <c:axPos val="l"/>
        <c:numFmt formatCode="0.00" sourceLinked="0"/>
        <c:majorTickMark val="out"/>
        <c:minorTickMark val="none"/>
        <c:tickLblPos val="nextTo"/>
        <c:txPr>
          <a:bodyPr/>
          <a:lstStyle/>
          <a:p>
            <a:pPr>
              <a:defRPr sz="800" b="0"/>
            </a:pPr>
            <a:endParaRPr lang="en-US"/>
          </a:p>
        </c:txPr>
        <c:crossAx val="225821791"/>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Deseasonalized Errors</a:t>
            </a:r>
          </a:p>
        </c:rich>
      </c:tx>
      <c:overlay val="0"/>
    </c:title>
    <c:autoTitleDeleted val="0"/>
    <c:plotArea>
      <c:layout/>
      <c:lineChart>
        <c:grouping val="standard"/>
        <c:varyColors val="0"/>
        <c:ser>
          <c:idx val="0"/>
          <c:order val="0"/>
          <c:tx>
            <c:v>Deseasonalized Errors</c:v>
          </c:tx>
          <c:spPr>
            <a:ln>
              <a:solidFill>
                <a:srgbClr val="333399"/>
              </a:solidFill>
              <a:prstDash val="solid"/>
            </a:ln>
          </c:spPr>
          <c:marker>
            <c:symbol val="none"/>
          </c:marker>
          <c:cat>
            <c:strRef>
              <c:f>'Holt''s Expo. Ds (East)'!$A$147:$A$271</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'Holt''s Expo. Ds (East)'!$H$148:$H$271</c:f>
              <c:numCache>
                <c:formatCode>0.00</c:formatCode>
                <c:ptCount val="124"/>
                <c:pt idx="0">
                  <c:v>2240.1000705972492</c:v>
                </c:pt>
                <c:pt idx="1">
                  <c:v>4095.3811190469205</c:v>
                </c:pt>
                <c:pt idx="2">
                  <c:v>-1578.1883775736333</c:v>
                </c:pt>
                <c:pt idx="3">
                  <c:v>2092.8220892267109</c:v>
                </c:pt>
                <c:pt idx="4">
                  <c:v>1179.7445470156745</c:v>
                </c:pt>
                <c:pt idx="5">
                  <c:v>-24.670375099269222</c:v>
                </c:pt>
                <c:pt idx="6">
                  <c:v>2931.6243374490296</c:v>
                </c:pt>
                <c:pt idx="7">
                  <c:v>1458.7713231378093</c:v>
                </c:pt>
                <c:pt idx="8">
                  <c:v>54.910176331550247</c:v>
                </c:pt>
                <c:pt idx="9">
                  <c:v>-876.13143345274148</c:v>
                </c:pt>
                <c:pt idx="10">
                  <c:v>-1424.1956914481925</c:v>
                </c:pt>
                <c:pt idx="11">
                  <c:v>233.50486458527666</c:v>
                </c:pt>
                <c:pt idx="12">
                  <c:v>-444.53510241365257</c:v>
                </c:pt>
                <c:pt idx="13">
                  <c:v>-511.37762974603902</c:v>
                </c:pt>
                <c:pt idx="14">
                  <c:v>1834.6916613728881</c:v>
                </c:pt>
                <c:pt idx="15">
                  <c:v>-873.22104515504179</c:v>
                </c:pt>
                <c:pt idx="16">
                  <c:v>728.68992863620406</c:v>
                </c:pt>
                <c:pt idx="17">
                  <c:v>756.82598622398109</c:v>
                </c:pt>
                <c:pt idx="18">
                  <c:v>-1377.2367694175446</c:v>
                </c:pt>
                <c:pt idx="19">
                  <c:v>-669.39683952885389</c:v>
                </c:pt>
                <c:pt idx="20">
                  <c:v>-3560.9438162415499</c:v>
                </c:pt>
                <c:pt idx="21">
                  <c:v>2474.4484745235222</c:v>
                </c:pt>
                <c:pt idx="22">
                  <c:v>377.60737181773584</c:v>
                </c:pt>
                <c:pt idx="23">
                  <c:v>2168.2445999980573</c:v>
                </c:pt>
                <c:pt idx="24">
                  <c:v>265.98818671236404</c:v>
                </c:pt>
                <c:pt idx="25">
                  <c:v>-2345.8058977015426</c:v>
                </c:pt>
                <c:pt idx="26">
                  <c:v>-953.34385435835429</c:v>
                </c:pt>
                <c:pt idx="27">
                  <c:v>-880.93011285751891</c:v>
                </c:pt>
                <c:pt idx="28">
                  <c:v>-17.7453882548416</c:v>
                </c:pt>
                <c:pt idx="29">
                  <c:v>-2463.3352405603837</c:v>
                </c:pt>
                <c:pt idx="30">
                  <c:v>679.3470218145103</c:v>
                </c:pt>
                <c:pt idx="31">
                  <c:v>-1617.9521010702229</c:v>
                </c:pt>
                <c:pt idx="32">
                  <c:v>1919.5061459407189</c:v>
                </c:pt>
                <c:pt idx="33">
                  <c:v>-267.59392021505482</c:v>
                </c:pt>
                <c:pt idx="34">
                  <c:v>1227.5704531520059</c:v>
                </c:pt>
                <c:pt idx="35">
                  <c:v>109.57711856962123</c:v>
                </c:pt>
                <c:pt idx="36">
                  <c:v>-2844.4618103463254</c:v>
                </c:pt>
                <c:pt idx="37">
                  <c:v>-260.41249998842977</c:v>
                </c:pt>
                <c:pt idx="38">
                  <c:v>53.037822087197128</c:v>
                </c:pt>
                <c:pt idx="39">
                  <c:v>-49.952532190973216</c:v>
                </c:pt>
                <c:pt idx="40">
                  <c:v>987.06492318154051</c:v>
                </c:pt>
                <c:pt idx="41">
                  <c:v>-753.71483094131872</c:v>
                </c:pt>
                <c:pt idx="42">
                  <c:v>-165.53368038597182</c:v>
                </c:pt>
                <c:pt idx="43">
                  <c:v>-255.72597872735059</c:v>
                </c:pt>
                <c:pt idx="44">
                  <c:v>-1309.349902038708</c:v>
                </c:pt>
                <c:pt idx="45">
                  <c:v>628.85698198513819</c:v>
                </c:pt>
                <c:pt idx="46">
                  <c:v>-1094.7794761769019</c:v>
                </c:pt>
                <c:pt idx="47">
                  <c:v>52.343394151926987</c:v>
                </c:pt>
                <c:pt idx="48">
                  <c:v>671.6173803673646</c:v>
                </c:pt>
                <c:pt idx="49">
                  <c:v>2554.8806513416603</c:v>
                </c:pt>
                <c:pt idx="50">
                  <c:v>-1295.0016672686525</c:v>
                </c:pt>
                <c:pt idx="51">
                  <c:v>3033.6987913535122</c:v>
                </c:pt>
                <c:pt idx="52">
                  <c:v>-2016.1128815582269</c:v>
                </c:pt>
                <c:pt idx="53">
                  <c:v>-30.095464753941997</c:v>
                </c:pt>
                <c:pt idx="54">
                  <c:v>-4.1797071620803763</c:v>
                </c:pt>
                <c:pt idx="55">
                  <c:v>-1433.2510128444737</c:v>
                </c:pt>
                <c:pt idx="56">
                  <c:v>521.53840024298006</c:v>
                </c:pt>
                <c:pt idx="57">
                  <c:v>-2101.381770898779</c:v>
                </c:pt>
                <c:pt idx="58">
                  <c:v>-655.57384983316297</c:v>
                </c:pt>
                <c:pt idx="59">
                  <c:v>-1369.9608968560533</c:v>
                </c:pt>
                <c:pt idx="60">
                  <c:v>908.75736240122387</c:v>
                </c:pt>
                <c:pt idx="61">
                  <c:v>18.39729233518301</c:v>
                </c:pt>
                <c:pt idx="62">
                  <c:v>-1433.4410831186724</c:v>
                </c:pt>
                <c:pt idx="63">
                  <c:v>1948.3151334180748</c:v>
                </c:pt>
                <c:pt idx="64">
                  <c:v>-1616.6062642155903</c:v>
                </c:pt>
                <c:pt idx="65">
                  <c:v>298.25518989124794</c:v>
                </c:pt>
                <c:pt idx="66">
                  <c:v>17.094143828062442</c:v>
                </c:pt>
                <c:pt idx="67">
                  <c:v>655.00995765956941</c:v>
                </c:pt>
                <c:pt idx="68">
                  <c:v>970.80647146673073</c:v>
                </c:pt>
                <c:pt idx="69">
                  <c:v>1476.6006792664903</c:v>
                </c:pt>
                <c:pt idx="70">
                  <c:v>324.61300619056965</c:v>
                </c:pt>
                <c:pt idx="71">
                  <c:v>-89.993434758702278</c:v>
                </c:pt>
                <c:pt idx="72">
                  <c:v>353.00001388040073</c:v>
                </c:pt>
                <c:pt idx="73">
                  <c:v>-1795.5388251480908</c:v>
                </c:pt>
                <c:pt idx="74">
                  <c:v>-928.81688805260274</c:v>
                </c:pt>
                <c:pt idx="75">
                  <c:v>-2698.5884623691618</c:v>
                </c:pt>
                <c:pt idx="76">
                  <c:v>-1015.5534412396464</c:v>
                </c:pt>
                <c:pt idx="77">
                  <c:v>203.94739399733589</c:v>
                </c:pt>
                <c:pt idx="78">
                  <c:v>-1117.9081595790685</c:v>
                </c:pt>
                <c:pt idx="79">
                  <c:v>744.79827418932655</c:v>
                </c:pt>
                <c:pt idx="80">
                  <c:v>-368.53724253744258</c:v>
                </c:pt>
                <c:pt idx="81">
                  <c:v>-440.3370019748254</c:v>
                </c:pt>
                <c:pt idx="82">
                  <c:v>2085.6121100844248</c:v>
                </c:pt>
                <c:pt idx="83">
                  <c:v>-673.31832887800374</c:v>
                </c:pt>
                <c:pt idx="84">
                  <c:v>-135.40826373352138</c:v>
                </c:pt>
                <c:pt idx="85">
                  <c:v>-116.58390535683793</c:v>
                </c:pt>
                <c:pt idx="86">
                  <c:v>-34.554862635404788</c:v>
                </c:pt>
                <c:pt idx="87">
                  <c:v>-1329.1499144969293</c:v>
                </c:pt>
                <c:pt idx="88">
                  <c:v>390.98982113323291</c:v>
                </c:pt>
                <c:pt idx="89">
                  <c:v>1535.1983281989633</c:v>
                </c:pt>
                <c:pt idx="90">
                  <c:v>-1279.3539504225464</c:v>
                </c:pt>
                <c:pt idx="91">
                  <c:v>-54.084791015000519</c:v>
                </c:pt>
                <c:pt idx="92">
                  <c:v>-417.42164132369544</c:v>
                </c:pt>
                <c:pt idx="93">
                  <c:v>-2265.0051100818446</c:v>
                </c:pt>
                <c:pt idx="94">
                  <c:v>64.898919156390548</c:v>
                </c:pt>
                <c:pt idx="95">
                  <c:v>216.04983744907076</c:v>
                </c:pt>
                <c:pt idx="96">
                  <c:v>-855.59951383348744</c:v>
                </c:pt>
                <c:pt idx="97">
                  <c:v>94.648616357635547</c:v>
                </c:pt>
                <c:pt idx="98">
                  <c:v>1165.3651346076003</c:v>
                </c:pt>
                <c:pt idx="99">
                  <c:v>-440.61983195469475</c:v>
                </c:pt>
                <c:pt idx="100">
                  <c:v>1126.9494150944083</c:v>
                </c:pt>
                <c:pt idx="101">
                  <c:v>-294.55084017262743</c:v>
                </c:pt>
                <c:pt idx="102">
                  <c:v>-283.1930134681952</c:v>
                </c:pt>
                <c:pt idx="103">
                  <c:v>242.48921357285508</c:v>
                </c:pt>
                <c:pt idx="104">
                  <c:v>1094.6170852321575</c:v>
                </c:pt>
                <c:pt idx="105">
                  <c:v>811.74948001602752</c:v>
                </c:pt>
                <c:pt idx="106">
                  <c:v>-2085.7937638272979</c:v>
                </c:pt>
                <c:pt idx="107">
                  <c:v>-1518.2041573562383</c:v>
                </c:pt>
                <c:pt idx="108">
                  <c:v>924.86777785413506</c:v>
                </c:pt>
                <c:pt idx="109">
                  <c:v>990.16079350363543</c:v>
                </c:pt>
                <c:pt idx="110">
                  <c:v>1191.4356862765635</c:v>
                </c:pt>
                <c:pt idx="111">
                  <c:v>844.34508844458287</c:v>
                </c:pt>
                <c:pt idx="112">
                  <c:v>-260.56707441298386</c:v>
                </c:pt>
                <c:pt idx="113">
                  <c:v>323.30931631016574</c:v>
                </c:pt>
                <c:pt idx="114">
                  <c:v>-2243.0552719633997</c:v>
                </c:pt>
                <c:pt idx="115">
                  <c:v>1184.428007861492</c:v>
                </c:pt>
              </c:numCache>
            </c:numRef>
          </c:val>
          <c:smooth val="0"/>
          <c:extLst>
            <c:ext xmlns:c16="http://schemas.microsoft.com/office/drawing/2014/chart" uri="{C3380CC4-5D6E-409C-BE32-E72D297353CC}">
              <c16:uniqueId val="{00000000-7589-42ED-8267-38CDA6D8F870}"/>
            </c:ext>
          </c:extLst>
        </c:ser>
        <c:dLbls>
          <c:showLegendKey val="0"/>
          <c:showVal val="0"/>
          <c:showCatName val="0"/>
          <c:showSerName val="0"/>
          <c:showPercent val="0"/>
          <c:showBubbleSize val="0"/>
        </c:dLbls>
        <c:smooth val="0"/>
        <c:axId val="1415731087"/>
        <c:axId val="1415732047"/>
      </c:lineChart>
      <c:catAx>
        <c:axId val="1415731087"/>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415732047"/>
        <c:crosses val="autoZero"/>
        <c:auto val="1"/>
        <c:lblAlgn val="ctr"/>
        <c:lblOffset val="100"/>
        <c:noMultiLvlLbl val="0"/>
      </c:catAx>
      <c:valAx>
        <c:axId val="1415732047"/>
        <c:scaling>
          <c:orientation val="minMax"/>
        </c:scaling>
        <c:delete val="0"/>
        <c:axPos val="l"/>
        <c:numFmt formatCode="0.00" sourceLinked="0"/>
        <c:majorTickMark val="out"/>
        <c:minorTickMark val="none"/>
        <c:tickLblPos val="nextTo"/>
        <c:txPr>
          <a:bodyPr/>
          <a:lstStyle/>
          <a:p>
            <a:pPr>
              <a:defRPr sz="800" b="0"/>
            </a:pPr>
            <a:endParaRPr lang="en-US"/>
          </a:p>
        </c:txPr>
        <c:crossAx val="1415731087"/>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Forecast and Original Observations</a:t>
            </a:r>
          </a:p>
        </c:rich>
      </c:tx>
      <c:overlay val="0"/>
    </c:title>
    <c:autoTitleDeleted val="0"/>
    <c:plotArea>
      <c:layout/>
      <c:lineChart>
        <c:grouping val="standard"/>
        <c:varyColors val="0"/>
        <c:ser>
          <c:idx val="0"/>
          <c:order val="0"/>
          <c:tx>
            <c:v>North</c:v>
          </c:tx>
          <c:spPr>
            <a:ln>
              <a:solidFill>
                <a:srgbClr val="333399"/>
              </a:solidFill>
              <a:prstDash val="solid"/>
            </a:ln>
          </c:spPr>
          <c:marker>
            <c:symbol val="none"/>
          </c:marker>
          <c:cat>
            <c:strRef>
              <c:f>'Winter''s Forecaset(North) a(3)'!$A$85:$A$209</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'Winter''s Forecaset(North) a(3)'!$B$85:$B$209</c:f>
              <c:numCache>
                <c:formatCode>0.00</c:formatCode>
                <c:ptCount val="125"/>
                <c:pt idx="0">
                  <c:v>6722</c:v>
                </c:pt>
                <c:pt idx="1">
                  <c:v>7266</c:v>
                </c:pt>
                <c:pt idx="2">
                  <c:v>8341</c:v>
                </c:pt>
                <c:pt idx="3">
                  <c:v>10213</c:v>
                </c:pt>
                <c:pt idx="4">
                  <c:v>11024</c:v>
                </c:pt>
                <c:pt idx="5">
                  <c:v>12501</c:v>
                </c:pt>
                <c:pt idx="6">
                  <c:v>14247</c:v>
                </c:pt>
                <c:pt idx="7">
                  <c:v>15045</c:v>
                </c:pt>
                <c:pt idx="8">
                  <c:v>13563</c:v>
                </c:pt>
                <c:pt idx="9">
                  <c:v>12887</c:v>
                </c:pt>
                <c:pt idx="10">
                  <c:v>11118</c:v>
                </c:pt>
                <c:pt idx="11">
                  <c:v>9484</c:v>
                </c:pt>
                <c:pt idx="12">
                  <c:v>7312</c:v>
                </c:pt>
                <c:pt idx="13">
                  <c:v>7790</c:v>
                </c:pt>
                <c:pt idx="14">
                  <c:v>7346</c:v>
                </c:pt>
                <c:pt idx="15">
                  <c:v>9951</c:v>
                </c:pt>
                <c:pt idx="16">
                  <c:v>9804</c:v>
                </c:pt>
                <c:pt idx="17">
                  <c:v>11158</c:v>
                </c:pt>
                <c:pt idx="18">
                  <c:v>13327</c:v>
                </c:pt>
                <c:pt idx="19">
                  <c:v>15167</c:v>
                </c:pt>
                <c:pt idx="20">
                  <c:v>14777</c:v>
                </c:pt>
                <c:pt idx="21">
                  <c:v>12486</c:v>
                </c:pt>
                <c:pt idx="22">
                  <c:v>12014</c:v>
                </c:pt>
                <c:pt idx="23">
                  <c:v>9619</c:v>
                </c:pt>
                <c:pt idx="24">
                  <c:v>7657</c:v>
                </c:pt>
                <c:pt idx="25">
                  <c:v>7914</c:v>
                </c:pt>
                <c:pt idx="26">
                  <c:v>7622</c:v>
                </c:pt>
                <c:pt idx="27">
                  <c:v>9501</c:v>
                </c:pt>
                <c:pt idx="28">
                  <c:v>9487</c:v>
                </c:pt>
                <c:pt idx="29">
                  <c:v>12667</c:v>
                </c:pt>
                <c:pt idx="30">
                  <c:v>13970</c:v>
                </c:pt>
                <c:pt idx="31">
                  <c:v>15183</c:v>
                </c:pt>
                <c:pt idx="32">
                  <c:v>14585</c:v>
                </c:pt>
                <c:pt idx="33">
                  <c:v>13024</c:v>
                </c:pt>
                <c:pt idx="34">
                  <c:v>11841</c:v>
                </c:pt>
                <c:pt idx="35">
                  <c:v>9120</c:v>
                </c:pt>
                <c:pt idx="36">
                  <c:v>7158</c:v>
                </c:pt>
                <c:pt idx="37">
                  <c:v>8923</c:v>
                </c:pt>
                <c:pt idx="38">
                  <c:v>9262</c:v>
                </c:pt>
                <c:pt idx="39">
                  <c:v>8734</c:v>
                </c:pt>
                <c:pt idx="40">
                  <c:v>10014</c:v>
                </c:pt>
                <c:pt idx="41">
                  <c:v>13052</c:v>
                </c:pt>
                <c:pt idx="42">
                  <c:v>14418</c:v>
                </c:pt>
                <c:pt idx="43">
                  <c:v>16075</c:v>
                </c:pt>
                <c:pt idx="44">
                  <c:v>14566</c:v>
                </c:pt>
                <c:pt idx="45">
                  <c:v>11815</c:v>
                </c:pt>
                <c:pt idx="46">
                  <c:v>12019</c:v>
                </c:pt>
                <c:pt idx="47">
                  <c:v>9754</c:v>
                </c:pt>
                <c:pt idx="48">
                  <c:v>6934</c:v>
                </c:pt>
                <c:pt idx="49">
                  <c:v>7675</c:v>
                </c:pt>
                <c:pt idx="50">
                  <c:v>8528</c:v>
                </c:pt>
                <c:pt idx="51">
                  <c:v>10118</c:v>
                </c:pt>
                <c:pt idx="52">
                  <c:v>11197</c:v>
                </c:pt>
                <c:pt idx="53">
                  <c:v>12917</c:v>
                </c:pt>
                <c:pt idx="54">
                  <c:v>13052</c:v>
                </c:pt>
                <c:pt idx="55">
                  <c:v>14445</c:v>
                </c:pt>
                <c:pt idx="56">
                  <c:v>14451</c:v>
                </c:pt>
                <c:pt idx="57">
                  <c:v>12037</c:v>
                </c:pt>
                <c:pt idx="58">
                  <c:v>10517</c:v>
                </c:pt>
                <c:pt idx="59">
                  <c:v>10013</c:v>
                </c:pt>
                <c:pt idx="60">
                  <c:v>7375</c:v>
                </c:pt>
                <c:pt idx="61">
                  <c:v>8185</c:v>
                </c:pt>
                <c:pt idx="62">
                  <c:v>8498</c:v>
                </c:pt>
                <c:pt idx="63">
                  <c:v>9690</c:v>
                </c:pt>
                <c:pt idx="64">
                  <c:v>10048</c:v>
                </c:pt>
                <c:pt idx="65">
                  <c:v>12811</c:v>
                </c:pt>
                <c:pt idx="66">
                  <c:v>11745</c:v>
                </c:pt>
                <c:pt idx="67">
                  <c:v>16120</c:v>
                </c:pt>
                <c:pt idx="68">
                  <c:v>13229</c:v>
                </c:pt>
                <c:pt idx="69">
                  <c:v>12419</c:v>
                </c:pt>
                <c:pt idx="70">
                  <c:v>11209</c:v>
                </c:pt>
                <c:pt idx="71">
                  <c:v>10227</c:v>
                </c:pt>
                <c:pt idx="72">
                  <c:v>7275</c:v>
                </c:pt>
                <c:pt idx="73">
                  <c:v>8200</c:v>
                </c:pt>
                <c:pt idx="74">
                  <c:v>7470</c:v>
                </c:pt>
                <c:pt idx="75">
                  <c:v>10347</c:v>
                </c:pt>
                <c:pt idx="76">
                  <c:v>10090</c:v>
                </c:pt>
                <c:pt idx="77">
                  <c:v>12014</c:v>
                </c:pt>
                <c:pt idx="78">
                  <c:v>13217</c:v>
                </c:pt>
                <c:pt idx="79">
                  <c:v>15777</c:v>
                </c:pt>
                <c:pt idx="80">
                  <c:v>14014</c:v>
                </c:pt>
                <c:pt idx="81">
                  <c:v>11875</c:v>
                </c:pt>
                <c:pt idx="82">
                  <c:v>11140</c:v>
                </c:pt>
                <c:pt idx="83">
                  <c:v>9117</c:v>
                </c:pt>
                <c:pt idx="84">
                  <c:v>7315</c:v>
                </c:pt>
                <c:pt idx="85">
                  <c:v>8128</c:v>
                </c:pt>
                <c:pt idx="86">
                  <c:v>9076</c:v>
                </c:pt>
                <c:pt idx="87">
                  <c:v>9826</c:v>
                </c:pt>
                <c:pt idx="88">
                  <c:v>10262</c:v>
                </c:pt>
                <c:pt idx="89">
                  <c:v>13074</c:v>
                </c:pt>
                <c:pt idx="90">
                  <c:v>14261</c:v>
                </c:pt>
                <c:pt idx="91">
                  <c:v>14601</c:v>
                </c:pt>
                <c:pt idx="92">
                  <c:v>14353</c:v>
                </c:pt>
                <c:pt idx="93">
                  <c:v>13868</c:v>
                </c:pt>
                <c:pt idx="94">
                  <c:v>11311</c:v>
                </c:pt>
                <c:pt idx="95">
                  <c:v>9305</c:v>
                </c:pt>
                <c:pt idx="96">
                  <c:v>7075</c:v>
                </c:pt>
                <c:pt idx="97">
                  <c:v>7826</c:v>
                </c:pt>
                <c:pt idx="98">
                  <c:v>8147</c:v>
                </c:pt>
                <c:pt idx="99">
                  <c:v>9648</c:v>
                </c:pt>
                <c:pt idx="100">
                  <c:v>10941</c:v>
                </c:pt>
                <c:pt idx="101">
                  <c:v>12023</c:v>
                </c:pt>
                <c:pt idx="102">
                  <c:v>13805</c:v>
                </c:pt>
                <c:pt idx="103">
                  <c:v>14622</c:v>
                </c:pt>
                <c:pt idx="104">
                  <c:v>13921</c:v>
                </c:pt>
                <c:pt idx="105">
                  <c:v>12680</c:v>
                </c:pt>
                <c:pt idx="106">
                  <c:v>11076</c:v>
                </c:pt>
                <c:pt idx="107">
                  <c:v>8288</c:v>
                </c:pt>
                <c:pt idx="108">
                  <c:v>7061</c:v>
                </c:pt>
                <c:pt idx="109">
                  <c:v>7365</c:v>
                </c:pt>
                <c:pt idx="110">
                  <c:v>7969</c:v>
                </c:pt>
                <c:pt idx="111">
                  <c:v>10018</c:v>
                </c:pt>
                <c:pt idx="112">
                  <c:v>10512</c:v>
                </c:pt>
                <c:pt idx="113">
                  <c:v>11937</c:v>
                </c:pt>
                <c:pt idx="114">
                  <c:v>13453</c:v>
                </c:pt>
                <c:pt idx="115">
                  <c:v>14793</c:v>
                </c:pt>
                <c:pt idx="116">
                  <c:v>13661</c:v>
                </c:pt>
              </c:numCache>
            </c:numRef>
          </c:val>
          <c:smooth val="0"/>
          <c:extLst>
            <c:ext xmlns:c16="http://schemas.microsoft.com/office/drawing/2014/chart" uri="{C3380CC4-5D6E-409C-BE32-E72D297353CC}">
              <c16:uniqueId val="{00000000-885A-4B34-8220-75BE57C510AC}"/>
            </c:ext>
          </c:extLst>
        </c:ser>
        <c:ser>
          <c:idx val="1"/>
          <c:order val="1"/>
          <c:tx>
            <c:v>Forecast</c:v>
          </c:tx>
          <c:spPr>
            <a:ln>
              <a:solidFill>
                <a:srgbClr val="993366"/>
              </a:solidFill>
              <a:prstDash val="solid"/>
            </a:ln>
          </c:spPr>
          <c:marker>
            <c:symbol val="none"/>
          </c:marker>
          <c:cat>
            <c:strRef>
              <c:f>'Winter''s Forecaset(North) a(3)'!$A$85:$A$209</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'Winter''s Forecaset(North) a(3)'!$F$85:$F$209</c:f>
              <c:numCache>
                <c:formatCode>0.00</c:formatCode>
                <c:ptCount val="125"/>
                <c:pt idx="1">
                  <c:v>7429.0215428750926</c:v>
                </c:pt>
                <c:pt idx="2">
                  <c:v>7604.1870360697467</c:v>
                </c:pt>
                <c:pt idx="3">
                  <c:v>9111.6858170486485</c:v>
                </c:pt>
                <c:pt idx="4">
                  <c:v>9745.5674667345083</c:v>
                </c:pt>
                <c:pt idx="5">
                  <c:v>12094.346898140542</c:v>
                </c:pt>
                <c:pt idx="6">
                  <c:v>13228.664254340589</c:v>
                </c:pt>
                <c:pt idx="7">
                  <c:v>15020.642234470995</c:v>
                </c:pt>
                <c:pt idx="8">
                  <c:v>13977.512166116812</c:v>
                </c:pt>
                <c:pt idx="9">
                  <c:v>12358.732346426023</c:v>
                </c:pt>
                <c:pt idx="10">
                  <c:v>11245.394934720545</c:v>
                </c:pt>
                <c:pt idx="11">
                  <c:v>9335.0876347934773</c:v>
                </c:pt>
                <c:pt idx="12">
                  <c:v>7186.8871458175454</c:v>
                </c:pt>
                <c:pt idx="13">
                  <c:v>7961.7832212254134</c:v>
                </c:pt>
                <c:pt idx="14">
                  <c:v>8149.7353753839852</c:v>
                </c:pt>
                <c:pt idx="15">
                  <c:v>9504.1295025583731</c:v>
                </c:pt>
                <c:pt idx="16">
                  <c:v>10062.871106780349</c:v>
                </c:pt>
                <c:pt idx="17">
                  <c:v>12221.349626042418</c:v>
                </c:pt>
                <c:pt idx="18">
                  <c:v>13145.144883600591</c:v>
                </c:pt>
                <c:pt idx="19">
                  <c:v>14796.632966861625</c:v>
                </c:pt>
                <c:pt idx="20">
                  <c:v>13813.776663908529</c:v>
                </c:pt>
                <c:pt idx="21">
                  <c:v>12382.889713779146</c:v>
                </c:pt>
                <c:pt idx="22">
                  <c:v>11213.954463927275</c:v>
                </c:pt>
                <c:pt idx="23">
                  <c:v>9415.7951111329749</c:v>
                </c:pt>
                <c:pt idx="24">
                  <c:v>7254.6433211720087</c:v>
                </c:pt>
                <c:pt idx="25">
                  <c:v>8079.0924184564774</c:v>
                </c:pt>
                <c:pt idx="26">
                  <c:v>8271.0862823331863</c:v>
                </c:pt>
                <c:pt idx="27">
                  <c:v>9672.8954908605865</c:v>
                </c:pt>
                <c:pt idx="28">
                  <c:v>10150.15826272626</c:v>
                </c:pt>
                <c:pt idx="29">
                  <c:v>12259.429650486505</c:v>
                </c:pt>
                <c:pt idx="30">
                  <c:v>13408.470877096686</c:v>
                </c:pt>
                <c:pt idx="31">
                  <c:v>15151.476472354805</c:v>
                </c:pt>
                <c:pt idx="32">
                  <c:v>14100.116673662606</c:v>
                </c:pt>
                <c:pt idx="33">
                  <c:v>12578.18654378756</c:v>
                </c:pt>
                <c:pt idx="34">
                  <c:v>11433.504336607431</c:v>
                </c:pt>
                <c:pt idx="35">
                  <c:v>9553.0545661607484</c:v>
                </c:pt>
                <c:pt idx="36">
                  <c:v>7292.3286944556858</c:v>
                </c:pt>
                <c:pt idx="37">
                  <c:v>8038.5475517606619</c:v>
                </c:pt>
                <c:pt idx="38">
                  <c:v>8378.7717020223754</c:v>
                </c:pt>
                <c:pt idx="39">
                  <c:v>10051.197115373619</c:v>
                </c:pt>
                <c:pt idx="40">
                  <c:v>10381.047934803322</c:v>
                </c:pt>
                <c:pt idx="41">
                  <c:v>12590.760963911018</c:v>
                </c:pt>
                <c:pt idx="42">
                  <c:v>13777.171882441096</c:v>
                </c:pt>
                <c:pt idx="43">
                  <c:v>15577.910177511147</c:v>
                </c:pt>
                <c:pt idx="44">
                  <c:v>14556.729145867635</c:v>
                </c:pt>
                <c:pt idx="45">
                  <c:v>12924.942953737946</c:v>
                </c:pt>
                <c:pt idx="46">
                  <c:v>11552.078883520193</c:v>
                </c:pt>
                <c:pt idx="47">
                  <c:v>9658.4543739246092</c:v>
                </c:pt>
                <c:pt idx="48">
                  <c:v>7429.5295969266263</c:v>
                </c:pt>
                <c:pt idx="49">
                  <c:v>8134.8175877025851</c:v>
                </c:pt>
                <c:pt idx="50">
                  <c:v>8286.3544680956311</c:v>
                </c:pt>
                <c:pt idx="51">
                  <c:v>9836.8605401037203</c:v>
                </c:pt>
                <c:pt idx="52">
                  <c:v>10388.611408448376</c:v>
                </c:pt>
                <c:pt idx="53">
                  <c:v>12798.47918858774</c:v>
                </c:pt>
                <c:pt idx="54">
                  <c:v>13951.545110377905</c:v>
                </c:pt>
                <c:pt idx="55">
                  <c:v>15533.971979458711</c:v>
                </c:pt>
                <c:pt idx="56">
                  <c:v>14311.416793075661</c:v>
                </c:pt>
                <c:pt idx="57">
                  <c:v>12723.247934486406</c:v>
                </c:pt>
                <c:pt idx="58">
                  <c:v>11422.79609478278</c:v>
                </c:pt>
                <c:pt idx="59">
                  <c:v>9392.865512441138</c:v>
                </c:pt>
                <c:pt idx="60">
                  <c:v>7281.4107964526993</c:v>
                </c:pt>
                <c:pt idx="61">
                  <c:v>8061.385229603191</c:v>
                </c:pt>
                <c:pt idx="62">
                  <c:v>8293.9814151459032</c:v>
                </c:pt>
                <c:pt idx="63">
                  <c:v>9839.711257561863</c:v>
                </c:pt>
                <c:pt idx="64">
                  <c:v>10328.812851113207</c:v>
                </c:pt>
                <c:pt idx="65">
                  <c:v>12541.678587591132</c:v>
                </c:pt>
                <c:pt idx="66">
                  <c:v>13694.803056777428</c:v>
                </c:pt>
                <c:pt idx="67">
                  <c:v>15082.138479165824</c:v>
                </c:pt>
                <c:pt idx="68">
                  <c:v>14165.349708745036</c:v>
                </c:pt>
                <c:pt idx="69">
                  <c:v>12461.253275911831</c:v>
                </c:pt>
                <c:pt idx="70">
                  <c:v>11266.59698568155</c:v>
                </c:pt>
                <c:pt idx="71">
                  <c:v>9360.7504715268442</c:v>
                </c:pt>
                <c:pt idx="72">
                  <c:v>7282.9439171038985</c:v>
                </c:pt>
                <c:pt idx="73">
                  <c:v>8047.5318564247409</c:v>
                </c:pt>
                <c:pt idx="74">
                  <c:v>8283.8675479712474</c:v>
                </c:pt>
                <c:pt idx="75">
                  <c:v>9661.0081093941317</c:v>
                </c:pt>
                <c:pt idx="76">
                  <c:v>10262.694421278988</c:v>
                </c:pt>
                <c:pt idx="77">
                  <c:v>12479.375733583216</c:v>
                </c:pt>
                <c:pt idx="78">
                  <c:v>13516.169900282206</c:v>
                </c:pt>
                <c:pt idx="79">
                  <c:v>15138.455614031856</c:v>
                </c:pt>
                <c:pt idx="80">
                  <c:v>14166.253602110839</c:v>
                </c:pt>
                <c:pt idx="81">
                  <c:v>12558.509657344275</c:v>
                </c:pt>
                <c:pt idx="82">
                  <c:v>11274.173246922304</c:v>
                </c:pt>
                <c:pt idx="83">
                  <c:v>9358.2260906776901</c:v>
                </c:pt>
                <c:pt idx="84">
                  <c:v>7163.1315645232035</c:v>
                </c:pt>
                <c:pt idx="85">
                  <c:v>7939.6351501627769</c:v>
                </c:pt>
                <c:pt idx="86">
                  <c:v>8178.2351511528796</c:v>
                </c:pt>
                <c:pt idx="87">
                  <c:v>9816.5529151938881</c:v>
                </c:pt>
                <c:pt idx="88">
                  <c:v>10327.657115870546</c:v>
                </c:pt>
                <c:pt idx="89">
                  <c:v>12576.604951097335</c:v>
                </c:pt>
                <c:pt idx="90">
                  <c:v>13767.219115410246</c:v>
                </c:pt>
                <c:pt idx="91">
                  <c:v>15543.842508226975</c:v>
                </c:pt>
                <c:pt idx="92">
                  <c:v>14339.433290595944</c:v>
                </c:pt>
                <c:pt idx="93">
                  <c:v>12732.612081155457</c:v>
                </c:pt>
                <c:pt idx="94">
                  <c:v>11659.569370557701</c:v>
                </c:pt>
                <c:pt idx="95">
                  <c:v>9653.8528603343075</c:v>
                </c:pt>
                <c:pt idx="96">
                  <c:v>7378.6965547656919</c:v>
                </c:pt>
                <c:pt idx="97">
                  <c:v>8108.03185153091</c:v>
                </c:pt>
                <c:pt idx="98">
                  <c:v>8284.1532954020531</c:v>
                </c:pt>
                <c:pt idx="99">
                  <c:v>9772.2044392478747</c:v>
                </c:pt>
                <c:pt idx="100">
                  <c:v>10261.541187044939</c:v>
                </c:pt>
                <c:pt idx="101">
                  <c:v>12621.878494360308</c:v>
                </c:pt>
                <c:pt idx="102">
                  <c:v>13651.124889662611</c:v>
                </c:pt>
                <c:pt idx="103">
                  <c:v>15360.546108993565</c:v>
                </c:pt>
                <c:pt idx="104">
                  <c:v>14195.295088238312</c:v>
                </c:pt>
                <c:pt idx="105">
                  <c:v>12569.272503725228</c:v>
                </c:pt>
                <c:pt idx="106">
                  <c:v>11383.447406333669</c:v>
                </c:pt>
                <c:pt idx="107">
                  <c:v>9429.08924141231</c:v>
                </c:pt>
                <c:pt idx="108">
                  <c:v>7121.7727520185326</c:v>
                </c:pt>
                <c:pt idx="109">
                  <c:v>7861.3817771232625</c:v>
                </c:pt>
                <c:pt idx="110">
                  <c:v>8000.5150488557765</c:v>
                </c:pt>
                <c:pt idx="111">
                  <c:v>9454.2617957590664</c:v>
                </c:pt>
                <c:pt idx="112">
                  <c:v>10027.464314056358</c:v>
                </c:pt>
                <c:pt idx="113">
                  <c:v>12303.751815586713</c:v>
                </c:pt>
                <c:pt idx="114">
                  <c:v>13339.906097220637</c:v>
                </c:pt>
                <c:pt idx="115">
                  <c:v>15004.666708708924</c:v>
                </c:pt>
                <c:pt idx="116">
                  <c:v>13932.230051702585</c:v>
                </c:pt>
                <c:pt idx="117">
                  <c:v>12336.168128012401</c:v>
                </c:pt>
                <c:pt idx="118">
                  <c:v>11158.783244453827</c:v>
                </c:pt>
                <c:pt idx="119">
                  <c:v>9277.7753582153146</c:v>
                </c:pt>
                <c:pt idx="120">
                  <c:v>7127.025978061869</c:v>
                </c:pt>
                <c:pt idx="121">
                  <c:v>7876.4912671640377</c:v>
                </c:pt>
                <c:pt idx="122">
                  <c:v>8086.6330626744493</c:v>
                </c:pt>
                <c:pt idx="123">
                  <c:v>9561.2123381171805</c:v>
                </c:pt>
                <c:pt idx="124">
                  <c:v>10057.767447445885</c:v>
                </c:pt>
              </c:numCache>
            </c:numRef>
          </c:val>
          <c:smooth val="0"/>
          <c:extLst>
            <c:ext xmlns:c16="http://schemas.microsoft.com/office/drawing/2014/chart" uri="{C3380CC4-5D6E-409C-BE32-E72D297353CC}">
              <c16:uniqueId val="{00000001-885A-4B34-8220-75BE57C510AC}"/>
            </c:ext>
          </c:extLst>
        </c:ser>
        <c:dLbls>
          <c:showLegendKey val="0"/>
          <c:showVal val="0"/>
          <c:showCatName val="0"/>
          <c:showSerName val="0"/>
          <c:showPercent val="0"/>
          <c:showBubbleSize val="0"/>
        </c:dLbls>
        <c:smooth val="0"/>
        <c:axId val="1742026768"/>
        <c:axId val="1742035888"/>
      </c:lineChart>
      <c:catAx>
        <c:axId val="1742026768"/>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742035888"/>
        <c:crosses val="autoZero"/>
        <c:auto val="1"/>
        <c:lblAlgn val="ctr"/>
        <c:lblOffset val="100"/>
        <c:noMultiLvlLbl val="0"/>
      </c:catAx>
      <c:valAx>
        <c:axId val="1742035888"/>
        <c:scaling>
          <c:orientation val="minMax"/>
        </c:scaling>
        <c:delete val="0"/>
        <c:axPos val="l"/>
        <c:numFmt formatCode="0.00" sourceLinked="0"/>
        <c:majorTickMark val="out"/>
        <c:minorTickMark val="none"/>
        <c:tickLblPos val="nextTo"/>
        <c:txPr>
          <a:bodyPr/>
          <a:lstStyle/>
          <a:p>
            <a:pPr>
              <a:defRPr sz="800" b="0"/>
            </a:pPr>
            <a:endParaRPr lang="en-US"/>
          </a:p>
        </c:txPr>
        <c:crossAx val="1742026768"/>
        <c:crosses val="autoZero"/>
        <c:crossBetween val="between"/>
      </c:valAx>
    </c:plotArea>
    <c:legend>
      <c:legendPos val="r"/>
      <c:overlay val="0"/>
      <c:spPr>
        <a:ln>
          <a:solidFill>
            <a:srgbClr val="000000"/>
          </a:solidFill>
          <a:prstDash val="solid"/>
        </a:ln>
      </c:sp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Original Observations</a:t>
            </a:r>
          </a:p>
        </c:rich>
      </c:tx>
      <c:overlay val="0"/>
    </c:title>
    <c:autoTitleDeleted val="0"/>
    <c:plotArea>
      <c:layout/>
      <c:lineChart>
        <c:grouping val="standard"/>
        <c:varyColors val="0"/>
        <c:ser>
          <c:idx val="0"/>
          <c:order val="0"/>
          <c:tx>
            <c:v>North</c:v>
          </c:tx>
          <c:spPr>
            <a:ln>
              <a:solidFill>
                <a:srgbClr val="333399"/>
              </a:solidFill>
              <a:prstDash val="solid"/>
            </a:ln>
          </c:spPr>
          <c:marker>
            <c:symbol val="none"/>
          </c:marker>
          <c:cat>
            <c:strRef>
              <c:f>'Winter''s Forecaset(North) a(3)'!$A$85:$A$201</c:f>
              <c:strCache>
                <c:ptCount val="117"/>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strCache>
            </c:strRef>
          </c:cat>
          <c:val>
            <c:numRef>
              <c:f>'Winter''s Forecaset(North) a(3)'!$B$85:$B$201</c:f>
              <c:numCache>
                <c:formatCode>0.00</c:formatCode>
                <c:ptCount val="117"/>
                <c:pt idx="0">
                  <c:v>6722</c:v>
                </c:pt>
                <c:pt idx="1">
                  <c:v>7266</c:v>
                </c:pt>
                <c:pt idx="2">
                  <c:v>8341</c:v>
                </c:pt>
                <c:pt idx="3">
                  <c:v>10213</c:v>
                </c:pt>
                <c:pt idx="4">
                  <c:v>11024</c:v>
                </c:pt>
                <c:pt idx="5">
                  <c:v>12501</c:v>
                </c:pt>
                <c:pt idx="6">
                  <c:v>14247</c:v>
                </c:pt>
                <c:pt idx="7">
                  <c:v>15045</c:v>
                </c:pt>
                <c:pt idx="8">
                  <c:v>13563</c:v>
                </c:pt>
                <c:pt idx="9">
                  <c:v>12887</c:v>
                </c:pt>
                <c:pt idx="10">
                  <c:v>11118</c:v>
                </c:pt>
                <c:pt idx="11">
                  <c:v>9484</c:v>
                </c:pt>
                <c:pt idx="12">
                  <c:v>7312</c:v>
                </c:pt>
                <c:pt idx="13">
                  <c:v>7790</c:v>
                </c:pt>
                <c:pt idx="14">
                  <c:v>7346</c:v>
                </c:pt>
                <c:pt idx="15">
                  <c:v>9951</c:v>
                </c:pt>
                <c:pt idx="16">
                  <c:v>9804</c:v>
                </c:pt>
                <c:pt idx="17">
                  <c:v>11158</c:v>
                </c:pt>
                <c:pt idx="18">
                  <c:v>13327</c:v>
                </c:pt>
                <c:pt idx="19">
                  <c:v>15167</c:v>
                </c:pt>
                <c:pt idx="20">
                  <c:v>14777</c:v>
                </c:pt>
                <c:pt idx="21">
                  <c:v>12486</c:v>
                </c:pt>
                <c:pt idx="22">
                  <c:v>12014</c:v>
                </c:pt>
                <c:pt idx="23">
                  <c:v>9619</c:v>
                </c:pt>
                <c:pt idx="24">
                  <c:v>7657</c:v>
                </c:pt>
                <c:pt idx="25">
                  <c:v>7914</c:v>
                </c:pt>
                <c:pt idx="26">
                  <c:v>7622</c:v>
                </c:pt>
                <c:pt idx="27">
                  <c:v>9501</c:v>
                </c:pt>
                <c:pt idx="28">
                  <c:v>9487</c:v>
                </c:pt>
                <c:pt idx="29">
                  <c:v>12667</c:v>
                </c:pt>
                <c:pt idx="30">
                  <c:v>13970</c:v>
                </c:pt>
                <c:pt idx="31">
                  <c:v>15183</c:v>
                </c:pt>
                <c:pt idx="32">
                  <c:v>14585</c:v>
                </c:pt>
                <c:pt idx="33">
                  <c:v>13024</c:v>
                </c:pt>
                <c:pt idx="34">
                  <c:v>11841</c:v>
                </c:pt>
                <c:pt idx="35">
                  <c:v>9120</c:v>
                </c:pt>
                <c:pt idx="36">
                  <c:v>7158</c:v>
                </c:pt>
                <c:pt idx="37">
                  <c:v>8923</c:v>
                </c:pt>
                <c:pt idx="38">
                  <c:v>9262</c:v>
                </c:pt>
                <c:pt idx="39">
                  <c:v>8734</c:v>
                </c:pt>
                <c:pt idx="40">
                  <c:v>10014</c:v>
                </c:pt>
                <c:pt idx="41">
                  <c:v>13052</c:v>
                </c:pt>
                <c:pt idx="42">
                  <c:v>14418</c:v>
                </c:pt>
                <c:pt idx="43">
                  <c:v>16075</c:v>
                </c:pt>
                <c:pt idx="44">
                  <c:v>14566</c:v>
                </c:pt>
                <c:pt idx="45">
                  <c:v>11815</c:v>
                </c:pt>
                <c:pt idx="46">
                  <c:v>12019</c:v>
                </c:pt>
                <c:pt idx="47">
                  <c:v>9754</c:v>
                </c:pt>
                <c:pt idx="48">
                  <c:v>6934</c:v>
                </c:pt>
                <c:pt idx="49">
                  <c:v>7675</c:v>
                </c:pt>
                <c:pt idx="50">
                  <c:v>8528</c:v>
                </c:pt>
                <c:pt idx="51">
                  <c:v>10118</c:v>
                </c:pt>
                <c:pt idx="52">
                  <c:v>11197</c:v>
                </c:pt>
                <c:pt idx="53">
                  <c:v>12917</c:v>
                </c:pt>
                <c:pt idx="54">
                  <c:v>13052</c:v>
                </c:pt>
                <c:pt idx="55">
                  <c:v>14445</c:v>
                </c:pt>
                <c:pt idx="56">
                  <c:v>14451</c:v>
                </c:pt>
                <c:pt idx="57">
                  <c:v>12037</c:v>
                </c:pt>
                <c:pt idx="58">
                  <c:v>10517</c:v>
                </c:pt>
                <c:pt idx="59">
                  <c:v>10013</c:v>
                </c:pt>
                <c:pt idx="60">
                  <c:v>7375</c:v>
                </c:pt>
                <c:pt idx="61">
                  <c:v>8185</c:v>
                </c:pt>
                <c:pt idx="62">
                  <c:v>8498</c:v>
                </c:pt>
                <c:pt idx="63">
                  <c:v>9690</c:v>
                </c:pt>
                <c:pt idx="64">
                  <c:v>10048</c:v>
                </c:pt>
                <c:pt idx="65">
                  <c:v>12811</c:v>
                </c:pt>
                <c:pt idx="66">
                  <c:v>11745</c:v>
                </c:pt>
                <c:pt idx="67">
                  <c:v>16120</c:v>
                </c:pt>
                <c:pt idx="68">
                  <c:v>13229</c:v>
                </c:pt>
                <c:pt idx="69">
                  <c:v>12419</c:v>
                </c:pt>
                <c:pt idx="70">
                  <c:v>11209</c:v>
                </c:pt>
                <c:pt idx="71">
                  <c:v>10227</c:v>
                </c:pt>
                <c:pt idx="72">
                  <c:v>7275</c:v>
                </c:pt>
                <c:pt idx="73">
                  <c:v>8200</c:v>
                </c:pt>
                <c:pt idx="74">
                  <c:v>7470</c:v>
                </c:pt>
                <c:pt idx="75">
                  <c:v>10347</c:v>
                </c:pt>
                <c:pt idx="76">
                  <c:v>10090</c:v>
                </c:pt>
                <c:pt idx="77">
                  <c:v>12014</c:v>
                </c:pt>
                <c:pt idx="78">
                  <c:v>13217</c:v>
                </c:pt>
                <c:pt idx="79">
                  <c:v>15777</c:v>
                </c:pt>
                <c:pt idx="80">
                  <c:v>14014</c:v>
                </c:pt>
                <c:pt idx="81">
                  <c:v>11875</c:v>
                </c:pt>
                <c:pt idx="82">
                  <c:v>11140</c:v>
                </c:pt>
                <c:pt idx="83">
                  <c:v>9117</c:v>
                </c:pt>
                <c:pt idx="84">
                  <c:v>7315</c:v>
                </c:pt>
                <c:pt idx="85">
                  <c:v>8128</c:v>
                </c:pt>
                <c:pt idx="86">
                  <c:v>9076</c:v>
                </c:pt>
                <c:pt idx="87">
                  <c:v>9826</c:v>
                </c:pt>
                <c:pt idx="88">
                  <c:v>10262</c:v>
                </c:pt>
                <c:pt idx="89">
                  <c:v>13074</c:v>
                </c:pt>
                <c:pt idx="90">
                  <c:v>14261</c:v>
                </c:pt>
                <c:pt idx="91">
                  <c:v>14601</c:v>
                </c:pt>
                <c:pt idx="92">
                  <c:v>14353</c:v>
                </c:pt>
                <c:pt idx="93">
                  <c:v>13868</c:v>
                </c:pt>
                <c:pt idx="94">
                  <c:v>11311</c:v>
                </c:pt>
                <c:pt idx="95">
                  <c:v>9305</c:v>
                </c:pt>
                <c:pt idx="96">
                  <c:v>7075</c:v>
                </c:pt>
                <c:pt idx="97">
                  <c:v>7826</c:v>
                </c:pt>
                <c:pt idx="98">
                  <c:v>8147</c:v>
                </c:pt>
                <c:pt idx="99">
                  <c:v>9648</c:v>
                </c:pt>
                <c:pt idx="100">
                  <c:v>10941</c:v>
                </c:pt>
                <c:pt idx="101">
                  <c:v>12023</c:v>
                </c:pt>
                <c:pt idx="102">
                  <c:v>13805</c:v>
                </c:pt>
                <c:pt idx="103">
                  <c:v>14622</c:v>
                </c:pt>
                <c:pt idx="104">
                  <c:v>13921</c:v>
                </c:pt>
                <c:pt idx="105">
                  <c:v>12680</c:v>
                </c:pt>
                <c:pt idx="106">
                  <c:v>11076</c:v>
                </c:pt>
                <c:pt idx="107">
                  <c:v>8288</c:v>
                </c:pt>
                <c:pt idx="108">
                  <c:v>7061</c:v>
                </c:pt>
                <c:pt idx="109">
                  <c:v>7365</c:v>
                </c:pt>
                <c:pt idx="110">
                  <c:v>7969</c:v>
                </c:pt>
                <c:pt idx="111">
                  <c:v>10018</c:v>
                </c:pt>
                <c:pt idx="112">
                  <c:v>10512</c:v>
                </c:pt>
                <c:pt idx="113">
                  <c:v>11937</c:v>
                </c:pt>
                <c:pt idx="114">
                  <c:v>13453</c:v>
                </c:pt>
                <c:pt idx="115">
                  <c:v>14793</c:v>
                </c:pt>
                <c:pt idx="116">
                  <c:v>13661</c:v>
                </c:pt>
              </c:numCache>
            </c:numRef>
          </c:val>
          <c:smooth val="0"/>
          <c:extLst>
            <c:ext xmlns:c16="http://schemas.microsoft.com/office/drawing/2014/chart" uri="{C3380CC4-5D6E-409C-BE32-E72D297353CC}">
              <c16:uniqueId val="{00000000-79F8-4155-84D1-292A935D65E2}"/>
            </c:ext>
          </c:extLst>
        </c:ser>
        <c:dLbls>
          <c:showLegendKey val="0"/>
          <c:showVal val="0"/>
          <c:showCatName val="0"/>
          <c:showSerName val="0"/>
          <c:showPercent val="0"/>
          <c:showBubbleSize val="0"/>
        </c:dLbls>
        <c:smooth val="0"/>
        <c:axId val="1742038768"/>
        <c:axId val="1742028208"/>
      </c:lineChart>
      <c:catAx>
        <c:axId val="1742038768"/>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742028208"/>
        <c:crosses val="autoZero"/>
        <c:auto val="1"/>
        <c:lblAlgn val="ctr"/>
        <c:lblOffset val="100"/>
        <c:noMultiLvlLbl val="0"/>
      </c:catAx>
      <c:valAx>
        <c:axId val="1742028208"/>
        <c:scaling>
          <c:orientation val="minMax"/>
        </c:scaling>
        <c:delete val="0"/>
        <c:axPos val="l"/>
        <c:numFmt formatCode="0.00" sourceLinked="0"/>
        <c:majorTickMark val="out"/>
        <c:minorTickMark val="none"/>
        <c:tickLblPos val="nextTo"/>
        <c:txPr>
          <a:bodyPr/>
          <a:lstStyle/>
          <a:p>
            <a:pPr>
              <a:defRPr sz="800" b="0"/>
            </a:pPr>
            <a:endParaRPr lang="en-US"/>
          </a:p>
        </c:txPr>
        <c:crossAx val="1742038768"/>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Forecast Errors</a:t>
            </a:r>
          </a:p>
        </c:rich>
      </c:tx>
      <c:overlay val="0"/>
    </c:title>
    <c:autoTitleDeleted val="0"/>
    <c:plotArea>
      <c:layout/>
      <c:lineChart>
        <c:grouping val="standard"/>
        <c:varyColors val="0"/>
        <c:ser>
          <c:idx val="0"/>
          <c:order val="0"/>
          <c:tx>
            <c:v>Errors</c:v>
          </c:tx>
          <c:spPr>
            <a:ln>
              <a:solidFill>
                <a:srgbClr val="333399"/>
              </a:solidFill>
              <a:prstDash val="solid"/>
            </a:ln>
          </c:spPr>
          <c:marker>
            <c:symbol val="none"/>
          </c:marker>
          <c:cat>
            <c:strRef>
              <c:f>'Winter''s Forecaset(North) a(3)'!$A$85:$A$201</c:f>
              <c:strCache>
                <c:ptCount val="117"/>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strCache>
            </c:strRef>
          </c:cat>
          <c:val>
            <c:numRef>
              <c:f>'Winter''s Forecaset(North) a(3)'!$G$86:$G$209</c:f>
              <c:numCache>
                <c:formatCode>0.00</c:formatCode>
                <c:ptCount val="124"/>
                <c:pt idx="0">
                  <c:v>-163.02154287509256</c:v>
                </c:pt>
                <c:pt idx="1">
                  <c:v>736.81296393025332</c:v>
                </c:pt>
                <c:pt idx="2">
                  <c:v>1101.3141829513515</c:v>
                </c:pt>
                <c:pt idx="3">
                  <c:v>1278.4325332654917</c:v>
                </c:pt>
                <c:pt idx="4">
                  <c:v>406.65310185945782</c:v>
                </c:pt>
                <c:pt idx="5">
                  <c:v>1018.3357456594113</c:v>
                </c:pt>
                <c:pt idx="6">
                  <c:v>24.35776552900461</c:v>
                </c:pt>
                <c:pt idx="7">
                  <c:v>-414.5121661168123</c:v>
                </c:pt>
                <c:pt idx="8">
                  <c:v>528.26765357397744</c:v>
                </c:pt>
                <c:pt idx="9">
                  <c:v>-127.39493472054528</c:v>
                </c:pt>
                <c:pt idx="10">
                  <c:v>148.91236520652274</c:v>
                </c:pt>
                <c:pt idx="11">
                  <c:v>125.11285418245461</c:v>
                </c:pt>
                <c:pt idx="12">
                  <c:v>-171.7832212254134</c:v>
                </c:pt>
                <c:pt idx="13">
                  <c:v>-803.73537538398523</c:v>
                </c:pt>
                <c:pt idx="14">
                  <c:v>446.87049744162687</c:v>
                </c:pt>
                <c:pt idx="15">
                  <c:v>-258.87110678034878</c:v>
                </c:pt>
                <c:pt idx="16">
                  <c:v>-1063.3496260424181</c:v>
                </c:pt>
                <c:pt idx="17">
                  <c:v>181.85511639940887</c:v>
                </c:pt>
                <c:pt idx="18">
                  <c:v>370.36703313837461</c:v>
                </c:pt>
                <c:pt idx="19">
                  <c:v>963.22333609147063</c:v>
                </c:pt>
                <c:pt idx="20">
                  <c:v>103.1102862208536</c:v>
                </c:pt>
                <c:pt idx="21">
                  <c:v>800.04553607272464</c:v>
                </c:pt>
                <c:pt idx="22">
                  <c:v>203.20488886702515</c:v>
                </c:pt>
                <c:pt idx="23">
                  <c:v>402.35667882799135</c:v>
                </c:pt>
                <c:pt idx="24">
                  <c:v>-165.09241845647739</c:v>
                </c:pt>
                <c:pt idx="25">
                  <c:v>-649.08628233318632</c:v>
                </c:pt>
                <c:pt idx="26">
                  <c:v>-171.89549086058651</c:v>
                </c:pt>
                <c:pt idx="27">
                  <c:v>-663.15826272625964</c:v>
                </c:pt>
                <c:pt idx="28">
                  <c:v>407.57034951349488</c:v>
                </c:pt>
                <c:pt idx="29">
                  <c:v>561.52912290331369</c:v>
                </c:pt>
                <c:pt idx="30">
                  <c:v>31.523527645194918</c:v>
                </c:pt>
                <c:pt idx="31">
                  <c:v>484.88332633739446</c:v>
                </c:pt>
                <c:pt idx="32">
                  <c:v>445.81345621243963</c:v>
                </c:pt>
                <c:pt idx="33">
                  <c:v>407.49566339256853</c:v>
                </c:pt>
                <c:pt idx="34">
                  <c:v>-433.05456616074844</c:v>
                </c:pt>
                <c:pt idx="35">
                  <c:v>-134.32869445568576</c:v>
                </c:pt>
                <c:pt idx="36">
                  <c:v>884.45244823933808</c:v>
                </c:pt>
                <c:pt idx="37">
                  <c:v>883.22829797762461</c:v>
                </c:pt>
                <c:pt idx="38">
                  <c:v>-1317.1971153736195</c:v>
                </c:pt>
                <c:pt idx="39">
                  <c:v>-367.04793480332228</c:v>
                </c:pt>
                <c:pt idx="40">
                  <c:v>461.23903608898217</c:v>
                </c:pt>
                <c:pt idx="41">
                  <c:v>640.82811755890361</c:v>
                </c:pt>
                <c:pt idx="42">
                  <c:v>497.08982248885332</c:v>
                </c:pt>
                <c:pt idx="43">
                  <c:v>9.2708541323645477</c:v>
                </c:pt>
                <c:pt idx="44">
                  <c:v>-1109.9429537379456</c:v>
                </c:pt>
                <c:pt idx="45">
                  <c:v>466.9211164798071</c:v>
                </c:pt>
                <c:pt idx="46">
                  <c:v>95.545626075390828</c:v>
                </c:pt>
                <c:pt idx="47">
                  <c:v>-495.52959692662625</c:v>
                </c:pt>
                <c:pt idx="48">
                  <c:v>-459.81758770258512</c:v>
                </c:pt>
                <c:pt idx="49">
                  <c:v>241.64553190436891</c:v>
                </c:pt>
                <c:pt idx="50">
                  <c:v>281.13945989627973</c:v>
                </c:pt>
                <c:pt idx="51">
                  <c:v>808.3885915516239</c:v>
                </c:pt>
                <c:pt idx="52">
                  <c:v>118.52081141225972</c:v>
                </c:pt>
                <c:pt idx="53">
                  <c:v>-899.54511037790508</c:v>
                </c:pt>
                <c:pt idx="54">
                  <c:v>-1088.9719794587108</c:v>
                </c:pt>
                <c:pt idx="55">
                  <c:v>139.58320692433881</c:v>
                </c:pt>
                <c:pt idx="56">
                  <c:v>-686.24793448640594</c:v>
                </c:pt>
                <c:pt idx="57">
                  <c:v>-905.79609478277962</c:v>
                </c:pt>
                <c:pt idx="58">
                  <c:v>620.13448755886202</c:v>
                </c:pt>
                <c:pt idx="59">
                  <c:v>93.589203547300713</c:v>
                </c:pt>
                <c:pt idx="60">
                  <c:v>123.61477039680904</c:v>
                </c:pt>
                <c:pt idx="61">
                  <c:v>204.01858485409684</c:v>
                </c:pt>
                <c:pt idx="62">
                  <c:v>-149.71125756186302</c:v>
                </c:pt>
                <c:pt idx="63">
                  <c:v>-280.81285111320722</c:v>
                </c:pt>
                <c:pt idx="64">
                  <c:v>269.32141240886813</c:v>
                </c:pt>
                <c:pt idx="65">
                  <c:v>-1949.8030567774276</c:v>
                </c:pt>
                <c:pt idx="66">
                  <c:v>1037.8615208341762</c:v>
                </c:pt>
                <c:pt idx="67">
                  <c:v>-936.34970874503597</c:v>
                </c:pt>
                <c:pt idx="68">
                  <c:v>-42.253275911831224</c:v>
                </c:pt>
                <c:pt idx="69">
                  <c:v>-57.596985681549995</c:v>
                </c:pt>
                <c:pt idx="70">
                  <c:v>866.24952847315581</c:v>
                </c:pt>
                <c:pt idx="71">
                  <c:v>-7.9439171038984568</c:v>
                </c:pt>
                <c:pt idx="72">
                  <c:v>152.46814357525909</c:v>
                </c:pt>
                <c:pt idx="73">
                  <c:v>-813.8675479712474</c:v>
                </c:pt>
                <c:pt idx="74">
                  <c:v>685.99189060586832</c:v>
                </c:pt>
                <c:pt idx="75">
                  <c:v>-172.69442127898765</c:v>
                </c:pt>
                <c:pt idx="76">
                  <c:v>-465.37573358321606</c:v>
                </c:pt>
                <c:pt idx="77">
                  <c:v>-299.16990028220607</c:v>
                </c:pt>
                <c:pt idx="78">
                  <c:v>638.54438596814362</c:v>
                </c:pt>
                <c:pt idx="79">
                  <c:v>-152.25360211083898</c:v>
                </c:pt>
                <c:pt idx="80">
                  <c:v>-683.50965734427518</c:v>
                </c:pt>
                <c:pt idx="81">
                  <c:v>-134.17324692230432</c:v>
                </c:pt>
                <c:pt idx="82">
                  <c:v>-241.22609067769008</c:v>
                </c:pt>
                <c:pt idx="83">
                  <c:v>151.86843547679655</c:v>
                </c:pt>
                <c:pt idx="84">
                  <c:v>188.36484983722312</c:v>
                </c:pt>
                <c:pt idx="85">
                  <c:v>897.76484884712045</c:v>
                </c:pt>
                <c:pt idx="86">
                  <c:v>9.4470848061118886</c:v>
                </c:pt>
                <c:pt idx="87">
                  <c:v>-65.657115870546477</c:v>
                </c:pt>
                <c:pt idx="88">
                  <c:v>497.39504890266471</c:v>
                </c:pt>
                <c:pt idx="89">
                  <c:v>493.78088458975435</c:v>
                </c:pt>
                <c:pt idx="90">
                  <c:v>-942.84250822697504</c:v>
                </c:pt>
                <c:pt idx="91">
                  <c:v>13.566709404056382</c:v>
                </c:pt>
                <c:pt idx="92">
                  <c:v>1135.3879188445426</c:v>
                </c:pt>
                <c:pt idx="93">
                  <c:v>-348.5693705577014</c:v>
                </c:pt>
                <c:pt idx="94">
                  <c:v>-348.85286033430748</c:v>
                </c:pt>
                <c:pt idx="95">
                  <c:v>-303.69655476569187</c:v>
                </c:pt>
                <c:pt idx="96">
                  <c:v>-282.03185153090999</c:v>
                </c:pt>
                <c:pt idx="97">
                  <c:v>-137.15329540205312</c:v>
                </c:pt>
                <c:pt idx="98">
                  <c:v>-124.20443924787469</c:v>
                </c:pt>
                <c:pt idx="99">
                  <c:v>679.45881295506115</c:v>
                </c:pt>
                <c:pt idx="100">
                  <c:v>-598.87849436030774</c:v>
                </c:pt>
                <c:pt idx="101">
                  <c:v>153.87511033738883</c:v>
                </c:pt>
                <c:pt idx="102">
                  <c:v>-738.54610899356521</c:v>
                </c:pt>
                <c:pt idx="103">
                  <c:v>-274.29508823831202</c:v>
                </c:pt>
                <c:pt idx="104">
                  <c:v>110.72749627477242</c:v>
                </c:pt>
                <c:pt idx="105">
                  <c:v>-307.44740633366928</c:v>
                </c:pt>
                <c:pt idx="106">
                  <c:v>-1141.08924141231</c:v>
                </c:pt>
                <c:pt idx="107">
                  <c:v>-60.772752018532628</c:v>
                </c:pt>
                <c:pt idx="108">
                  <c:v>-496.38177712326251</c:v>
                </c:pt>
                <c:pt idx="109">
                  <c:v>-31.515048855776513</c:v>
                </c:pt>
                <c:pt idx="110">
                  <c:v>563.73820424093356</c:v>
                </c:pt>
                <c:pt idx="111">
                  <c:v>484.53568594364151</c:v>
                </c:pt>
                <c:pt idx="112">
                  <c:v>-366.75181558671284</c:v>
                </c:pt>
                <c:pt idx="113">
                  <c:v>113.09390277936291</c:v>
                </c:pt>
                <c:pt idx="114">
                  <c:v>-211.66670870892449</c:v>
                </c:pt>
                <c:pt idx="115">
                  <c:v>-271.23005170258511</c:v>
                </c:pt>
              </c:numCache>
            </c:numRef>
          </c:val>
          <c:smooth val="0"/>
          <c:extLst>
            <c:ext xmlns:c16="http://schemas.microsoft.com/office/drawing/2014/chart" uri="{C3380CC4-5D6E-409C-BE32-E72D297353CC}">
              <c16:uniqueId val="{00000000-D91E-4C56-A9D8-8688E5430D4E}"/>
            </c:ext>
          </c:extLst>
        </c:ser>
        <c:dLbls>
          <c:showLegendKey val="0"/>
          <c:showVal val="0"/>
          <c:showCatName val="0"/>
          <c:showSerName val="0"/>
          <c:showPercent val="0"/>
          <c:showBubbleSize val="0"/>
        </c:dLbls>
        <c:smooth val="0"/>
        <c:axId val="1742046448"/>
        <c:axId val="1742030128"/>
      </c:lineChart>
      <c:catAx>
        <c:axId val="1742046448"/>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742030128"/>
        <c:crosses val="autoZero"/>
        <c:auto val="1"/>
        <c:lblAlgn val="ctr"/>
        <c:lblOffset val="100"/>
        <c:noMultiLvlLbl val="0"/>
      </c:catAx>
      <c:valAx>
        <c:axId val="1742030128"/>
        <c:scaling>
          <c:orientation val="minMax"/>
        </c:scaling>
        <c:delete val="0"/>
        <c:axPos val="l"/>
        <c:numFmt formatCode="0.00" sourceLinked="0"/>
        <c:majorTickMark val="out"/>
        <c:minorTickMark val="none"/>
        <c:tickLblPos val="nextTo"/>
        <c:txPr>
          <a:bodyPr/>
          <a:lstStyle/>
          <a:p>
            <a:pPr>
              <a:defRPr sz="800" b="0"/>
            </a:pPr>
            <a:endParaRPr lang="en-US"/>
          </a:p>
        </c:txPr>
        <c:crossAx val="1742046448"/>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Forecast and Original Observations</a:t>
            </a:r>
          </a:p>
        </c:rich>
      </c:tx>
      <c:overlay val="0"/>
    </c:title>
    <c:autoTitleDeleted val="0"/>
    <c:plotArea>
      <c:layout/>
      <c:lineChart>
        <c:grouping val="standard"/>
        <c:varyColors val="0"/>
        <c:ser>
          <c:idx val="0"/>
          <c:order val="0"/>
          <c:tx>
            <c:v>North</c:v>
          </c:tx>
          <c:spPr>
            <a:ln>
              <a:solidFill>
                <a:srgbClr val="333399"/>
              </a:solidFill>
              <a:prstDash val="solid"/>
            </a:ln>
          </c:spPr>
          <c:marker>
            <c:symbol val="none"/>
          </c:marker>
          <c:cat>
            <c:strRef>
              <c:f>'Moving averages  DS(North)'!$A$146:$A$270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'Moving averages  DS(North)'!$B$146:$B$270</c:f>
              <c:numCache>
                <c:formatCode>0.00</c:formatCode>
                <c:ptCount val="125"/>
                <c:pt idx="0">
                  <c:v>6722</c:v>
                </c:pt>
                <c:pt idx="1">
                  <c:v>7266</c:v>
                </c:pt>
                <c:pt idx="2">
                  <c:v>8341</c:v>
                </c:pt>
                <c:pt idx="3">
                  <c:v>10213</c:v>
                </c:pt>
                <c:pt idx="4">
                  <c:v>11024</c:v>
                </c:pt>
                <c:pt idx="5">
                  <c:v>12501</c:v>
                </c:pt>
                <c:pt idx="6">
                  <c:v>14247</c:v>
                </c:pt>
                <c:pt idx="7">
                  <c:v>15045</c:v>
                </c:pt>
                <c:pt idx="8">
                  <c:v>13563</c:v>
                </c:pt>
                <c:pt idx="9">
                  <c:v>12887</c:v>
                </c:pt>
                <c:pt idx="10">
                  <c:v>11118</c:v>
                </c:pt>
                <c:pt idx="11">
                  <c:v>9484</c:v>
                </c:pt>
                <c:pt idx="12">
                  <c:v>7312</c:v>
                </c:pt>
                <c:pt idx="13">
                  <c:v>7790</c:v>
                </c:pt>
                <c:pt idx="14">
                  <c:v>7346</c:v>
                </c:pt>
                <c:pt idx="15">
                  <c:v>9951</c:v>
                </c:pt>
                <c:pt idx="16">
                  <c:v>9804</c:v>
                </c:pt>
                <c:pt idx="17">
                  <c:v>11158</c:v>
                </c:pt>
                <c:pt idx="18">
                  <c:v>13327</c:v>
                </c:pt>
                <c:pt idx="19">
                  <c:v>15167</c:v>
                </c:pt>
                <c:pt idx="20">
                  <c:v>14777</c:v>
                </c:pt>
                <c:pt idx="21">
                  <c:v>12486</c:v>
                </c:pt>
                <c:pt idx="22">
                  <c:v>12014</c:v>
                </c:pt>
                <c:pt idx="23">
                  <c:v>9619</c:v>
                </c:pt>
                <c:pt idx="24">
                  <c:v>7657</c:v>
                </c:pt>
                <c:pt idx="25">
                  <c:v>7914</c:v>
                </c:pt>
                <c:pt idx="26">
                  <c:v>7622</c:v>
                </c:pt>
                <c:pt idx="27">
                  <c:v>9501</c:v>
                </c:pt>
                <c:pt idx="28">
                  <c:v>9487</c:v>
                </c:pt>
                <c:pt idx="29">
                  <c:v>12667</c:v>
                </c:pt>
                <c:pt idx="30">
                  <c:v>13970</c:v>
                </c:pt>
                <c:pt idx="31">
                  <c:v>15183</c:v>
                </c:pt>
                <c:pt idx="32">
                  <c:v>14585</c:v>
                </c:pt>
                <c:pt idx="33">
                  <c:v>13024</c:v>
                </c:pt>
                <c:pt idx="34">
                  <c:v>11841</c:v>
                </c:pt>
                <c:pt idx="35">
                  <c:v>9120</c:v>
                </c:pt>
                <c:pt idx="36">
                  <c:v>7158</c:v>
                </c:pt>
                <c:pt idx="37">
                  <c:v>8923</c:v>
                </c:pt>
                <c:pt idx="38">
                  <c:v>9262</c:v>
                </c:pt>
                <c:pt idx="39">
                  <c:v>8734</c:v>
                </c:pt>
                <c:pt idx="40">
                  <c:v>10014</c:v>
                </c:pt>
                <c:pt idx="41">
                  <c:v>13052</c:v>
                </c:pt>
                <c:pt idx="42">
                  <c:v>14418</c:v>
                </c:pt>
                <c:pt idx="43">
                  <c:v>16075</c:v>
                </c:pt>
                <c:pt idx="44">
                  <c:v>14566</c:v>
                </c:pt>
                <c:pt idx="45">
                  <c:v>11815</c:v>
                </c:pt>
                <c:pt idx="46">
                  <c:v>12019</c:v>
                </c:pt>
                <c:pt idx="47">
                  <c:v>9754</c:v>
                </c:pt>
                <c:pt idx="48">
                  <c:v>6934</c:v>
                </c:pt>
                <c:pt idx="49">
                  <c:v>7675</c:v>
                </c:pt>
                <c:pt idx="50">
                  <c:v>8528</c:v>
                </c:pt>
                <c:pt idx="51">
                  <c:v>10118</c:v>
                </c:pt>
                <c:pt idx="52">
                  <c:v>11197</c:v>
                </c:pt>
                <c:pt idx="53">
                  <c:v>12917</c:v>
                </c:pt>
                <c:pt idx="54">
                  <c:v>13052</c:v>
                </c:pt>
                <c:pt idx="55">
                  <c:v>14445</c:v>
                </c:pt>
                <c:pt idx="56">
                  <c:v>14451</c:v>
                </c:pt>
                <c:pt idx="57">
                  <c:v>12037</c:v>
                </c:pt>
                <c:pt idx="58">
                  <c:v>10517</c:v>
                </c:pt>
                <c:pt idx="59">
                  <c:v>10013</c:v>
                </c:pt>
                <c:pt idx="60">
                  <c:v>7375</c:v>
                </c:pt>
                <c:pt idx="61">
                  <c:v>8185</c:v>
                </c:pt>
                <c:pt idx="62">
                  <c:v>8498</c:v>
                </c:pt>
                <c:pt idx="63">
                  <c:v>9690</c:v>
                </c:pt>
                <c:pt idx="64">
                  <c:v>10048</c:v>
                </c:pt>
                <c:pt idx="65">
                  <c:v>12811</c:v>
                </c:pt>
                <c:pt idx="66">
                  <c:v>11745</c:v>
                </c:pt>
                <c:pt idx="67">
                  <c:v>16120</c:v>
                </c:pt>
                <c:pt idx="68">
                  <c:v>13229</c:v>
                </c:pt>
                <c:pt idx="69">
                  <c:v>12419</c:v>
                </c:pt>
                <c:pt idx="70">
                  <c:v>11209</c:v>
                </c:pt>
                <c:pt idx="71">
                  <c:v>10227</c:v>
                </c:pt>
                <c:pt idx="72">
                  <c:v>7275</c:v>
                </c:pt>
                <c:pt idx="73">
                  <c:v>8200</c:v>
                </c:pt>
                <c:pt idx="74">
                  <c:v>7470</c:v>
                </c:pt>
                <c:pt idx="75">
                  <c:v>10347</c:v>
                </c:pt>
                <c:pt idx="76">
                  <c:v>10090</c:v>
                </c:pt>
                <c:pt idx="77">
                  <c:v>12014</c:v>
                </c:pt>
                <c:pt idx="78">
                  <c:v>13217</c:v>
                </c:pt>
                <c:pt idx="79">
                  <c:v>15777</c:v>
                </c:pt>
                <c:pt idx="80">
                  <c:v>14014</c:v>
                </c:pt>
                <c:pt idx="81">
                  <c:v>11875</c:v>
                </c:pt>
                <c:pt idx="82">
                  <c:v>11140</c:v>
                </c:pt>
                <c:pt idx="83">
                  <c:v>9117</c:v>
                </c:pt>
                <c:pt idx="84">
                  <c:v>7315</c:v>
                </c:pt>
                <c:pt idx="85">
                  <c:v>8128</c:v>
                </c:pt>
                <c:pt idx="86">
                  <c:v>9076</c:v>
                </c:pt>
                <c:pt idx="87">
                  <c:v>9826</c:v>
                </c:pt>
                <c:pt idx="88">
                  <c:v>10262</c:v>
                </c:pt>
                <c:pt idx="89">
                  <c:v>13074</c:v>
                </c:pt>
                <c:pt idx="90">
                  <c:v>14261</c:v>
                </c:pt>
                <c:pt idx="91">
                  <c:v>14601</c:v>
                </c:pt>
                <c:pt idx="92">
                  <c:v>14353</c:v>
                </c:pt>
                <c:pt idx="93">
                  <c:v>13868</c:v>
                </c:pt>
                <c:pt idx="94">
                  <c:v>11311</c:v>
                </c:pt>
                <c:pt idx="95">
                  <c:v>9305</c:v>
                </c:pt>
                <c:pt idx="96">
                  <c:v>7075</c:v>
                </c:pt>
                <c:pt idx="97">
                  <c:v>7826</c:v>
                </c:pt>
                <c:pt idx="98">
                  <c:v>8147</c:v>
                </c:pt>
                <c:pt idx="99">
                  <c:v>9648</c:v>
                </c:pt>
                <c:pt idx="100">
                  <c:v>10941</c:v>
                </c:pt>
                <c:pt idx="101">
                  <c:v>12023</c:v>
                </c:pt>
                <c:pt idx="102">
                  <c:v>13805</c:v>
                </c:pt>
                <c:pt idx="103">
                  <c:v>14622</c:v>
                </c:pt>
                <c:pt idx="104">
                  <c:v>13921</c:v>
                </c:pt>
                <c:pt idx="105">
                  <c:v>12680</c:v>
                </c:pt>
                <c:pt idx="106">
                  <c:v>11076</c:v>
                </c:pt>
                <c:pt idx="107">
                  <c:v>8288</c:v>
                </c:pt>
                <c:pt idx="108">
                  <c:v>7061</c:v>
                </c:pt>
                <c:pt idx="109">
                  <c:v>7365</c:v>
                </c:pt>
                <c:pt idx="110">
                  <c:v>7969</c:v>
                </c:pt>
                <c:pt idx="111">
                  <c:v>10018</c:v>
                </c:pt>
                <c:pt idx="112">
                  <c:v>10512</c:v>
                </c:pt>
                <c:pt idx="113">
                  <c:v>11937</c:v>
                </c:pt>
                <c:pt idx="114">
                  <c:v>13453</c:v>
                </c:pt>
                <c:pt idx="115">
                  <c:v>14793</c:v>
                </c:pt>
                <c:pt idx="116">
                  <c:v>13661</c:v>
                </c:pt>
              </c:numCache>
            </c:numRef>
          </c:val>
          <c:smooth val="0"/>
          <c:extLst>
            <c:ext xmlns:c16="http://schemas.microsoft.com/office/drawing/2014/chart" uri="{C3380CC4-5D6E-409C-BE32-E72D297353CC}">
              <c16:uniqueId val="{00000000-3A10-4FFA-9C21-4467750D479C}"/>
            </c:ext>
          </c:extLst>
        </c:ser>
        <c:ser>
          <c:idx val="1"/>
          <c:order val="1"/>
          <c:tx>
            <c:v>Forecast</c:v>
          </c:tx>
          <c:spPr>
            <a:ln>
              <a:solidFill>
                <a:srgbClr val="993366"/>
              </a:solidFill>
              <a:prstDash val="solid"/>
            </a:ln>
          </c:spPr>
          <c:marker>
            <c:symbol val="none"/>
          </c:marker>
          <c:cat>
            <c:strRef>
              <c:f>'Moving averages  DS(North)'!$A$146:$A$270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'Moving averages  DS(North)'!$G$146:$G$270</c:f>
              <c:numCache>
                <c:formatCode>0.00</c:formatCode>
                <c:ptCount val="125"/>
                <c:pt idx="4">
                  <c:v>9962.4494253120265</c:v>
                </c:pt>
                <c:pt idx="5">
                  <c:v>12610.911790623879</c:v>
                </c:pt>
                <c:pt idx="6">
                  <c:v>14053.599414844846</c:v>
                </c:pt>
                <c:pt idx="7">
                  <c:v>15923.775789251666</c:v>
                </c:pt>
                <c:pt idx="8">
                  <c:v>14588.758752006252</c:v>
                </c:pt>
                <c:pt idx="9">
                  <c:v>12569.421284235046</c:v>
                </c:pt>
                <c:pt idx="10">
                  <c:v>11427.910773329324</c:v>
                </c:pt>
                <c:pt idx="11">
                  <c:v>9326.8918006076347</c:v>
                </c:pt>
                <c:pt idx="12">
                  <c:v>7191.2231028723736</c:v>
                </c:pt>
                <c:pt idx="13">
                  <c:v>8045.4266177867294</c:v>
                </c:pt>
                <c:pt idx="14">
                  <c:v>8147.7044336506415</c:v>
                </c:pt>
                <c:pt idx="15">
                  <c:v>9423.2686427986609</c:v>
                </c:pt>
                <c:pt idx="16">
                  <c:v>9959.3833759808895</c:v>
                </c:pt>
                <c:pt idx="17">
                  <c:v>11982.26293593996</c:v>
                </c:pt>
                <c:pt idx="18">
                  <c:v>12782.38625173652</c:v>
                </c:pt>
                <c:pt idx="19">
                  <c:v>14698.229294515955</c:v>
                </c:pt>
                <c:pt idx="20">
                  <c:v>13572.727349639526</c:v>
                </c:pt>
                <c:pt idx="21">
                  <c:v>12311.978760975733</c:v>
                </c:pt>
                <c:pt idx="22">
                  <c:v>11410.793509974215</c:v>
                </c:pt>
                <c:pt idx="23">
                  <c:v>9659.0997924839412</c:v>
                </c:pt>
                <c:pt idx="24">
                  <c:v>7457.7219624266518</c:v>
                </c:pt>
                <c:pt idx="25">
                  <c:v>8263.3796315653908</c:v>
                </c:pt>
                <c:pt idx="26">
                  <c:v>8468.8223617139429</c:v>
                </c:pt>
                <c:pt idx="27">
                  <c:v>9692.7578778168427</c:v>
                </c:pt>
                <c:pt idx="28">
                  <c:v>10087.944224008334</c:v>
                </c:pt>
                <c:pt idx="29">
                  <c:v>11894.235942713965</c:v>
                </c:pt>
                <c:pt idx="30">
                  <c:v>13044.721528299599</c:v>
                </c:pt>
                <c:pt idx="31">
                  <c:v>15045.669145848682</c:v>
                </c:pt>
                <c:pt idx="32">
                  <c:v>14063.447293879852</c:v>
                </c:pt>
                <c:pt idx="33">
                  <c:v>12802.339533479457</c:v>
                </c:pt>
                <c:pt idx="34">
                  <c:v>11631.636519411757</c:v>
                </c:pt>
                <c:pt idx="35">
                  <c:v>9694.7025927923733</c:v>
                </c:pt>
                <c:pt idx="36">
                  <c:v>7387.3576251018549</c:v>
                </c:pt>
                <c:pt idx="37">
                  <c:v>8074.9836352056436</c:v>
                </c:pt>
                <c:pt idx="38">
                  <c:v>8446.336311398587</c:v>
                </c:pt>
                <c:pt idx="39">
                  <c:v>10187.779441686216</c:v>
                </c:pt>
                <c:pt idx="40">
                  <c:v>10541.874988683086</c:v>
                </c:pt>
                <c:pt idx="41">
                  <c:v>12822.075486079162</c:v>
                </c:pt>
                <c:pt idx="42">
                  <c:v>13732.571688413062</c:v>
                </c:pt>
                <c:pt idx="43">
                  <c:v>15185.013797173113</c:v>
                </c:pt>
                <c:pt idx="44">
                  <c:v>14679.744674795265</c:v>
                </c:pt>
                <c:pt idx="45">
                  <c:v>13183.143684577744</c:v>
                </c:pt>
                <c:pt idx="46">
                  <c:v>11614.853868049066</c:v>
                </c:pt>
                <c:pt idx="47">
                  <c:v>9639.7024199629741</c:v>
                </c:pt>
                <c:pt idx="48">
                  <c:v>7360.5972444355193</c:v>
                </c:pt>
                <c:pt idx="49">
                  <c:v>7986.2387670125718</c:v>
                </c:pt>
                <c:pt idx="50">
                  <c:v>8232.839803531926</c:v>
                </c:pt>
                <c:pt idx="51">
                  <c:v>9680.4806317442908</c:v>
                </c:pt>
                <c:pt idx="52">
                  <c:v>10200.713939977844</c:v>
                </c:pt>
                <c:pt idx="53">
                  <c:v>12862.908552657991</c:v>
                </c:pt>
                <c:pt idx="54">
                  <c:v>14268.077531030778</c:v>
                </c:pt>
                <c:pt idx="55">
                  <c:v>15742.588440122034</c:v>
                </c:pt>
                <c:pt idx="56">
                  <c:v>14315.336168751977</c:v>
                </c:pt>
                <c:pt idx="57">
                  <c:v>12470.611077937399</c:v>
                </c:pt>
                <c:pt idx="58">
                  <c:v>11051.518954069978</c:v>
                </c:pt>
                <c:pt idx="59">
                  <c:v>9097.3280571313717</c:v>
                </c:pt>
                <c:pt idx="60">
                  <c:v>7187.9555604700681</c:v>
                </c:pt>
                <c:pt idx="61">
                  <c:v>7933.5795301321086</c:v>
                </c:pt>
                <c:pt idx="62">
                  <c:v>8273.3305461388973</c:v>
                </c:pt>
                <c:pt idx="63">
                  <c:v>10040.683247241683</c:v>
                </c:pt>
                <c:pt idx="64">
                  <c:v>10396.900824356175</c:v>
                </c:pt>
                <c:pt idx="65">
                  <c:v>12562.631093496067</c:v>
                </c:pt>
                <c:pt idx="66">
                  <c:v>13696.742138258556</c:v>
                </c:pt>
                <c:pt idx="67">
                  <c:v>14747.828051297771</c:v>
                </c:pt>
                <c:pt idx="68">
                  <c:v>13935.480801817599</c:v>
                </c:pt>
                <c:pt idx="69">
                  <c:v>12215.46703379375</c:v>
                </c:pt>
                <c:pt idx="70">
                  <c:v>10931.33731624533</c:v>
                </c:pt>
                <c:pt idx="71">
                  <c:v>9368.8963030739615</c:v>
                </c:pt>
                <c:pt idx="72">
                  <c:v>7238.0853763760078</c:v>
                </c:pt>
                <c:pt idx="73">
                  <c:v>8134.2359706222014</c:v>
                </c:pt>
                <c:pt idx="74">
                  <c:v>8420.6222037539446</c:v>
                </c:pt>
                <c:pt idx="75">
                  <c:v>9763.0256208617884</c:v>
                </c:pt>
                <c:pt idx="76">
                  <c:v>10219.740896660362</c:v>
                </c:pt>
                <c:pt idx="77">
                  <c:v>12402.496015799261</c:v>
                </c:pt>
                <c:pt idx="78">
                  <c:v>13299.260703008986</c:v>
                </c:pt>
                <c:pt idx="79">
                  <c:v>15190.462478808664</c:v>
                </c:pt>
                <c:pt idx="80">
                  <c:v>14028.150331884895</c:v>
                </c:pt>
                <c:pt idx="81">
                  <c:v>12458.986973595041</c:v>
                </c:pt>
                <c:pt idx="82">
                  <c:v>11210.353554565419</c:v>
                </c:pt>
                <c:pt idx="83">
                  <c:v>9330.0558082112293</c:v>
                </c:pt>
                <c:pt idx="84">
                  <c:v>7036.0112077749272</c:v>
                </c:pt>
                <c:pt idx="85">
                  <c:v>7810.9690569766717</c:v>
                </c:pt>
                <c:pt idx="86">
                  <c:v>8159.3699086957267</c:v>
                </c:pt>
                <c:pt idx="87">
                  <c:v>9943.5483033178734</c:v>
                </c:pt>
                <c:pt idx="88">
                  <c:v>10572.939651369046</c:v>
                </c:pt>
                <c:pt idx="89">
                  <c:v>12868.068815502364</c:v>
                </c:pt>
                <c:pt idx="90">
                  <c:v>14124.831411336136</c:v>
                </c:pt>
                <c:pt idx="91">
                  <c:v>15667.559112406403</c:v>
                </c:pt>
                <c:pt idx="92">
                  <c:v>14388.159330313027</c:v>
                </c:pt>
                <c:pt idx="93">
                  <c:v>12800.866381486998</c:v>
                </c:pt>
                <c:pt idx="94">
                  <c:v>11728.269027966695</c:v>
                </c:pt>
                <c:pt idx="95">
                  <c:v>9614.2014299365273</c:v>
                </c:pt>
                <c:pt idx="96">
                  <c:v>7430.3737597263926</c:v>
                </c:pt>
                <c:pt idx="97">
                  <c:v>8132.4073388978732</c:v>
                </c:pt>
                <c:pt idx="98">
                  <c:v>8085.712260038812</c:v>
                </c:pt>
                <c:pt idx="99">
                  <c:v>9545.4095792237185</c:v>
                </c:pt>
                <c:pt idx="100">
                  <c:v>10056.599493631355</c:v>
                </c:pt>
                <c:pt idx="101">
                  <c:v>12548.801676682282</c:v>
                </c:pt>
                <c:pt idx="102">
                  <c:v>13619.111583162989</c:v>
                </c:pt>
                <c:pt idx="103">
                  <c:v>15401.478050290461</c:v>
                </c:pt>
                <c:pt idx="104">
                  <c:v>14210.395222909134</c:v>
                </c:pt>
                <c:pt idx="105">
                  <c:v>12338.552142956765</c:v>
                </c:pt>
                <c:pt idx="106">
                  <c:v>11281.378542334303</c:v>
                </c:pt>
                <c:pt idx="107">
                  <c:v>9273.3658140740135</c:v>
                </c:pt>
                <c:pt idx="108">
                  <c:v>6970.8893920961591</c:v>
                </c:pt>
                <c:pt idx="109">
                  <c:v>7682.0266136447908</c:v>
                </c:pt>
                <c:pt idx="110">
                  <c:v>7699.5509775394257</c:v>
                </c:pt>
                <c:pt idx="111">
                  <c:v>9086.6422328737608</c:v>
                </c:pt>
                <c:pt idx="112">
                  <c:v>9946.6072793073236</c:v>
                </c:pt>
                <c:pt idx="113">
                  <c:v>12290.115039896587</c:v>
                </c:pt>
                <c:pt idx="114">
                  <c:v>13509.133162240083</c:v>
                </c:pt>
                <c:pt idx="115">
                  <c:v>15261.503647212296</c:v>
                </c:pt>
                <c:pt idx="116">
                  <c:v>13985.237319805921</c:v>
                </c:pt>
                <c:pt idx="117">
                  <c:v>12212.875140062164</c:v>
                </c:pt>
                <c:pt idx="118">
                  <c:v>11081.749592774124</c:v>
                </c:pt>
                <c:pt idx="119">
                  <c:v>9169.9527502108249</c:v>
                </c:pt>
                <c:pt idx="120">
                  <c:v>7040.4279132615957</c:v>
                </c:pt>
                <c:pt idx="121">
                  <c:v>7789.9560764703574</c:v>
                </c:pt>
                <c:pt idx="122">
                  <c:v>7995.7868079291493</c:v>
                </c:pt>
                <c:pt idx="123">
                  <c:v>9443.465858377589</c:v>
                </c:pt>
                <c:pt idx="124">
                  <c:v>9932.1652148878366</c:v>
                </c:pt>
              </c:numCache>
            </c:numRef>
          </c:val>
          <c:smooth val="0"/>
          <c:extLst>
            <c:ext xmlns:c16="http://schemas.microsoft.com/office/drawing/2014/chart" uri="{C3380CC4-5D6E-409C-BE32-E72D297353CC}">
              <c16:uniqueId val="{00000001-3A10-4FFA-9C21-4467750D479C}"/>
            </c:ext>
          </c:extLst>
        </c:ser>
        <c:dLbls>
          <c:showLegendKey val="0"/>
          <c:showVal val="0"/>
          <c:showCatName val="0"/>
          <c:showSerName val="0"/>
          <c:showPercent val="0"/>
          <c:showBubbleSize val="0"/>
        </c:dLbls>
        <c:smooth val="0"/>
        <c:axId val="1544454767"/>
        <c:axId val="1414874703"/>
      </c:lineChart>
      <c:catAx>
        <c:axId val="1544454767"/>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414874703"/>
        <c:crosses val="autoZero"/>
        <c:auto val="1"/>
        <c:lblAlgn val="ctr"/>
        <c:lblOffset val="100"/>
        <c:noMultiLvlLbl val="0"/>
      </c:catAx>
      <c:valAx>
        <c:axId val="1414874703"/>
        <c:scaling>
          <c:orientation val="minMax"/>
        </c:scaling>
        <c:delete val="0"/>
        <c:axPos val="l"/>
        <c:numFmt formatCode="0.00" sourceLinked="0"/>
        <c:majorTickMark val="out"/>
        <c:minorTickMark val="none"/>
        <c:tickLblPos val="nextTo"/>
        <c:txPr>
          <a:bodyPr/>
          <a:lstStyle/>
          <a:p>
            <a:pPr>
              <a:defRPr sz="800" b="0"/>
            </a:pPr>
            <a:endParaRPr lang="en-US"/>
          </a:p>
        </c:txPr>
        <c:crossAx val="1544454767"/>
        <c:crosses val="autoZero"/>
        <c:crossBetween val="between"/>
      </c:valAx>
    </c:plotArea>
    <c:legend>
      <c:legendPos val="r"/>
      <c:overlay val="0"/>
      <c:spPr>
        <a:ln>
          <a:solidFill>
            <a:srgbClr val="000000"/>
          </a:solidFill>
          <a:prstDash val="solid"/>
        </a:ln>
      </c:sp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Original Observations</a:t>
            </a:r>
          </a:p>
        </c:rich>
      </c:tx>
      <c:overlay val="0"/>
    </c:title>
    <c:autoTitleDeleted val="0"/>
    <c:plotArea>
      <c:layout/>
      <c:lineChart>
        <c:grouping val="standard"/>
        <c:varyColors val="0"/>
        <c:ser>
          <c:idx val="0"/>
          <c:order val="0"/>
          <c:tx>
            <c:v>North</c:v>
          </c:tx>
          <c:spPr>
            <a:ln>
              <a:solidFill>
                <a:srgbClr val="333399"/>
              </a:solidFill>
              <a:prstDash val="solid"/>
            </a:ln>
          </c:spPr>
          <c:marker>
            <c:symbol val="none"/>
          </c:marker>
          <c:cat>
            <c:strRef>
              <c:f>'Moving averages  DS(North)'!$A$146:$A$262</c:f>
              <c:strCache>
                <c:ptCount val="117"/>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strCache>
            </c:strRef>
          </c:cat>
          <c:val>
            <c:numRef>
              <c:f>'Moving averages  DS(North)'!$B$146:$B$262</c:f>
              <c:numCache>
                <c:formatCode>0.00</c:formatCode>
                <c:ptCount val="117"/>
                <c:pt idx="0">
                  <c:v>6722</c:v>
                </c:pt>
                <c:pt idx="1">
                  <c:v>7266</c:v>
                </c:pt>
                <c:pt idx="2">
                  <c:v>8341</c:v>
                </c:pt>
                <c:pt idx="3">
                  <c:v>10213</c:v>
                </c:pt>
                <c:pt idx="4">
                  <c:v>11024</c:v>
                </c:pt>
                <c:pt idx="5">
                  <c:v>12501</c:v>
                </c:pt>
                <c:pt idx="6">
                  <c:v>14247</c:v>
                </c:pt>
                <c:pt idx="7">
                  <c:v>15045</c:v>
                </c:pt>
                <c:pt idx="8">
                  <c:v>13563</c:v>
                </c:pt>
                <c:pt idx="9">
                  <c:v>12887</c:v>
                </c:pt>
                <c:pt idx="10">
                  <c:v>11118</c:v>
                </c:pt>
                <c:pt idx="11">
                  <c:v>9484</c:v>
                </c:pt>
                <c:pt idx="12">
                  <c:v>7312</c:v>
                </c:pt>
                <c:pt idx="13">
                  <c:v>7790</c:v>
                </c:pt>
                <c:pt idx="14">
                  <c:v>7346</c:v>
                </c:pt>
                <c:pt idx="15">
                  <c:v>9951</c:v>
                </c:pt>
                <c:pt idx="16">
                  <c:v>9804</c:v>
                </c:pt>
                <c:pt idx="17">
                  <c:v>11158</c:v>
                </c:pt>
                <c:pt idx="18">
                  <c:v>13327</c:v>
                </c:pt>
                <c:pt idx="19">
                  <c:v>15167</c:v>
                </c:pt>
                <c:pt idx="20">
                  <c:v>14777</c:v>
                </c:pt>
                <c:pt idx="21">
                  <c:v>12486</c:v>
                </c:pt>
                <c:pt idx="22">
                  <c:v>12014</c:v>
                </c:pt>
                <c:pt idx="23">
                  <c:v>9619</c:v>
                </c:pt>
                <c:pt idx="24">
                  <c:v>7657</c:v>
                </c:pt>
                <c:pt idx="25">
                  <c:v>7914</c:v>
                </c:pt>
                <c:pt idx="26">
                  <c:v>7622</c:v>
                </c:pt>
                <c:pt idx="27">
                  <c:v>9501</c:v>
                </c:pt>
                <c:pt idx="28">
                  <c:v>9487</c:v>
                </c:pt>
                <c:pt idx="29">
                  <c:v>12667</c:v>
                </c:pt>
                <c:pt idx="30">
                  <c:v>13970</c:v>
                </c:pt>
                <c:pt idx="31">
                  <c:v>15183</c:v>
                </c:pt>
                <c:pt idx="32">
                  <c:v>14585</c:v>
                </c:pt>
                <c:pt idx="33">
                  <c:v>13024</c:v>
                </c:pt>
                <c:pt idx="34">
                  <c:v>11841</c:v>
                </c:pt>
                <c:pt idx="35">
                  <c:v>9120</c:v>
                </c:pt>
                <c:pt idx="36">
                  <c:v>7158</c:v>
                </c:pt>
                <c:pt idx="37">
                  <c:v>8923</c:v>
                </c:pt>
                <c:pt idx="38">
                  <c:v>9262</c:v>
                </c:pt>
                <c:pt idx="39">
                  <c:v>8734</c:v>
                </c:pt>
                <c:pt idx="40">
                  <c:v>10014</c:v>
                </c:pt>
                <c:pt idx="41">
                  <c:v>13052</c:v>
                </c:pt>
                <c:pt idx="42">
                  <c:v>14418</c:v>
                </c:pt>
                <c:pt idx="43">
                  <c:v>16075</c:v>
                </c:pt>
                <c:pt idx="44">
                  <c:v>14566</c:v>
                </c:pt>
                <c:pt idx="45">
                  <c:v>11815</c:v>
                </c:pt>
                <c:pt idx="46">
                  <c:v>12019</c:v>
                </c:pt>
                <c:pt idx="47">
                  <c:v>9754</c:v>
                </c:pt>
                <c:pt idx="48">
                  <c:v>6934</c:v>
                </c:pt>
                <c:pt idx="49">
                  <c:v>7675</c:v>
                </c:pt>
                <c:pt idx="50">
                  <c:v>8528</c:v>
                </c:pt>
                <c:pt idx="51">
                  <c:v>10118</c:v>
                </c:pt>
                <c:pt idx="52">
                  <c:v>11197</c:v>
                </c:pt>
                <c:pt idx="53">
                  <c:v>12917</c:v>
                </c:pt>
                <c:pt idx="54">
                  <c:v>13052</c:v>
                </c:pt>
                <c:pt idx="55">
                  <c:v>14445</c:v>
                </c:pt>
                <c:pt idx="56">
                  <c:v>14451</c:v>
                </c:pt>
                <c:pt idx="57">
                  <c:v>12037</c:v>
                </c:pt>
                <c:pt idx="58">
                  <c:v>10517</c:v>
                </c:pt>
                <c:pt idx="59">
                  <c:v>10013</c:v>
                </c:pt>
                <c:pt idx="60">
                  <c:v>7375</c:v>
                </c:pt>
                <c:pt idx="61">
                  <c:v>8185</c:v>
                </c:pt>
                <c:pt idx="62">
                  <c:v>8498</c:v>
                </c:pt>
                <c:pt idx="63">
                  <c:v>9690</c:v>
                </c:pt>
                <c:pt idx="64">
                  <c:v>10048</c:v>
                </c:pt>
                <c:pt idx="65">
                  <c:v>12811</c:v>
                </c:pt>
                <c:pt idx="66">
                  <c:v>11745</c:v>
                </c:pt>
                <c:pt idx="67">
                  <c:v>16120</c:v>
                </c:pt>
                <c:pt idx="68">
                  <c:v>13229</c:v>
                </c:pt>
                <c:pt idx="69">
                  <c:v>12419</c:v>
                </c:pt>
                <c:pt idx="70">
                  <c:v>11209</c:v>
                </c:pt>
                <c:pt idx="71">
                  <c:v>10227</c:v>
                </c:pt>
                <c:pt idx="72">
                  <c:v>7275</c:v>
                </c:pt>
                <c:pt idx="73">
                  <c:v>8200</c:v>
                </c:pt>
                <c:pt idx="74">
                  <c:v>7470</c:v>
                </c:pt>
                <c:pt idx="75">
                  <c:v>10347</c:v>
                </c:pt>
                <c:pt idx="76">
                  <c:v>10090</c:v>
                </c:pt>
                <c:pt idx="77">
                  <c:v>12014</c:v>
                </c:pt>
                <c:pt idx="78">
                  <c:v>13217</c:v>
                </c:pt>
                <c:pt idx="79">
                  <c:v>15777</c:v>
                </c:pt>
                <c:pt idx="80">
                  <c:v>14014</c:v>
                </c:pt>
                <c:pt idx="81">
                  <c:v>11875</c:v>
                </c:pt>
                <c:pt idx="82">
                  <c:v>11140</c:v>
                </c:pt>
                <c:pt idx="83">
                  <c:v>9117</c:v>
                </c:pt>
                <c:pt idx="84">
                  <c:v>7315</c:v>
                </c:pt>
                <c:pt idx="85">
                  <c:v>8128</c:v>
                </c:pt>
                <c:pt idx="86">
                  <c:v>9076</c:v>
                </c:pt>
                <c:pt idx="87">
                  <c:v>9826</c:v>
                </c:pt>
                <c:pt idx="88">
                  <c:v>10262</c:v>
                </c:pt>
                <c:pt idx="89">
                  <c:v>13074</c:v>
                </c:pt>
                <c:pt idx="90">
                  <c:v>14261</c:v>
                </c:pt>
                <c:pt idx="91">
                  <c:v>14601</c:v>
                </c:pt>
                <c:pt idx="92">
                  <c:v>14353</c:v>
                </c:pt>
                <c:pt idx="93">
                  <c:v>13868</c:v>
                </c:pt>
                <c:pt idx="94">
                  <c:v>11311</c:v>
                </c:pt>
                <c:pt idx="95">
                  <c:v>9305</c:v>
                </c:pt>
                <c:pt idx="96">
                  <c:v>7075</c:v>
                </c:pt>
                <c:pt idx="97">
                  <c:v>7826</c:v>
                </c:pt>
                <c:pt idx="98">
                  <c:v>8147</c:v>
                </c:pt>
                <c:pt idx="99">
                  <c:v>9648</c:v>
                </c:pt>
                <c:pt idx="100">
                  <c:v>10941</c:v>
                </c:pt>
                <c:pt idx="101">
                  <c:v>12023</c:v>
                </c:pt>
                <c:pt idx="102">
                  <c:v>13805</c:v>
                </c:pt>
                <c:pt idx="103">
                  <c:v>14622</c:v>
                </c:pt>
                <c:pt idx="104">
                  <c:v>13921</c:v>
                </c:pt>
                <c:pt idx="105">
                  <c:v>12680</c:v>
                </c:pt>
                <c:pt idx="106">
                  <c:v>11076</c:v>
                </c:pt>
                <c:pt idx="107">
                  <c:v>8288</c:v>
                </c:pt>
                <c:pt idx="108">
                  <c:v>7061</c:v>
                </c:pt>
                <c:pt idx="109">
                  <c:v>7365</c:v>
                </c:pt>
                <c:pt idx="110">
                  <c:v>7969</c:v>
                </c:pt>
                <c:pt idx="111">
                  <c:v>10018</c:v>
                </c:pt>
                <c:pt idx="112">
                  <c:v>10512</c:v>
                </c:pt>
                <c:pt idx="113">
                  <c:v>11937</c:v>
                </c:pt>
                <c:pt idx="114">
                  <c:v>13453</c:v>
                </c:pt>
                <c:pt idx="115">
                  <c:v>14793</c:v>
                </c:pt>
                <c:pt idx="116">
                  <c:v>13661</c:v>
                </c:pt>
              </c:numCache>
            </c:numRef>
          </c:val>
          <c:smooth val="0"/>
          <c:extLst>
            <c:ext xmlns:c16="http://schemas.microsoft.com/office/drawing/2014/chart" uri="{C3380CC4-5D6E-409C-BE32-E72D297353CC}">
              <c16:uniqueId val="{00000000-60DA-4357-9BD4-2DCC7499E248}"/>
            </c:ext>
          </c:extLst>
        </c:ser>
        <c:dLbls>
          <c:showLegendKey val="0"/>
          <c:showVal val="0"/>
          <c:showCatName val="0"/>
          <c:showSerName val="0"/>
          <c:showPercent val="0"/>
          <c:showBubbleSize val="0"/>
        </c:dLbls>
        <c:smooth val="0"/>
        <c:axId val="1414873263"/>
        <c:axId val="1414875663"/>
      </c:lineChart>
      <c:catAx>
        <c:axId val="1414873263"/>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414875663"/>
        <c:crosses val="autoZero"/>
        <c:auto val="1"/>
        <c:lblAlgn val="ctr"/>
        <c:lblOffset val="100"/>
        <c:noMultiLvlLbl val="0"/>
      </c:catAx>
      <c:valAx>
        <c:axId val="1414875663"/>
        <c:scaling>
          <c:orientation val="minMax"/>
        </c:scaling>
        <c:delete val="0"/>
        <c:axPos val="l"/>
        <c:numFmt formatCode="0.00" sourceLinked="0"/>
        <c:majorTickMark val="out"/>
        <c:minorTickMark val="none"/>
        <c:tickLblPos val="nextTo"/>
        <c:txPr>
          <a:bodyPr/>
          <a:lstStyle/>
          <a:p>
            <a:pPr>
              <a:defRPr sz="800" b="0"/>
            </a:pPr>
            <a:endParaRPr lang="en-US"/>
          </a:p>
        </c:txPr>
        <c:crossAx val="1414873263"/>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Forecast Errors</a:t>
            </a:r>
          </a:p>
        </c:rich>
      </c:tx>
      <c:overlay val="0"/>
    </c:title>
    <c:autoTitleDeleted val="0"/>
    <c:plotArea>
      <c:layout/>
      <c:lineChart>
        <c:grouping val="standard"/>
        <c:varyColors val="0"/>
        <c:ser>
          <c:idx val="0"/>
          <c:order val="0"/>
          <c:tx>
            <c:v>Errors</c:v>
          </c:tx>
          <c:spPr>
            <a:ln>
              <a:solidFill>
                <a:srgbClr val="333399"/>
              </a:solidFill>
              <a:prstDash val="solid"/>
            </a:ln>
          </c:spPr>
          <c:marker>
            <c:symbol val="none"/>
          </c:marker>
          <c:cat>
            <c:strRef>
              <c:f>'Moving averages  DS(North)'!$A$146:$A$262</c:f>
              <c:strCache>
                <c:ptCount val="117"/>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strCache>
            </c:strRef>
          </c:cat>
          <c:val>
            <c:numRef>
              <c:f>'Moving averages  DS(North)'!$H$150:$H$270</c:f>
              <c:numCache>
                <c:formatCode>0.00</c:formatCode>
                <c:ptCount val="121"/>
                <c:pt idx="0">
                  <c:v>1061.5505746879735</c:v>
                </c:pt>
                <c:pt idx="1">
                  <c:v>-109.91179062387891</c:v>
                </c:pt>
                <c:pt idx="2">
                  <c:v>193.40058515515375</c:v>
                </c:pt>
                <c:pt idx="3">
                  <c:v>-878.77578925166563</c:v>
                </c:pt>
                <c:pt idx="4">
                  <c:v>-1025.7587520062516</c:v>
                </c:pt>
                <c:pt idx="5">
                  <c:v>317.57871576495381</c:v>
                </c:pt>
                <c:pt idx="6">
                  <c:v>-309.910773329324</c:v>
                </c:pt>
                <c:pt idx="7">
                  <c:v>157.10819939236535</c:v>
                </c:pt>
                <c:pt idx="8">
                  <c:v>120.7768971276264</c:v>
                </c:pt>
                <c:pt idx="9">
                  <c:v>-255.42661778672937</c:v>
                </c:pt>
                <c:pt idx="10">
                  <c:v>-801.70443365064148</c:v>
                </c:pt>
                <c:pt idx="11">
                  <c:v>527.73135720133905</c:v>
                </c:pt>
                <c:pt idx="12">
                  <c:v>-155.38337598088947</c:v>
                </c:pt>
                <c:pt idx="13">
                  <c:v>-824.26293593995979</c:v>
                </c:pt>
                <c:pt idx="14">
                  <c:v>544.61374826348037</c:v>
                </c:pt>
                <c:pt idx="15">
                  <c:v>468.77070548404481</c:v>
                </c:pt>
                <c:pt idx="16">
                  <c:v>1204.2726503604736</c:v>
                </c:pt>
                <c:pt idx="17">
                  <c:v>174.02123902426683</c:v>
                </c:pt>
                <c:pt idx="18">
                  <c:v>603.20649002578466</c:v>
                </c:pt>
                <c:pt idx="19">
                  <c:v>-40.099792483941201</c:v>
                </c:pt>
                <c:pt idx="20">
                  <c:v>199.27803757334823</c:v>
                </c:pt>
                <c:pt idx="21">
                  <c:v>-349.37963156539081</c:v>
                </c:pt>
                <c:pt idx="22">
                  <c:v>-846.82236171394288</c:v>
                </c:pt>
                <c:pt idx="23">
                  <c:v>-191.75787781684267</c:v>
                </c:pt>
                <c:pt idx="24">
                  <c:v>-600.94422400833355</c:v>
                </c:pt>
                <c:pt idx="25">
                  <c:v>772.76405728603459</c:v>
                </c:pt>
                <c:pt idx="26">
                  <c:v>925.2784717004015</c:v>
                </c:pt>
                <c:pt idx="27">
                  <c:v>137.33085415131791</c:v>
                </c:pt>
                <c:pt idx="28">
                  <c:v>521.55270612014829</c:v>
                </c:pt>
                <c:pt idx="29">
                  <c:v>221.6604665205432</c:v>
                </c:pt>
                <c:pt idx="30">
                  <c:v>209.36348058824296</c:v>
                </c:pt>
                <c:pt idx="31">
                  <c:v>-574.70259279237325</c:v>
                </c:pt>
                <c:pt idx="32">
                  <c:v>-229.35762510185486</c:v>
                </c:pt>
                <c:pt idx="33">
                  <c:v>848.01636479435638</c:v>
                </c:pt>
                <c:pt idx="34">
                  <c:v>815.66368860141301</c:v>
                </c:pt>
                <c:pt idx="35">
                  <c:v>-1453.7794416862162</c:v>
                </c:pt>
                <c:pt idx="36">
                  <c:v>-527.87498868308649</c:v>
                </c:pt>
                <c:pt idx="37">
                  <c:v>229.92451392083785</c:v>
                </c:pt>
                <c:pt idx="38">
                  <c:v>685.42831158693843</c:v>
                </c:pt>
                <c:pt idx="39">
                  <c:v>889.98620282688717</c:v>
                </c:pt>
                <c:pt idx="40">
                  <c:v>-113.74467479526538</c:v>
                </c:pt>
                <c:pt idx="41">
                  <c:v>-1368.1436845777444</c:v>
                </c:pt>
                <c:pt idx="42">
                  <c:v>404.14613195093443</c:v>
                </c:pt>
                <c:pt idx="43">
                  <c:v>114.29758003702591</c:v>
                </c:pt>
                <c:pt idx="44">
                  <c:v>-426.59724443551931</c:v>
                </c:pt>
                <c:pt idx="45">
                  <c:v>-311.23876701257177</c:v>
                </c:pt>
                <c:pt idx="46">
                  <c:v>295.16019646807399</c:v>
                </c:pt>
                <c:pt idx="47">
                  <c:v>437.5193682557092</c:v>
                </c:pt>
                <c:pt idx="48">
                  <c:v>996.28606002215565</c:v>
                </c:pt>
                <c:pt idx="49">
                  <c:v>54.091447342008905</c:v>
                </c:pt>
                <c:pt idx="50">
                  <c:v>-1216.0775310307781</c:v>
                </c:pt>
                <c:pt idx="51">
                  <c:v>-1297.5884401220337</c:v>
                </c:pt>
                <c:pt idx="52">
                  <c:v>135.66383124802269</c:v>
                </c:pt>
                <c:pt idx="53">
                  <c:v>-433.61107793739939</c:v>
                </c:pt>
                <c:pt idx="54">
                  <c:v>-534.51895406997755</c:v>
                </c:pt>
                <c:pt idx="55">
                  <c:v>915.67194286862832</c:v>
                </c:pt>
                <c:pt idx="56">
                  <c:v>187.04443952993188</c:v>
                </c:pt>
                <c:pt idx="57">
                  <c:v>251.42046986789137</c:v>
                </c:pt>
                <c:pt idx="58">
                  <c:v>224.66945386110274</c:v>
                </c:pt>
                <c:pt idx="59">
                  <c:v>-350.68324724168269</c:v>
                </c:pt>
                <c:pt idx="60">
                  <c:v>-348.90082435617478</c:v>
                </c:pt>
                <c:pt idx="61">
                  <c:v>248.36890650393252</c:v>
                </c:pt>
                <c:pt idx="62">
                  <c:v>-1951.7421382585562</c:v>
                </c:pt>
                <c:pt idx="63">
                  <c:v>1372.1719487022292</c:v>
                </c:pt>
                <c:pt idx="64">
                  <c:v>-706.48080181759906</c:v>
                </c:pt>
                <c:pt idx="65">
                  <c:v>203.53296620625042</c:v>
                </c:pt>
                <c:pt idx="66">
                  <c:v>277.66268375467007</c:v>
                </c:pt>
                <c:pt idx="67">
                  <c:v>858.10369692603854</c:v>
                </c:pt>
                <c:pt idx="68">
                  <c:v>36.914623623992156</c:v>
                </c:pt>
                <c:pt idx="69">
                  <c:v>65.764029377798579</c:v>
                </c:pt>
                <c:pt idx="70">
                  <c:v>-950.62220375394463</c:v>
                </c:pt>
                <c:pt idx="71">
                  <c:v>583.97437913821159</c:v>
                </c:pt>
                <c:pt idx="72">
                  <c:v>-129.74089666036161</c:v>
                </c:pt>
                <c:pt idx="73">
                  <c:v>-388.49601579926093</c:v>
                </c:pt>
                <c:pt idx="74">
                  <c:v>-82.260703008985729</c:v>
                </c:pt>
                <c:pt idx="75">
                  <c:v>586.53752119133605</c:v>
                </c:pt>
                <c:pt idx="76">
                  <c:v>-14.150331884895422</c:v>
                </c:pt>
                <c:pt idx="77">
                  <c:v>-583.98697359504149</c:v>
                </c:pt>
                <c:pt idx="78">
                  <c:v>-70.353554565419472</c:v>
                </c:pt>
                <c:pt idx="79">
                  <c:v>-213.05580821122931</c:v>
                </c:pt>
                <c:pt idx="80">
                  <c:v>278.98879222507276</c:v>
                </c:pt>
                <c:pt idx="81">
                  <c:v>317.03094302332829</c:v>
                </c:pt>
                <c:pt idx="82">
                  <c:v>916.63009130427326</c:v>
                </c:pt>
                <c:pt idx="83">
                  <c:v>-117.54830331787343</c:v>
                </c:pt>
                <c:pt idx="84">
                  <c:v>-310.93965136904626</c:v>
                </c:pt>
                <c:pt idx="85">
                  <c:v>205.93118449763642</c:v>
                </c:pt>
                <c:pt idx="86">
                  <c:v>136.16858866386428</c:v>
                </c:pt>
                <c:pt idx="87">
                  <c:v>-1066.5591124064031</c:v>
                </c:pt>
                <c:pt idx="88">
                  <c:v>-35.159330313026658</c:v>
                </c:pt>
                <c:pt idx="89">
                  <c:v>1067.1336185130021</c:v>
                </c:pt>
                <c:pt idx="90">
                  <c:v>-417.26902796669492</c:v>
                </c:pt>
                <c:pt idx="91">
                  <c:v>-309.20142993652735</c:v>
                </c:pt>
                <c:pt idx="92">
                  <c:v>-355.37375972639256</c:v>
                </c:pt>
                <c:pt idx="93">
                  <c:v>-306.40733889787316</c:v>
                </c:pt>
                <c:pt idx="94">
                  <c:v>61.287739961187981</c:v>
                </c:pt>
                <c:pt idx="95">
                  <c:v>102.59042077628146</c:v>
                </c:pt>
                <c:pt idx="96">
                  <c:v>884.40050636864544</c:v>
                </c:pt>
                <c:pt idx="97">
                  <c:v>-525.80167668228205</c:v>
                </c:pt>
                <c:pt idx="98">
                  <c:v>185.88841683701139</c:v>
                </c:pt>
                <c:pt idx="99">
                  <c:v>-779.4780502904614</c:v>
                </c:pt>
                <c:pt idx="100">
                  <c:v>-289.39522290913374</c:v>
                </c:pt>
                <c:pt idx="101">
                  <c:v>341.44785704323476</c:v>
                </c:pt>
                <c:pt idx="102">
                  <c:v>-205.37854233430335</c:v>
                </c:pt>
                <c:pt idx="103">
                  <c:v>-985.36581407401354</c:v>
                </c:pt>
                <c:pt idx="104">
                  <c:v>90.110607903840901</c:v>
                </c:pt>
                <c:pt idx="105">
                  <c:v>-317.02661364479081</c:v>
                </c:pt>
                <c:pt idx="106">
                  <c:v>269.44902246057427</c:v>
                </c:pt>
                <c:pt idx="107">
                  <c:v>931.3577671262392</c:v>
                </c:pt>
                <c:pt idx="108">
                  <c:v>565.39272069267645</c:v>
                </c:pt>
                <c:pt idx="109">
                  <c:v>-353.1150398965874</c:v>
                </c:pt>
                <c:pt idx="110">
                  <c:v>-56.133162240083038</c:v>
                </c:pt>
                <c:pt idx="111">
                  <c:v>-468.50364721229562</c:v>
                </c:pt>
                <c:pt idx="112">
                  <c:v>-324.23731980592129</c:v>
                </c:pt>
              </c:numCache>
            </c:numRef>
          </c:val>
          <c:smooth val="0"/>
          <c:extLst>
            <c:ext xmlns:c16="http://schemas.microsoft.com/office/drawing/2014/chart" uri="{C3380CC4-5D6E-409C-BE32-E72D297353CC}">
              <c16:uniqueId val="{00000000-BA1B-4889-A141-C7E4EA85FAFD}"/>
            </c:ext>
          </c:extLst>
        </c:ser>
        <c:dLbls>
          <c:showLegendKey val="0"/>
          <c:showVal val="0"/>
          <c:showCatName val="0"/>
          <c:showSerName val="0"/>
          <c:showPercent val="0"/>
          <c:showBubbleSize val="0"/>
        </c:dLbls>
        <c:smooth val="0"/>
        <c:axId val="1397214111"/>
        <c:axId val="1397213631"/>
      </c:lineChart>
      <c:catAx>
        <c:axId val="1397214111"/>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397213631"/>
        <c:crosses val="autoZero"/>
        <c:auto val="1"/>
        <c:lblAlgn val="ctr"/>
        <c:lblOffset val="100"/>
        <c:noMultiLvlLbl val="0"/>
      </c:catAx>
      <c:valAx>
        <c:axId val="1397213631"/>
        <c:scaling>
          <c:orientation val="minMax"/>
        </c:scaling>
        <c:delete val="0"/>
        <c:axPos val="l"/>
        <c:numFmt formatCode="0.00" sourceLinked="0"/>
        <c:majorTickMark val="out"/>
        <c:minorTickMark val="none"/>
        <c:tickLblPos val="nextTo"/>
        <c:txPr>
          <a:bodyPr/>
          <a:lstStyle/>
          <a:p>
            <a:pPr>
              <a:defRPr sz="800" b="0"/>
            </a:pPr>
            <a:endParaRPr lang="en-US"/>
          </a:p>
        </c:txPr>
        <c:crossAx val="1397214111"/>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Deseasonalized Forecast and Original Observations</a:t>
            </a:r>
          </a:p>
        </c:rich>
      </c:tx>
      <c:overlay val="0"/>
    </c:title>
    <c:autoTitleDeleted val="0"/>
    <c:plotArea>
      <c:layout/>
      <c:lineChart>
        <c:grouping val="standard"/>
        <c:varyColors val="0"/>
        <c:ser>
          <c:idx val="0"/>
          <c:order val="0"/>
          <c:tx>
            <c:v>North</c:v>
          </c:tx>
          <c:spPr>
            <a:ln>
              <a:solidFill>
                <a:srgbClr val="333399"/>
              </a:solidFill>
              <a:prstDash val="solid"/>
            </a:ln>
          </c:spPr>
          <c:marker>
            <c:symbol val="none"/>
          </c:marker>
          <c:cat>
            <c:strRef>
              <c:f>'Moving averages  DS(North)'!$A$146:$A$270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'Moving averages  DS(North)'!$D$146:$D$270</c:f>
              <c:numCache>
                <c:formatCode>0.00</c:formatCode>
                <c:ptCount val="125"/>
                <c:pt idx="0">
                  <c:v>10210.217138055665</c:v>
                </c:pt>
                <c:pt idx="1">
                  <c:v>9989.6687289674865</c:v>
                </c:pt>
                <c:pt idx="2">
                  <c:v>11173.326834374524</c:v>
                </c:pt>
                <c:pt idx="3">
                  <c:v>11574.868593818033</c:v>
                </c:pt>
                <c:pt idx="4">
                  <c:v>11881.105438676519</c:v>
                </c:pt>
                <c:pt idx="5">
                  <c:v>11057.522013044678</c:v>
                </c:pt>
                <c:pt idx="6">
                  <c:v>11578.887129844188</c:v>
                </c:pt>
                <c:pt idx="7">
                  <c:v>10887.177671481026</c:v>
                </c:pt>
                <c:pt idx="8">
                  <c:v>10553.054092819584</c:v>
                </c:pt>
                <c:pt idx="9">
                  <c:v>11297.570081515476</c:v>
                </c:pt>
                <c:pt idx="10">
                  <c:v>10778.718827182607</c:v>
                </c:pt>
                <c:pt idx="11">
                  <c:v>11062.385274905626</c:v>
                </c:pt>
                <c:pt idx="12">
                  <c:v>11106.383176653233</c:v>
                </c:pt>
                <c:pt idx="13">
                  <c:v>10710.090751260213</c:v>
                </c:pt>
                <c:pt idx="14">
                  <c:v>9840.457849815999</c:v>
                </c:pt>
                <c:pt idx="15">
                  <c:v>11277.931790569201</c:v>
                </c:pt>
                <c:pt idx="16">
                  <c:v>10566.251607473203</c:v>
                </c:pt>
                <c:pt idx="17">
                  <c:v>9869.5968819736427</c:v>
                </c:pt>
                <c:pt idx="18">
                  <c:v>10831.180513752615</c:v>
                </c:pt>
                <c:pt idx="19">
                  <c:v>10975.461863964952</c:v>
                </c:pt>
                <c:pt idx="20">
                  <c:v>11497.639189677431</c:v>
                </c:pt>
                <c:pt idx="21">
                  <c:v>10946.027782866628</c:v>
                </c:pt>
                <c:pt idx="22">
                  <c:v>11647.376145869028</c:v>
                </c:pt>
                <c:pt idx="23">
                  <c:v>11219.852800434122</c:v>
                </c:pt>
                <c:pt idx="24">
                  <c:v>11630.412470409436</c:v>
                </c:pt>
                <c:pt idx="25">
                  <c:v>10880.572298520325</c:v>
                </c:pt>
                <c:pt idx="26">
                  <c:v>10210.178291763892</c:v>
                </c:pt>
                <c:pt idx="27">
                  <c:v>10767.925830790671</c:v>
                </c:pt>
                <c:pt idx="28">
                  <c:v>10224.605161168736</c:v>
                </c:pt>
                <c:pt idx="29">
                  <c:v>11204.354158806249</c:v>
                </c:pt>
                <c:pt idx="30">
                  <c:v>11353.762420434008</c:v>
                </c:pt>
                <c:pt idx="31">
                  <c:v>10987.040118716943</c:v>
                </c:pt>
                <c:pt idx="32">
                  <c:v>11348.248465956915</c:v>
                </c:pt>
                <c:pt idx="33">
                  <c:v>11417.673061353113</c:v>
                </c:pt>
                <c:pt idx="34">
                  <c:v>11479.655480542297</c:v>
                </c:pt>
                <c:pt idx="35">
                  <c:v>10637.806169036199</c:v>
                </c:pt>
                <c:pt idx="36">
                  <c:v>10872.468651324376</c:v>
                </c:pt>
                <c:pt idx="37">
                  <c:v>12267.797146790101</c:v>
                </c:pt>
                <c:pt idx="38">
                  <c:v>12407.067874352815</c:v>
                </c:pt>
                <c:pt idx="39">
                  <c:v>9898.6490060126016</c:v>
                </c:pt>
                <c:pt idx="40">
                  <c:v>10792.57890628689</c:v>
                </c:pt>
                <c:pt idx="41">
                  <c:v>11544.898593253271</c:v>
                </c:pt>
                <c:pt idx="42">
                  <c:v>11717.863033487296</c:v>
                </c:pt>
                <c:pt idx="43">
                  <c:v>11632.527821140411</c:v>
                </c:pt>
                <c:pt idx="44">
                  <c:v>11333.465008922072</c:v>
                </c:pt>
                <c:pt idx="45">
                  <c:v>10357.786180888132</c:v>
                </c:pt>
                <c:pt idx="46">
                  <c:v>11652.223563942054</c:v>
                </c:pt>
                <c:pt idx="47">
                  <c:v>11377.320325962619</c:v>
                </c:pt>
                <c:pt idx="48">
                  <c:v>10532.22934175513</c:v>
                </c:pt>
                <c:pt idx="49">
                  <c:v>10551.982864688336</c:v>
                </c:pt>
                <c:pt idx="50">
                  <c:v>11423.825829462407</c:v>
                </c:pt>
                <c:pt idx="51">
                  <c:v>11467.200668975898</c:v>
                </c:pt>
                <c:pt idx="52">
                  <c:v>12067.556022937317</c:v>
                </c:pt>
                <c:pt idx="53">
                  <c:v>11425.486908447172</c:v>
                </c:pt>
                <c:pt idx="54">
                  <c:v>10607.681253507852</c:v>
                </c:pt>
                <c:pt idx="55">
                  <c:v>10452.993118281383</c:v>
                </c:pt>
                <c:pt idx="56">
                  <c:v>11243.986190026972</c:v>
                </c:pt>
                <c:pt idx="57">
                  <c:v>10552.405608070287</c:v>
                </c:pt>
                <c:pt idx="58">
                  <c:v>10196.059174804774</c:v>
                </c:pt>
                <c:pt idx="59">
                  <c:v>11679.424689754325</c:v>
                </c:pt>
                <c:pt idx="60">
                  <c:v>11202.075482469583</c:v>
                </c:pt>
                <c:pt idx="61">
                  <c:v>11253.156970354923</c:v>
                </c:pt>
                <c:pt idx="62">
                  <c:v>11383.638824902853</c:v>
                </c:pt>
                <c:pt idx="63">
                  <c:v>10982.128333897654</c:v>
                </c:pt>
                <c:pt idx="64">
                  <c:v>10829.222373713867</c:v>
                </c:pt>
                <c:pt idx="65">
                  <c:v>11331.726622599421</c:v>
                </c:pt>
                <c:pt idx="66">
                  <c:v>9545.4502239081903</c:v>
                </c:pt>
                <c:pt idx="67">
                  <c:v>11665.091662630384</c:v>
                </c:pt>
                <c:pt idx="68">
                  <c:v>10293.176479680769</c:v>
                </c:pt>
                <c:pt idx="69">
                  <c:v>10887.291289077419</c:v>
                </c:pt>
                <c:pt idx="70">
                  <c:v>10866.941836111697</c:v>
                </c:pt>
                <c:pt idx="71">
                  <c:v>11929.039878369869</c:v>
                </c:pt>
                <c:pt idx="72">
                  <c:v>11050.182933554741</c:v>
                </c:pt>
                <c:pt idx="73">
                  <c:v>11273.779738168647</c:v>
                </c:pt>
                <c:pt idx="74">
                  <c:v>10006.564135328821</c:v>
                </c:pt>
                <c:pt idx="75">
                  <c:v>11726.737035174307</c:v>
                </c:pt>
                <c:pt idx="76">
                  <c:v>10874.487833476604</c:v>
                </c:pt>
                <c:pt idx="77">
                  <c:v>10626.755416744161</c:v>
                </c:pt>
                <c:pt idx="78">
                  <c:v>10741.780809654709</c:v>
                </c:pt>
                <c:pt idx="79">
                  <c:v>11416.882826384588</c:v>
                </c:pt>
                <c:pt idx="80">
                  <c:v>10903.966678225588</c:v>
                </c:pt>
                <c:pt idx="81">
                  <c:v>10410.386026072498</c:v>
                </c:pt>
                <c:pt idx="82">
                  <c:v>10800.047466703925</c:v>
                </c:pt>
                <c:pt idx="83">
                  <c:v>10634.306890691121</c:v>
                </c:pt>
                <c:pt idx="84">
                  <c:v>11110.939953120678</c:v>
                </c:pt>
                <c:pt idx="85">
                  <c:v>11174.790452662775</c:v>
                </c:pt>
                <c:pt idx="86">
                  <c:v>12157.908446083584</c:v>
                </c:pt>
                <c:pt idx="87">
                  <c:v>11136.263468408499</c:v>
                </c:pt>
                <c:pt idx="88">
                  <c:v>11059.860668695432</c:v>
                </c:pt>
                <c:pt idx="89">
                  <c:v>11564.358275221672</c:v>
                </c:pt>
                <c:pt idx="90">
                  <c:v>11590.265274002104</c:v>
                </c:pt>
                <c:pt idx="91">
                  <c:v>10565.88110211329</c:v>
                </c:pt>
                <c:pt idx="92">
                  <c:v>11167.734674794625</c:v>
                </c:pt>
                <c:pt idx="93">
                  <c:v>12157.577550279864</c:v>
                </c:pt>
                <c:pt idx="94">
                  <c:v>10965.829164801446</c:v>
                </c:pt>
                <c:pt idx="95">
                  <c:v>10853.595000315991</c:v>
                </c:pt>
                <c:pt idx="96">
                  <c:v>10746.397835725056</c:v>
                </c:pt>
                <c:pt idx="97">
                  <c:v>10759.585394013149</c:v>
                </c:pt>
                <c:pt idx="98">
                  <c:v>10913.450871556077</c:v>
                </c:pt>
                <c:pt idx="99">
                  <c:v>10934.527777651658</c:v>
                </c:pt>
                <c:pt idx="100">
                  <c:v>11791.652268193015</c:v>
                </c:pt>
                <c:pt idx="101">
                  <c:v>10634.716195731235</c:v>
                </c:pt>
                <c:pt idx="102">
                  <c:v>11219.662864287149</c:v>
                </c:pt>
                <c:pt idx="103">
                  <c:v>10581.077561475278</c:v>
                </c:pt>
                <c:pt idx="104">
                  <c:v>10831.605546423463</c:v>
                </c:pt>
                <c:pt idx="105">
                  <c:v>11116.100615629412</c:v>
                </c:pt>
                <c:pt idx="106">
                  <c:v>10738.000515369182</c:v>
                </c:pt>
                <c:pt idx="107">
                  <c:v>9667.3396413346509</c:v>
                </c:pt>
                <c:pt idx="108">
                  <c:v>10725.132878876979</c:v>
                </c:pt>
                <c:pt idx="109">
                  <c:v>10125.778996538058</c:v>
                </c:pt>
                <c:pt idx="110">
                  <c:v>10675.00797783606</c:v>
                </c:pt>
                <c:pt idx="111">
                  <c:v>11353.866011247337</c:v>
                </c:pt>
                <c:pt idx="112">
                  <c:v>11329.297929187915</c:v>
                </c:pt>
                <c:pt idx="113">
                  <c:v>10558.646529854757</c:v>
                </c:pt>
                <c:pt idx="114">
                  <c:v>10933.583811173852</c:v>
                </c:pt>
                <c:pt idx="115">
                  <c:v>10704.820159137176</c:v>
                </c:pt>
                <c:pt idx="116">
                  <c:v>10629.305608051931</c:v>
                </c:pt>
              </c:numCache>
            </c:numRef>
          </c:val>
          <c:smooth val="0"/>
          <c:extLst>
            <c:ext xmlns:c16="http://schemas.microsoft.com/office/drawing/2014/chart" uri="{C3380CC4-5D6E-409C-BE32-E72D297353CC}">
              <c16:uniqueId val="{00000000-83E1-41C6-8E54-A8C2579E27BC}"/>
            </c:ext>
          </c:extLst>
        </c:ser>
        <c:ser>
          <c:idx val="1"/>
          <c:order val="1"/>
          <c:tx>
            <c:v>Deseasonalized Forecast</c:v>
          </c:tx>
          <c:spPr>
            <a:ln>
              <a:solidFill>
                <a:srgbClr val="993366"/>
              </a:solidFill>
              <a:prstDash val="solid"/>
            </a:ln>
          </c:spPr>
          <c:marker>
            <c:symbol val="none"/>
          </c:marker>
          <c:cat>
            <c:strRef>
              <c:f>'Moving averages  DS(North)'!$A$146:$A$270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'Moving averages  DS(North)'!$E$146:$E$270</c:f>
              <c:numCache>
                <c:formatCode>0.00</c:formatCode>
                <c:ptCount val="125"/>
                <c:pt idx="4">
                  <c:v>10737.020323803927</c:v>
                </c:pt>
                <c:pt idx="5">
                  <c:v>11154.742398959141</c:v>
                </c:pt>
                <c:pt idx="6">
                  <c:v>11421.705719978438</c:v>
                </c:pt>
                <c:pt idx="7">
                  <c:v>11523.095793845854</c:v>
                </c:pt>
                <c:pt idx="8">
                  <c:v>11351.173063261602</c:v>
                </c:pt>
                <c:pt idx="9">
                  <c:v>11019.160226797369</c:v>
                </c:pt>
                <c:pt idx="10">
                  <c:v>11079.172243915069</c:v>
                </c:pt>
                <c:pt idx="11">
                  <c:v>10879.130168249674</c:v>
                </c:pt>
                <c:pt idx="12">
                  <c:v>10922.932069105824</c:v>
                </c:pt>
                <c:pt idx="13">
                  <c:v>11061.264340064236</c:v>
                </c:pt>
                <c:pt idx="14">
                  <c:v>10914.394507500419</c:v>
                </c:pt>
                <c:pt idx="15">
                  <c:v>10679.829263158768</c:v>
                </c:pt>
                <c:pt idx="16">
                  <c:v>10733.715892074661</c:v>
                </c:pt>
                <c:pt idx="17">
                  <c:v>10598.682999779654</c:v>
                </c:pt>
                <c:pt idx="18">
                  <c:v>10388.559532458012</c:v>
                </c:pt>
                <c:pt idx="19">
                  <c:v>10636.240198442167</c:v>
                </c:pt>
                <c:pt idx="20">
                  <c:v>10560.622716791102</c:v>
                </c:pt>
                <c:pt idx="21">
                  <c:v>10793.46961234216</c:v>
                </c:pt>
                <c:pt idx="22">
                  <c:v>11062.577337565406</c:v>
                </c:pt>
                <c:pt idx="23">
                  <c:v>11266.626245594511</c:v>
                </c:pt>
                <c:pt idx="24">
                  <c:v>11327.723979711802</c:v>
                </c:pt>
                <c:pt idx="25">
                  <c:v>11360.917299894803</c:v>
                </c:pt>
                <c:pt idx="26">
                  <c:v>11344.553428808227</c:v>
                </c:pt>
                <c:pt idx="27">
                  <c:v>10985.253965281943</c:v>
                </c:pt>
                <c:pt idx="28">
                  <c:v>10872.272222871081</c:v>
                </c:pt>
                <c:pt idx="29">
                  <c:v>10520.820395560906</c:v>
                </c:pt>
                <c:pt idx="30">
                  <c:v>10601.765860632388</c:v>
                </c:pt>
                <c:pt idx="31">
                  <c:v>10887.661892799917</c:v>
                </c:pt>
                <c:pt idx="32">
                  <c:v>10942.440464781484</c:v>
                </c:pt>
                <c:pt idx="33">
                  <c:v>11223.35129097853</c:v>
                </c:pt>
                <c:pt idx="34">
                  <c:v>11276.681016615245</c:v>
                </c:pt>
                <c:pt idx="35">
                  <c:v>11308.154281642317</c:v>
                </c:pt>
                <c:pt idx="36">
                  <c:v>11220.84579422213</c:v>
                </c:pt>
                <c:pt idx="37">
                  <c:v>11101.900840563998</c:v>
                </c:pt>
                <c:pt idx="38">
                  <c:v>11314.431861923242</c:v>
                </c:pt>
                <c:pt idx="39">
                  <c:v>11546.284960375873</c:v>
                </c:pt>
                <c:pt idx="40">
                  <c:v>11361.495669619973</c:v>
                </c:pt>
                <c:pt idx="41">
                  <c:v>11341.5232333606</c:v>
                </c:pt>
                <c:pt idx="42">
                  <c:v>11160.798594976393</c:v>
                </c:pt>
                <c:pt idx="43">
                  <c:v>10988.497384760014</c:v>
                </c:pt>
                <c:pt idx="44">
                  <c:v>11421.967088541965</c:v>
                </c:pt>
                <c:pt idx="45">
                  <c:v>11557.188614200762</c:v>
                </c:pt>
                <c:pt idx="46">
                  <c:v>11260.41051110948</c:v>
                </c:pt>
                <c:pt idx="47">
                  <c:v>11244.000643723168</c:v>
                </c:pt>
                <c:pt idx="48">
                  <c:v>11180.198769928718</c:v>
                </c:pt>
                <c:pt idx="49">
                  <c:v>10979.889853136985</c:v>
                </c:pt>
                <c:pt idx="50">
                  <c:v>11028.439024087034</c:v>
                </c:pt>
                <c:pt idx="51">
                  <c:v>10971.339590467123</c:v>
                </c:pt>
                <c:pt idx="52">
                  <c:v>10993.809676220442</c:v>
                </c:pt>
                <c:pt idx="53">
                  <c:v>11377.641346515989</c:v>
                </c:pt>
                <c:pt idx="54">
                  <c:v>11596.017357455697</c:v>
                </c:pt>
                <c:pt idx="55">
                  <c:v>11391.981213467059</c:v>
                </c:pt>
                <c:pt idx="56">
                  <c:v>11138.42932579343</c:v>
                </c:pt>
                <c:pt idx="57">
                  <c:v>10932.536867565843</c:v>
                </c:pt>
                <c:pt idx="58">
                  <c:v>10714.266542471623</c:v>
                </c:pt>
                <c:pt idx="59">
                  <c:v>10611.361022795854</c:v>
                </c:pt>
                <c:pt idx="60">
                  <c:v>10917.968915664089</c:v>
                </c:pt>
                <c:pt idx="61">
                  <c:v>10907.491238774743</c:v>
                </c:pt>
                <c:pt idx="62">
                  <c:v>11082.679079345902</c:v>
                </c:pt>
                <c:pt idx="63">
                  <c:v>11379.573991870422</c:v>
                </c:pt>
                <c:pt idx="64">
                  <c:v>11205.249902906253</c:v>
                </c:pt>
                <c:pt idx="65">
                  <c:v>11112.036625717326</c:v>
                </c:pt>
                <c:pt idx="66">
                  <c:v>11131.679038778449</c:v>
                </c:pt>
                <c:pt idx="67">
                  <c:v>10672.131888529784</c:v>
                </c:pt>
                <c:pt idx="68">
                  <c:v>10842.872720712967</c:v>
                </c:pt>
                <c:pt idx="69">
                  <c:v>10708.861247204692</c:v>
                </c:pt>
                <c:pt idx="70">
                  <c:v>10597.75241382419</c:v>
                </c:pt>
                <c:pt idx="71">
                  <c:v>10928.125316875068</c:v>
                </c:pt>
                <c:pt idx="72">
                  <c:v>10994.112370809939</c:v>
                </c:pt>
                <c:pt idx="73">
                  <c:v>11183.363984278432</c:v>
                </c:pt>
                <c:pt idx="74">
                  <c:v>11279.98609655124</c:v>
                </c:pt>
                <c:pt idx="75">
                  <c:v>11064.891671355519</c:v>
                </c:pt>
                <c:pt idx="76">
                  <c:v>11014.315960556629</c:v>
                </c:pt>
                <c:pt idx="77">
                  <c:v>10970.392185537095</c:v>
                </c:pt>
                <c:pt idx="78">
                  <c:v>10808.636105180973</c:v>
                </c:pt>
                <c:pt idx="79">
                  <c:v>10992.440273762446</c:v>
                </c:pt>
                <c:pt idx="80">
                  <c:v>10914.976721565015</c:v>
                </c:pt>
                <c:pt idx="81">
                  <c:v>10922.346432752262</c:v>
                </c:pt>
                <c:pt idx="82">
                  <c:v>10868.254085084345</c:v>
                </c:pt>
                <c:pt idx="83">
                  <c:v>10882.820749346649</c:v>
                </c:pt>
                <c:pt idx="84">
                  <c:v>10687.176765423283</c:v>
                </c:pt>
                <c:pt idx="85">
                  <c:v>10738.920084147056</c:v>
                </c:pt>
                <c:pt idx="86">
                  <c:v>10930.021190794625</c:v>
                </c:pt>
                <c:pt idx="87">
                  <c:v>11269.486435639541</c:v>
                </c:pt>
                <c:pt idx="88">
                  <c:v>11394.975580068885</c:v>
                </c:pt>
                <c:pt idx="89">
                  <c:v>11382.205758962573</c:v>
                </c:pt>
                <c:pt idx="90">
                  <c:v>11479.597714602296</c:v>
                </c:pt>
                <c:pt idx="91">
                  <c:v>11337.686921581924</c:v>
                </c:pt>
                <c:pt idx="92">
                  <c:v>11195.091330008123</c:v>
                </c:pt>
                <c:pt idx="93">
                  <c:v>11222.059831532923</c:v>
                </c:pt>
                <c:pt idx="94">
                  <c:v>11370.36465029747</c:v>
                </c:pt>
                <c:pt idx="95">
                  <c:v>11214.255622997305</c:v>
                </c:pt>
                <c:pt idx="96">
                  <c:v>11286.184097547981</c:v>
                </c:pt>
                <c:pt idx="97">
                  <c:v>11180.849887780591</c:v>
                </c:pt>
                <c:pt idx="98">
                  <c:v>10831.351848713912</c:v>
                </c:pt>
                <c:pt idx="99">
                  <c:v>10818.257275402568</c:v>
                </c:pt>
                <c:pt idx="100">
                  <c:v>10838.490469736485</c:v>
                </c:pt>
                <c:pt idx="101">
                  <c:v>11099.804077853474</c:v>
                </c:pt>
                <c:pt idx="102">
                  <c:v>11068.586778282996</c:v>
                </c:pt>
                <c:pt idx="103">
                  <c:v>11145.139776465765</c:v>
                </c:pt>
                <c:pt idx="104">
                  <c:v>11056.77722242167</c:v>
                </c:pt>
                <c:pt idx="105">
                  <c:v>10816.765541979283</c:v>
                </c:pt>
                <c:pt idx="106">
                  <c:v>10937.111646953826</c:v>
                </c:pt>
                <c:pt idx="107">
                  <c:v>10816.696059724334</c:v>
                </c:pt>
                <c:pt idx="108">
                  <c:v>10588.261579689177</c:v>
                </c:pt>
                <c:pt idx="109">
                  <c:v>10561.643412802554</c:v>
                </c:pt>
                <c:pt idx="110">
                  <c:v>10314.063008029716</c:v>
                </c:pt>
                <c:pt idx="111">
                  <c:v>10298.314873646437</c:v>
                </c:pt>
                <c:pt idx="112">
                  <c:v>10719.946466124609</c:v>
                </c:pt>
                <c:pt idx="113">
                  <c:v>10870.987728702343</c:v>
                </c:pt>
                <c:pt idx="114">
                  <c:v>10979.204612031517</c:v>
                </c:pt>
                <c:pt idx="115">
                  <c:v>11043.848570365964</c:v>
                </c:pt>
                <c:pt idx="116">
                  <c:v>10881.587107338426</c:v>
                </c:pt>
                <c:pt idx="117">
                  <c:v>10706.58902705443</c:v>
                </c:pt>
                <c:pt idx="118">
                  <c:v>10743.574651354347</c:v>
                </c:pt>
                <c:pt idx="119">
                  <c:v>10696.072361399471</c:v>
                </c:pt>
                <c:pt idx="120">
                  <c:v>10693.885411965044</c:v>
                </c:pt>
                <c:pt idx="121">
                  <c:v>10710.030362943322</c:v>
                </c:pt>
                <c:pt idx="122">
                  <c:v>10710.890696915547</c:v>
                </c:pt>
                <c:pt idx="123">
                  <c:v>10702.719708305845</c:v>
                </c:pt>
                <c:pt idx="124">
                  <c:v>10704.38154503244</c:v>
                </c:pt>
              </c:numCache>
            </c:numRef>
          </c:val>
          <c:smooth val="0"/>
          <c:extLst>
            <c:ext xmlns:c16="http://schemas.microsoft.com/office/drawing/2014/chart" uri="{C3380CC4-5D6E-409C-BE32-E72D297353CC}">
              <c16:uniqueId val="{00000001-83E1-41C6-8E54-A8C2579E27BC}"/>
            </c:ext>
          </c:extLst>
        </c:ser>
        <c:dLbls>
          <c:showLegendKey val="0"/>
          <c:showVal val="0"/>
          <c:showCatName val="0"/>
          <c:showSerName val="0"/>
          <c:showPercent val="0"/>
          <c:showBubbleSize val="0"/>
        </c:dLbls>
        <c:smooth val="0"/>
        <c:axId val="900362815"/>
        <c:axId val="900362335"/>
      </c:lineChart>
      <c:catAx>
        <c:axId val="900362815"/>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900362335"/>
        <c:crosses val="autoZero"/>
        <c:auto val="1"/>
        <c:lblAlgn val="ctr"/>
        <c:lblOffset val="100"/>
        <c:noMultiLvlLbl val="0"/>
      </c:catAx>
      <c:valAx>
        <c:axId val="900362335"/>
        <c:scaling>
          <c:orientation val="minMax"/>
        </c:scaling>
        <c:delete val="0"/>
        <c:axPos val="l"/>
        <c:numFmt formatCode="0.00" sourceLinked="0"/>
        <c:majorTickMark val="out"/>
        <c:minorTickMark val="none"/>
        <c:tickLblPos val="nextTo"/>
        <c:txPr>
          <a:bodyPr/>
          <a:lstStyle/>
          <a:p>
            <a:pPr>
              <a:defRPr sz="800" b="0"/>
            </a:pPr>
            <a:endParaRPr lang="en-US"/>
          </a:p>
        </c:txPr>
        <c:crossAx val="900362815"/>
        <c:crosses val="autoZero"/>
        <c:crossBetween val="between"/>
      </c:valAx>
    </c:plotArea>
    <c:legend>
      <c:legendPos val="r"/>
      <c:overlay val="0"/>
      <c:spPr>
        <a:ln>
          <a:solidFill>
            <a:srgbClr val="000000"/>
          </a:solidFill>
          <a:prstDash val="solid"/>
        </a:ln>
      </c:sp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Deseasonalized Observations</a:t>
            </a:r>
          </a:p>
        </c:rich>
      </c:tx>
      <c:overlay val="0"/>
    </c:title>
    <c:autoTitleDeleted val="0"/>
    <c:plotArea>
      <c:layout/>
      <c:lineChart>
        <c:grouping val="standard"/>
        <c:varyColors val="0"/>
        <c:ser>
          <c:idx val="0"/>
          <c:order val="0"/>
          <c:tx>
            <c:v>North</c:v>
          </c:tx>
          <c:spPr>
            <a:ln>
              <a:solidFill>
                <a:srgbClr val="333399"/>
              </a:solidFill>
              <a:prstDash val="solid"/>
            </a:ln>
          </c:spPr>
          <c:marker>
            <c:symbol val="none"/>
          </c:marker>
          <c:cat>
            <c:strRef>
              <c:f>'Moving averages  DS(North)'!$A$146:$A$270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'Moving averages  DS(North)'!$D$146:$D$270</c:f>
              <c:numCache>
                <c:formatCode>0.00</c:formatCode>
                <c:ptCount val="125"/>
                <c:pt idx="0">
                  <c:v>10210.217138055665</c:v>
                </c:pt>
                <c:pt idx="1">
                  <c:v>9989.6687289674865</c:v>
                </c:pt>
                <c:pt idx="2">
                  <c:v>11173.326834374524</c:v>
                </c:pt>
                <c:pt idx="3">
                  <c:v>11574.868593818033</c:v>
                </c:pt>
                <c:pt idx="4">
                  <c:v>11881.105438676519</c:v>
                </c:pt>
                <c:pt idx="5">
                  <c:v>11057.522013044678</c:v>
                </c:pt>
                <c:pt idx="6">
                  <c:v>11578.887129844188</c:v>
                </c:pt>
                <c:pt idx="7">
                  <c:v>10887.177671481026</c:v>
                </c:pt>
                <c:pt idx="8">
                  <c:v>10553.054092819584</c:v>
                </c:pt>
                <c:pt idx="9">
                  <c:v>11297.570081515476</c:v>
                </c:pt>
                <c:pt idx="10">
                  <c:v>10778.718827182607</c:v>
                </c:pt>
                <c:pt idx="11">
                  <c:v>11062.385274905626</c:v>
                </c:pt>
                <c:pt idx="12">
                  <c:v>11106.383176653233</c:v>
                </c:pt>
                <c:pt idx="13">
                  <c:v>10710.090751260213</c:v>
                </c:pt>
                <c:pt idx="14">
                  <c:v>9840.457849815999</c:v>
                </c:pt>
                <c:pt idx="15">
                  <c:v>11277.931790569201</c:v>
                </c:pt>
                <c:pt idx="16">
                  <c:v>10566.251607473203</c:v>
                </c:pt>
                <c:pt idx="17">
                  <c:v>9869.5968819736427</c:v>
                </c:pt>
                <c:pt idx="18">
                  <c:v>10831.180513752615</c:v>
                </c:pt>
                <c:pt idx="19">
                  <c:v>10975.461863964952</c:v>
                </c:pt>
                <c:pt idx="20">
                  <c:v>11497.639189677431</c:v>
                </c:pt>
                <c:pt idx="21">
                  <c:v>10946.027782866628</c:v>
                </c:pt>
                <c:pt idx="22">
                  <c:v>11647.376145869028</c:v>
                </c:pt>
                <c:pt idx="23">
                  <c:v>11219.852800434122</c:v>
                </c:pt>
                <c:pt idx="24">
                  <c:v>11630.412470409436</c:v>
                </c:pt>
                <c:pt idx="25">
                  <c:v>10880.572298520325</c:v>
                </c:pt>
                <c:pt idx="26">
                  <c:v>10210.178291763892</c:v>
                </c:pt>
                <c:pt idx="27">
                  <c:v>10767.925830790671</c:v>
                </c:pt>
                <c:pt idx="28">
                  <c:v>10224.605161168736</c:v>
                </c:pt>
                <c:pt idx="29">
                  <c:v>11204.354158806249</c:v>
                </c:pt>
                <c:pt idx="30">
                  <c:v>11353.762420434008</c:v>
                </c:pt>
                <c:pt idx="31">
                  <c:v>10987.040118716943</c:v>
                </c:pt>
                <c:pt idx="32">
                  <c:v>11348.248465956915</c:v>
                </c:pt>
                <c:pt idx="33">
                  <c:v>11417.673061353113</c:v>
                </c:pt>
                <c:pt idx="34">
                  <c:v>11479.655480542297</c:v>
                </c:pt>
                <c:pt idx="35">
                  <c:v>10637.806169036199</c:v>
                </c:pt>
                <c:pt idx="36">
                  <c:v>10872.468651324376</c:v>
                </c:pt>
                <c:pt idx="37">
                  <c:v>12267.797146790101</c:v>
                </c:pt>
                <c:pt idx="38">
                  <c:v>12407.067874352815</c:v>
                </c:pt>
                <c:pt idx="39">
                  <c:v>9898.6490060126016</c:v>
                </c:pt>
                <c:pt idx="40">
                  <c:v>10792.57890628689</c:v>
                </c:pt>
                <c:pt idx="41">
                  <c:v>11544.898593253271</c:v>
                </c:pt>
                <c:pt idx="42">
                  <c:v>11717.863033487296</c:v>
                </c:pt>
                <c:pt idx="43">
                  <c:v>11632.527821140411</c:v>
                </c:pt>
                <c:pt idx="44">
                  <c:v>11333.465008922072</c:v>
                </c:pt>
                <c:pt idx="45">
                  <c:v>10357.786180888132</c:v>
                </c:pt>
                <c:pt idx="46">
                  <c:v>11652.223563942054</c:v>
                </c:pt>
                <c:pt idx="47">
                  <c:v>11377.320325962619</c:v>
                </c:pt>
                <c:pt idx="48">
                  <c:v>10532.22934175513</c:v>
                </c:pt>
                <c:pt idx="49">
                  <c:v>10551.982864688336</c:v>
                </c:pt>
                <c:pt idx="50">
                  <c:v>11423.825829462407</c:v>
                </c:pt>
                <c:pt idx="51">
                  <c:v>11467.200668975898</c:v>
                </c:pt>
                <c:pt idx="52">
                  <c:v>12067.556022937317</c:v>
                </c:pt>
                <c:pt idx="53">
                  <c:v>11425.486908447172</c:v>
                </c:pt>
                <c:pt idx="54">
                  <c:v>10607.681253507852</c:v>
                </c:pt>
                <c:pt idx="55">
                  <c:v>10452.993118281383</c:v>
                </c:pt>
                <c:pt idx="56">
                  <c:v>11243.986190026972</c:v>
                </c:pt>
                <c:pt idx="57">
                  <c:v>10552.405608070287</c:v>
                </c:pt>
                <c:pt idx="58">
                  <c:v>10196.059174804774</c:v>
                </c:pt>
                <c:pt idx="59">
                  <c:v>11679.424689754325</c:v>
                </c:pt>
                <c:pt idx="60">
                  <c:v>11202.075482469583</c:v>
                </c:pt>
                <c:pt idx="61">
                  <c:v>11253.156970354923</c:v>
                </c:pt>
                <c:pt idx="62">
                  <c:v>11383.638824902853</c:v>
                </c:pt>
                <c:pt idx="63">
                  <c:v>10982.128333897654</c:v>
                </c:pt>
                <c:pt idx="64">
                  <c:v>10829.222373713867</c:v>
                </c:pt>
                <c:pt idx="65">
                  <c:v>11331.726622599421</c:v>
                </c:pt>
                <c:pt idx="66">
                  <c:v>9545.4502239081903</c:v>
                </c:pt>
                <c:pt idx="67">
                  <c:v>11665.091662630384</c:v>
                </c:pt>
                <c:pt idx="68">
                  <c:v>10293.176479680769</c:v>
                </c:pt>
                <c:pt idx="69">
                  <c:v>10887.291289077419</c:v>
                </c:pt>
                <c:pt idx="70">
                  <c:v>10866.941836111697</c:v>
                </c:pt>
                <c:pt idx="71">
                  <c:v>11929.039878369869</c:v>
                </c:pt>
                <c:pt idx="72">
                  <c:v>11050.182933554741</c:v>
                </c:pt>
                <c:pt idx="73">
                  <c:v>11273.779738168647</c:v>
                </c:pt>
                <c:pt idx="74">
                  <c:v>10006.564135328821</c:v>
                </c:pt>
                <c:pt idx="75">
                  <c:v>11726.737035174307</c:v>
                </c:pt>
                <c:pt idx="76">
                  <c:v>10874.487833476604</c:v>
                </c:pt>
                <c:pt idx="77">
                  <c:v>10626.755416744161</c:v>
                </c:pt>
                <c:pt idx="78">
                  <c:v>10741.780809654709</c:v>
                </c:pt>
                <c:pt idx="79">
                  <c:v>11416.882826384588</c:v>
                </c:pt>
                <c:pt idx="80">
                  <c:v>10903.966678225588</c:v>
                </c:pt>
                <c:pt idx="81">
                  <c:v>10410.386026072498</c:v>
                </c:pt>
                <c:pt idx="82">
                  <c:v>10800.047466703925</c:v>
                </c:pt>
                <c:pt idx="83">
                  <c:v>10634.306890691121</c:v>
                </c:pt>
                <c:pt idx="84">
                  <c:v>11110.939953120678</c:v>
                </c:pt>
                <c:pt idx="85">
                  <c:v>11174.790452662775</c:v>
                </c:pt>
                <c:pt idx="86">
                  <c:v>12157.908446083584</c:v>
                </c:pt>
                <c:pt idx="87">
                  <c:v>11136.263468408499</c:v>
                </c:pt>
                <c:pt idx="88">
                  <c:v>11059.860668695432</c:v>
                </c:pt>
                <c:pt idx="89">
                  <c:v>11564.358275221672</c:v>
                </c:pt>
                <c:pt idx="90">
                  <c:v>11590.265274002104</c:v>
                </c:pt>
                <c:pt idx="91">
                  <c:v>10565.88110211329</c:v>
                </c:pt>
                <c:pt idx="92">
                  <c:v>11167.734674794625</c:v>
                </c:pt>
                <c:pt idx="93">
                  <c:v>12157.577550279864</c:v>
                </c:pt>
                <c:pt idx="94">
                  <c:v>10965.829164801446</c:v>
                </c:pt>
                <c:pt idx="95">
                  <c:v>10853.595000315991</c:v>
                </c:pt>
                <c:pt idx="96">
                  <c:v>10746.397835725056</c:v>
                </c:pt>
                <c:pt idx="97">
                  <c:v>10759.585394013149</c:v>
                </c:pt>
                <c:pt idx="98">
                  <c:v>10913.450871556077</c:v>
                </c:pt>
                <c:pt idx="99">
                  <c:v>10934.527777651658</c:v>
                </c:pt>
                <c:pt idx="100">
                  <c:v>11791.652268193015</c:v>
                </c:pt>
                <c:pt idx="101">
                  <c:v>10634.716195731235</c:v>
                </c:pt>
                <c:pt idx="102">
                  <c:v>11219.662864287149</c:v>
                </c:pt>
                <c:pt idx="103">
                  <c:v>10581.077561475278</c:v>
                </c:pt>
                <c:pt idx="104">
                  <c:v>10831.605546423463</c:v>
                </c:pt>
                <c:pt idx="105">
                  <c:v>11116.100615629412</c:v>
                </c:pt>
                <c:pt idx="106">
                  <c:v>10738.000515369182</c:v>
                </c:pt>
                <c:pt idx="107">
                  <c:v>9667.3396413346509</c:v>
                </c:pt>
                <c:pt idx="108">
                  <c:v>10725.132878876979</c:v>
                </c:pt>
                <c:pt idx="109">
                  <c:v>10125.778996538058</c:v>
                </c:pt>
                <c:pt idx="110">
                  <c:v>10675.00797783606</c:v>
                </c:pt>
                <c:pt idx="111">
                  <c:v>11353.866011247337</c:v>
                </c:pt>
                <c:pt idx="112">
                  <c:v>11329.297929187915</c:v>
                </c:pt>
                <c:pt idx="113">
                  <c:v>10558.646529854757</c:v>
                </c:pt>
                <c:pt idx="114">
                  <c:v>10933.583811173852</c:v>
                </c:pt>
                <c:pt idx="115">
                  <c:v>10704.820159137176</c:v>
                </c:pt>
                <c:pt idx="116">
                  <c:v>10629.305608051931</c:v>
                </c:pt>
              </c:numCache>
            </c:numRef>
          </c:val>
          <c:smooth val="0"/>
          <c:extLst>
            <c:ext xmlns:c16="http://schemas.microsoft.com/office/drawing/2014/chart" uri="{C3380CC4-5D6E-409C-BE32-E72D297353CC}">
              <c16:uniqueId val="{00000000-6AA7-4C11-A1BC-3AD13D8C991E}"/>
            </c:ext>
          </c:extLst>
        </c:ser>
        <c:dLbls>
          <c:showLegendKey val="0"/>
          <c:showVal val="0"/>
          <c:showCatName val="0"/>
          <c:showSerName val="0"/>
          <c:showPercent val="0"/>
          <c:showBubbleSize val="0"/>
        </c:dLbls>
        <c:smooth val="0"/>
        <c:axId val="900364735"/>
        <c:axId val="900361375"/>
      </c:lineChart>
      <c:catAx>
        <c:axId val="900364735"/>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900361375"/>
        <c:crosses val="autoZero"/>
        <c:auto val="1"/>
        <c:lblAlgn val="ctr"/>
        <c:lblOffset val="100"/>
        <c:noMultiLvlLbl val="0"/>
      </c:catAx>
      <c:valAx>
        <c:axId val="900361375"/>
        <c:scaling>
          <c:orientation val="minMax"/>
        </c:scaling>
        <c:delete val="0"/>
        <c:axPos val="l"/>
        <c:numFmt formatCode="0.00" sourceLinked="0"/>
        <c:majorTickMark val="out"/>
        <c:minorTickMark val="none"/>
        <c:tickLblPos val="nextTo"/>
        <c:txPr>
          <a:bodyPr/>
          <a:lstStyle/>
          <a:p>
            <a:pPr>
              <a:defRPr sz="800" b="0"/>
            </a:pPr>
            <a:endParaRPr lang="en-US"/>
          </a:p>
        </c:txPr>
        <c:crossAx val="900364735"/>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Time Series of West</a:t>
            </a:r>
          </a:p>
        </c:rich>
      </c:tx>
      <c:layout/>
      <c:overlay val="0"/>
    </c:title>
    <c:autoTitleDeleted val="0"/>
    <c:plotArea>
      <c:layout/>
      <c:lineChart>
        <c:grouping val="standard"/>
        <c:varyColors val="0"/>
        <c:ser>
          <c:idx val="0"/>
          <c:order val="0"/>
          <c:spPr>
            <a:ln>
              <a:solidFill>
                <a:srgbClr val="333399"/>
              </a:solidFill>
              <a:prstDash val="solid"/>
            </a:ln>
          </c:spPr>
          <c:marker>
            <c:symbol val="diamond"/>
            <c:size val="3"/>
          </c:marker>
          <c:cat>
            <c:numRef>
              <c:f>'Problem 4 a(1)'!$J$2:$J$118</c:f>
              <c:numCache>
                <c:formatCode>mmm\-yy</c:formatCode>
                <c:ptCount val="117"/>
                <c:pt idx="0">
                  <c:v>41487</c:v>
                </c:pt>
                <c:pt idx="1">
                  <c:v>41518</c:v>
                </c:pt>
                <c:pt idx="2">
                  <c:v>41548</c:v>
                </c:pt>
                <c:pt idx="3">
                  <c:v>41579</c:v>
                </c:pt>
                <c:pt idx="4">
                  <c:v>41609</c:v>
                </c:pt>
                <c:pt idx="5">
                  <c:v>41640</c:v>
                </c:pt>
                <c:pt idx="6">
                  <c:v>41671</c:v>
                </c:pt>
                <c:pt idx="7">
                  <c:v>41699</c:v>
                </c:pt>
                <c:pt idx="8">
                  <c:v>41730</c:v>
                </c:pt>
                <c:pt idx="9">
                  <c:v>41760</c:v>
                </c:pt>
                <c:pt idx="10">
                  <c:v>41791</c:v>
                </c:pt>
                <c:pt idx="11">
                  <c:v>41821</c:v>
                </c:pt>
                <c:pt idx="12">
                  <c:v>41852</c:v>
                </c:pt>
                <c:pt idx="13">
                  <c:v>41883</c:v>
                </c:pt>
                <c:pt idx="14">
                  <c:v>41913</c:v>
                </c:pt>
                <c:pt idx="15">
                  <c:v>41944</c:v>
                </c:pt>
                <c:pt idx="16">
                  <c:v>41974</c:v>
                </c:pt>
                <c:pt idx="17">
                  <c:v>42005</c:v>
                </c:pt>
                <c:pt idx="18">
                  <c:v>42036</c:v>
                </c:pt>
                <c:pt idx="19">
                  <c:v>42064</c:v>
                </c:pt>
                <c:pt idx="20">
                  <c:v>42095</c:v>
                </c:pt>
                <c:pt idx="21">
                  <c:v>42125</c:v>
                </c:pt>
                <c:pt idx="22">
                  <c:v>42156</c:v>
                </c:pt>
                <c:pt idx="23">
                  <c:v>42186</c:v>
                </c:pt>
                <c:pt idx="24">
                  <c:v>42217</c:v>
                </c:pt>
                <c:pt idx="25">
                  <c:v>42248</c:v>
                </c:pt>
                <c:pt idx="26">
                  <c:v>42278</c:v>
                </c:pt>
                <c:pt idx="27">
                  <c:v>42309</c:v>
                </c:pt>
                <c:pt idx="28">
                  <c:v>42339</c:v>
                </c:pt>
                <c:pt idx="29">
                  <c:v>42370</c:v>
                </c:pt>
                <c:pt idx="30">
                  <c:v>42401</c:v>
                </c:pt>
                <c:pt idx="31">
                  <c:v>42430</c:v>
                </c:pt>
                <c:pt idx="32">
                  <c:v>42461</c:v>
                </c:pt>
                <c:pt idx="33">
                  <c:v>42491</c:v>
                </c:pt>
                <c:pt idx="34">
                  <c:v>42522</c:v>
                </c:pt>
                <c:pt idx="35">
                  <c:v>42552</c:v>
                </c:pt>
                <c:pt idx="36">
                  <c:v>42583</c:v>
                </c:pt>
                <c:pt idx="37">
                  <c:v>42614</c:v>
                </c:pt>
                <c:pt idx="38">
                  <c:v>42644</c:v>
                </c:pt>
                <c:pt idx="39">
                  <c:v>42675</c:v>
                </c:pt>
                <c:pt idx="40">
                  <c:v>42705</c:v>
                </c:pt>
                <c:pt idx="41">
                  <c:v>42736</c:v>
                </c:pt>
                <c:pt idx="42">
                  <c:v>42767</c:v>
                </c:pt>
                <c:pt idx="43">
                  <c:v>42795</c:v>
                </c:pt>
                <c:pt idx="44">
                  <c:v>42826</c:v>
                </c:pt>
                <c:pt idx="45">
                  <c:v>42856</c:v>
                </c:pt>
                <c:pt idx="46">
                  <c:v>42887</c:v>
                </c:pt>
                <c:pt idx="47">
                  <c:v>42917</c:v>
                </c:pt>
                <c:pt idx="48">
                  <c:v>42948</c:v>
                </c:pt>
                <c:pt idx="49">
                  <c:v>42979</c:v>
                </c:pt>
                <c:pt idx="50">
                  <c:v>43009</c:v>
                </c:pt>
                <c:pt idx="51">
                  <c:v>43040</c:v>
                </c:pt>
                <c:pt idx="52">
                  <c:v>43070</c:v>
                </c:pt>
                <c:pt idx="53">
                  <c:v>43101</c:v>
                </c:pt>
                <c:pt idx="54">
                  <c:v>43132</c:v>
                </c:pt>
                <c:pt idx="55">
                  <c:v>43160</c:v>
                </c:pt>
                <c:pt idx="56">
                  <c:v>43191</c:v>
                </c:pt>
                <c:pt idx="57">
                  <c:v>43221</c:v>
                </c:pt>
                <c:pt idx="58">
                  <c:v>43252</c:v>
                </c:pt>
                <c:pt idx="59">
                  <c:v>43282</c:v>
                </c:pt>
                <c:pt idx="60">
                  <c:v>43313</c:v>
                </c:pt>
                <c:pt idx="61">
                  <c:v>43344</c:v>
                </c:pt>
                <c:pt idx="62">
                  <c:v>43374</c:v>
                </c:pt>
                <c:pt idx="63">
                  <c:v>43405</c:v>
                </c:pt>
                <c:pt idx="64">
                  <c:v>43435</c:v>
                </c:pt>
                <c:pt idx="65">
                  <c:v>43466</c:v>
                </c:pt>
                <c:pt idx="66">
                  <c:v>43497</c:v>
                </c:pt>
                <c:pt idx="67">
                  <c:v>43525</c:v>
                </c:pt>
                <c:pt idx="68">
                  <c:v>43556</c:v>
                </c:pt>
                <c:pt idx="69">
                  <c:v>43586</c:v>
                </c:pt>
                <c:pt idx="70">
                  <c:v>43617</c:v>
                </c:pt>
                <c:pt idx="71">
                  <c:v>43647</c:v>
                </c:pt>
                <c:pt idx="72">
                  <c:v>43678</c:v>
                </c:pt>
                <c:pt idx="73">
                  <c:v>43709</c:v>
                </c:pt>
                <c:pt idx="74">
                  <c:v>43739</c:v>
                </c:pt>
                <c:pt idx="75">
                  <c:v>43770</c:v>
                </c:pt>
                <c:pt idx="76">
                  <c:v>43800</c:v>
                </c:pt>
                <c:pt idx="77">
                  <c:v>43831</c:v>
                </c:pt>
                <c:pt idx="78">
                  <c:v>43862</c:v>
                </c:pt>
                <c:pt idx="79">
                  <c:v>43891</c:v>
                </c:pt>
                <c:pt idx="80">
                  <c:v>43922</c:v>
                </c:pt>
                <c:pt idx="81">
                  <c:v>43952</c:v>
                </c:pt>
                <c:pt idx="82">
                  <c:v>43983</c:v>
                </c:pt>
                <c:pt idx="83">
                  <c:v>44013</c:v>
                </c:pt>
                <c:pt idx="84">
                  <c:v>44044</c:v>
                </c:pt>
                <c:pt idx="85">
                  <c:v>44075</c:v>
                </c:pt>
                <c:pt idx="86">
                  <c:v>44105</c:v>
                </c:pt>
                <c:pt idx="87">
                  <c:v>44136</c:v>
                </c:pt>
                <c:pt idx="88">
                  <c:v>44166</c:v>
                </c:pt>
                <c:pt idx="89">
                  <c:v>44197</c:v>
                </c:pt>
                <c:pt idx="90">
                  <c:v>44228</c:v>
                </c:pt>
                <c:pt idx="91">
                  <c:v>44256</c:v>
                </c:pt>
                <c:pt idx="92">
                  <c:v>44287</c:v>
                </c:pt>
                <c:pt idx="93">
                  <c:v>44317</c:v>
                </c:pt>
                <c:pt idx="94">
                  <c:v>44348</c:v>
                </c:pt>
                <c:pt idx="95">
                  <c:v>44378</c:v>
                </c:pt>
                <c:pt idx="96">
                  <c:v>44409</c:v>
                </c:pt>
                <c:pt idx="97">
                  <c:v>44440</c:v>
                </c:pt>
                <c:pt idx="98">
                  <c:v>44470</c:v>
                </c:pt>
                <c:pt idx="99">
                  <c:v>44501</c:v>
                </c:pt>
                <c:pt idx="100">
                  <c:v>44531</c:v>
                </c:pt>
                <c:pt idx="101">
                  <c:v>44562</c:v>
                </c:pt>
                <c:pt idx="102">
                  <c:v>44593</c:v>
                </c:pt>
                <c:pt idx="103">
                  <c:v>44621</c:v>
                </c:pt>
                <c:pt idx="104">
                  <c:v>44652</c:v>
                </c:pt>
                <c:pt idx="105">
                  <c:v>44682</c:v>
                </c:pt>
                <c:pt idx="106">
                  <c:v>44713</c:v>
                </c:pt>
                <c:pt idx="107">
                  <c:v>44743</c:v>
                </c:pt>
                <c:pt idx="108">
                  <c:v>44774</c:v>
                </c:pt>
                <c:pt idx="109">
                  <c:v>44805</c:v>
                </c:pt>
                <c:pt idx="110">
                  <c:v>44835</c:v>
                </c:pt>
                <c:pt idx="111">
                  <c:v>44866</c:v>
                </c:pt>
                <c:pt idx="112">
                  <c:v>44896</c:v>
                </c:pt>
                <c:pt idx="113">
                  <c:v>44927</c:v>
                </c:pt>
                <c:pt idx="114">
                  <c:v>44958</c:v>
                </c:pt>
                <c:pt idx="115">
                  <c:v>44986</c:v>
                </c:pt>
                <c:pt idx="116">
                  <c:v>45017</c:v>
                </c:pt>
              </c:numCache>
            </c:numRef>
          </c:cat>
          <c:val>
            <c:numRef>
              <c:f>'Problem 4 a(1)'!$K$2:$K$118</c:f>
              <c:numCache>
                <c:formatCode>General</c:formatCode>
                <c:ptCount val="117"/>
                <c:pt idx="0">
                  <c:v>8164</c:v>
                </c:pt>
                <c:pt idx="1">
                  <c:v>6751</c:v>
                </c:pt>
                <c:pt idx="2">
                  <c:v>8435</c:v>
                </c:pt>
                <c:pt idx="3">
                  <c:v>8628</c:v>
                </c:pt>
                <c:pt idx="4">
                  <c:v>8327</c:v>
                </c:pt>
                <c:pt idx="5">
                  <c:v>10286</c:v>
                </c:pt>
                <c:pt idx="6">
                  <c:v>10368</c:v>
                </c:pt>
                <c:pt idx="7">
                  <c:v>11926</c:v>
                </c:pt>
                <c:pt idx="8">
                  <c:v>10230</c:v>
                </c:pt>
                <c:pt idx="9">
                  <c:v>8359</c:v>
                </c:pt>
                <c:pt idx="10">
                  <c:v>7776</c:v>
                </c:pt>
                <c:pt idx="11">
                  <c:v>8243</c:v>
                </c:pt>
                <c:pt idx="12">
                  <c:v>7212</c:v>
                </c:pt>
                <c:pt idx="13">
                  <c:v>7208</c:v>
                </c:pt>
                <c:pt idx="14">
                  <c:v>7257</c:v>
                </c:pt>
                <c:pt idx="15">
                  <c:v>8513</c:v>
                </c:pt>
                <c:pt idx="16">
                  <c:v>8647</c:v>
                </c:pt>
                <c:pt idx="17">
                  <c:v>8797</c:v>
                </c:pt>
                <c:pt idx="18">
                  <c:v>10465</c:v>
                </c:pt>
                <c:pt idx="19">
                  <c:v>11803</c:v>
                </c:pt>
                <c:pt idx="20">
                  <c:v>10281</c:v>
                </c:pt>
                <c:pt idx="21">
                  <c:v>10386</c:v>
                </c:pt>
                <c:pt idx="22">
                  <c:v>8028</c:v>
                </c:pt>
                <c:pt idx="23">
                  <c:v>7788</c:v>
                </c:pt>
                <c:pt idx="24">
                  <c:v>7109</c:v>
                </c:pt>
                <c:pt idx="25">
                  <c:v>7597</c:v>
                </c:pt>
                <c:pt idx="26">
                  <c:v>8260</c:v>
                </c:pt>
                <c:pt idx="27">
                  <c:v>8672</c:v>
                </c:pt>
                <c:pt idx="28">
                  <c:v>7380</c:v>
                </c:pt>
                <c:pt idx="29">
                  <c:v>9645</c:v>
                </c:pt>
                <c:pt idx="30">
                  <c:v>10674</c:v>
                </c:pt>
                <c:pt idx="31">
                  <c:v>10131</c:v>
                </c:pt>
                <c:pt idx="32">
                  <c:v>9684</c:v>
                </c:pt>
                <c:pt idx="33">
                  <c:v>9870</c:v>
                </c:pt>
                <c:pt idx="34">
                  <c:v>8504</c:v>
                </c:pt>
                <c:pt idx="35">
                  <c:v>8544</c:v>
                </c:pt>
                <c:pt idx="36">
                  <c:v>7496</c:v>
                </c:pt>
                <c:pt idx="37">
                  <c:v>7528</c:v>
                </c:pt>
                <c:pt idx="38">
                  <c:v>8295</c:v>
                </c:pt>
                <c:pt idx="39">
                  <c:v>7942</c:v>
                </c:pt>
                <c:pt idx="40">
                  <c:v>9686</c:v>
                </c:pt>
                <c:pt idx="41">
                  <c:v>10214</c:v>
                </c:pt>
                <c:pt idx="42">
                  <c:v>11050</c:v>
                </c:pt>
                <c:pt idx="43">
                  <c:v>10320</c:v>
                </c:pt>
                <c:pt idx="44">
                  <c:v>8270</c:v>
                </c:pt>
                <c:pt idx="45">
                  <c:v>9556</c:v>
                </c:pt>
                <c:pt idx="46">
                  <c:v>10349</c:v>
                </c:pt>
                <c:pt idx="47">
                  <c:v>7938</c:v>
                </c:pt>
                <c:pt idx="48">
                  <c:v>6467</c:v>
                </c:pt>
                <c:pt idx="49">
                  <c:v>7837</c:v>
                </c:pt>
                <c:pt idx="50">
                  <c:v>8325</c:v>
                </c:pt>
                <c:pt idx="51">
                  <c:v>8532</c:v>
                </c:pt>
                <c:pt idx="52">
                  <c:v>9786</c:v>
                </c:pt>
                <c:pt idx="53">
                  <c:v>9492</c:v>
                </c:pt>
                <c:pt idx="54">
                  <c:v>10284</c:v>
                </c:pt>
                <c:pt idx="55">
                  <c:v>9606</c:v>
                </c:pt>
                <c:pt idx="56">
                  <c:v>10037</c:v>
                </c:pt>
                <c:pt idx="57">
                  <c:v>10208</c:v>
                </c:pt>
                <c:pt idx="58">
                  <c:v>8585</c:v>
                </c:pt>
                <c:pt idx="59">
                  <c:v>10054</c:v>
                </c:pt>
                <c:pt idx="60">
                  <c:v>7521</c:v>
                </c:pt>
                <c:pt idx="61">
                  <c:v>7092</c:v>
                </c:pt>
                <c:pt idx="62">
                  <c:v>8594</c:v>
                </c:pt>
                <c:pt idx="63">
                  <c:v>8393</c:v>
                </c:pt>
                <c:pt idx="64">
                  <c:v>8940</c:v>
                </c:pt>
                <c:pt idx="65">
                  <c:v>9710</c:v>
                </c:pt>
                <c:pt idx="66">
                  <c:v>9392</c:v>
                </c:pt>
                <c:pt idx="67">
                  <c:v>11138</c:v>
                </c:pt>
                <c:pt idx="68">
                  <c:v>10664</c:v>
                </c:pt>
                <c:pt idx="69">
                  <c:v>9681</c:v>
                </c:pt>
                <c:pt idx="70">
                  <c:v>8698</c:v>
                </c:pt>
                <c:pt idx="71">
                  <c:v>8581</c:v>
                </c:pt>
                <c:pt idx="72">
                  <c:v>6310</c:v>
                </c:pt>
                <c:pt idx="73">
                  <c:v>7357</c:v>
                </c:pt>
                <c:pt idx="74">
                  <c:v>8353</c:v>
                </c:pt>
                <c:pt idx="75">
                  <c:v>8292</c:v>
                </c:pt>
                <c:pt idx="76">
                  <c:v>9078</c:v>
                </c:pt>
                <c:pt idx="77">
                  <c:v>10353</c:v>
                </c:pt>
                <c:pt idx="78">
                  <c:v>9228</c:v>
                </c:pt>
                <c:pt idx="79">
                  <c:v>9420</c:v>
                </c:pt>
                <c:pt idx="80">
                  <c:v>10636</c:v>
                </c:pt>
                <c:pt idx="81">
                  <c:v>9953</c:v>
                </c:pt>
                <c:pt idx="82">
                  <c:v>9177</c:v>
                </c:pt>
                <c:pt idx="83">
                  <c:v>7192</c:v>
                </c:pt>
                <c:pt idx="84">
                  <c:v>6624</c:v>
                </c:pt>
                <c:pt idx="85">
                  <c:v>9084</c:v>
                </c:pt>
                <c:pt idx="86">
                  <c:v>7771</c:v>
                </c:pt>
                <c:pt idx="87">
                  <c:v>9400</c:v>
                </c:pt>
                <c:pt idx="88">
                  <c:v>9194</c:v>
                </c:pt>
                <c:pt idx="89">
                  <c:v>10002</c:v>
                </c:pt>
                <c:pt idx="90">
                  <c:v>10538</c:v>
                </c:pt>
                <c:pt idx="91">
                  <c:v>8717</c:v>
                </c:pt>
                <c:pt idx="92">
                  <c:v>11071</c:v>
                </c:pt>
                <c:pt idx="93">
                  <c:v>9441</c:v>
                </c:pt>
                <c:pt idx="94">
                  <c:v>8548</c:v>
                </c:pt>
                <c:pt idx="95">
                  <c:v>8566</c:v>
                </c:pt>
                <c:pt idx="96">
                  <c:v>7876</c:v>
                </c:pt>
                <c:pt idx="97">
                  <c:v>7534</c:v>
                </c:pt>
                <c:pt idx="98">
                  <c:v>7125</c:v>
                </c:pt>
                <c:pt idx="99">
                  <c:v>8743</c:v>
                </c:pt>
                <c:pt idx="100">
                  <c:v>9070</c:v>
                </c:pt>
                <c:pt idx="101">
                  <c:v>9132</c:v>
                </c:pt>
                <c:pt idx="102">
                  <c:v>10237</c:v>
                </c:pt>
                <c:pt idx="103">
                  <c:v>9414</c:v>
                </c:pt>
                <c:pt idx="104">
                  <c:v>9033</c:v>
                </c:pt>
                <c:pt idx="105">
                  <c:v>8375</c:v>
                </c:pt>
                <c:pt idx="106">
                  <c:v>8906</c:v>
                </c:pt>
                <c:pt idx="107">
                  <c:v>7122</c:v>
                </c:pt>
                <c:pt idx="108">
                  <c:v>7193</c:v>
                </c:pt>
                <c:pt idx="109">
                  <c:v>7619</c:v>
                </c:pt>
                <c:pt idx="110">
                  <c:v>7793</c:v>
                </c:pt>
                <c:pt idx="111">
                  <c:v>7434</c:v>
                </c:pt>
                <c:pt idx="112">
                  <c:v>10299</c:v>
                </c:pt>
                <c:pt idx="113">
                  <c:v>9082</c:v>
                </c:pt>
                <c:pt idx="114">
                  <c:v>9805</c:v>
                </c:pt>
                <c:pt idx="115">
                  <c:v>10482</c:v>
                </c:pt>
                <c:pt idx="116">
                  <c:v>10858</c:v>
                </c:pt>
              </c:numCache>
            </c:numRef>
          </c:val>
          <c:smooth val="0"/>
          <c:extLst>
            <c:ext xmlns:c16="http://schemas.microsoft.com/office/drawing/2014/chart" uri="{C3380CC4-5D6E-409C-BE32-E72D297353CC}">
              <c16:uniqueId val="{00000000-7EAF-4E21-8B8C-09E27473AD80}"/>
            </c:ext>
          </c:extLst>
        </c:ser>
        <c:dLbls>
          <c:showLegendKey val="0"/>
          <c:showVal val="0"/>
          <c:showCatName val="0"/>
          <c:showSerName val="0"/>
          <c:showPercent val="0"/>
          <c:showBubbleSize val="0"/>
        </c:dLbls>
        <c:marker val="1"/>
        <c:smooth val="0"/>
        <c:axId val="562965279"/>
        <c:axId val="562982559"/>
      </c:lineChart>
      <c:dateAx>
        <c:axId val="562965279"/>
        <c:scaling>
          <c:orientation val="minMax"/>
        </c:scaling>
        <c:delete val="0"/>
        <c:axPos val="b"/>
        <c:numFmt formatCode="mmm\-yy" sourceLinked="1"/>
        <c:majorTickMark val="none"/>
        <c:minorTickMark val="none"/>
        <c:tickLblPos val="low"/>
        <c:txPr>
          <a:bodyPr rot="-5400000" vert="horz"/>
          <a:lstStyle/>
          <a:p>
            <a:pPr>
              <a:defRPr sz="800"/>
            </a:pPr>
            <a:endParaRPr lang="en-US"/>
          </a:p>
        </c:txPr>
        <c:crossAx val="562982559"/>
        <c:crosses val="autoZero"/>
        <c:auto val="1"/>
        <c:lblOffset val="100"/>
        <c:baseTimeUnit val="months"/>
      </c:dateAx>
      <c:valAx>
        <c:axId val="562982559"/>
        <c:scaling>
          <c:orientation val="minMax"/>
        </c:scaling>
        <c:delete val="0"/>
        <c:axPos val="l"/>
        <c:numFmt formatCode="General" sourceLinked="0"/>
        <c:majorTickMark val="out"/>
        <c:minorTickMark val="none"/>
        <c:tickLblPos val="nextTo"/>
        <c:txPr>
          <a:bodyPr/>
          <a:lstStyle/>
          <a:p>
            <a:pPr>
              <a:defRPr sz="800" b="0"/>
            </a:pPr>
            <a:endParaRPr lang="en-US"/>
          </a:p>
        </c:txPr>
        <c:crossAx val="562965279"/>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Deseasonalized Errors</a:t>
            </a:r>
          </a:p>
        </c:rich>
      </c:tx>
      <c:overlay val="0"/>
    </c:title>
    <c:autoTitleDeleted val="0"/>
    <c:plotArea>
      <c:layout/>
      <c:lineChart>
        <c:grouping val="standard"/>
        <c:varyColors val="0"/>
        <c:ser>
          <c:idx val="0"/>
          <c:order val="0"/>
          <c:tx>
            <c:v>Deseasonalized Errors</c:v>
          </c:tx>
          <c:spPr>
            <a:ln>
              <a:solidFill>
                <a:srgbClr val="333399"/>
              </a:solidFill>
              <a:prstDash val="solid"/>
            </a:ln>
          </c:spPr>
          <c:marker>
            <c:symbol val="none"/>
          </c:marker>
          <c:cat>
            <c:strRef>
              <c:f>'Moving averages  DS(North)'!$A$146:$A$270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'Moving averages  DS(North)'!$F$150:$F$270</c:f>
              <c:numCache>
                <c:formatCode>0.00</c:formatCode>
                <c:ptCount val="121"/>
                <c:pt idx="0">
                  <c:v>1144.0851148725924</c:v>
                </c:pt>
                <c:pt idx="1">
                  <c:v>-97.220385914462895</c:v>
                </c:pt>
                <c:pt idx="2">
                  <c:v>157.18140986575054</c:v>
                </c:pt>
                <c:pt idx="3">
                  <c:v>-635.91812236482838</c:v>
                </c:pt>
                <c:pt idx="4">
                  <c:v>-798.1189704420176</c:v>
                </c:pt>
                <c:pt idx="5">
                  <c:v>278.40985471810745</c:v>
                </c:pt>
                <c:pt idx="6">
                  <c:v>-300.45341673246185</c:v>
                </c:pt>
                <c:pt idx="7">
                  <c:v>183.25510665595175</c:v>
                </c:pt>
                <c:pt idx="8">
                  <c:v>183.45110754740926</c:v>
                </c:pt>
                <c:pt idx="9">
                  <c:v>-351.17358880402207</c:v>
                </c:pt>
                <c:pt idx="10">
                  <c:v>-1073.9366576844204</c:v>
                </c:pt>
                <c:pt idx="11">
                  <c:v>598.10252741043223</c:v>
                </c:pt>
                <c:pt idx="12">
                  <c:v>-167.46428460145762</c:v>
                </c:pt>
                <c:pt idx="13">
                  <c:v>-729.08611780601132</c:v>
                </c:pt>
                <c:pt idx="14">
                  <c:v>442.62098129460355</c:v>
                </c:pt>
                <c:pt idx="15">
                  <c:v>339.22166552278577</c:v>
                </c:pt>
                <c:pt idx="16">
                  <c:v>937.01647288632921</c:v>
                </c:pt>
                <c:pt idx="17">
                  <c:v>152.55817052446764</c:v>
                </c:pt>
                <c:pt idx="18">
                  <c:v>584.79880830362163</c:v>
                </c:pt>
                <c:pt idx="19">
                  <c:v>-46.773445160388292</c:v>
                </c:pt>
                <c:pt idx="20">
                  <c:v>302.68849069763382</c:v>
                </c:pt>
                <c:pt idx="21">
                  <c:v>-480.34500137447867</c:v>
                </c:pt>
                <c:pt idx="22">
                  <c:v>-1134.3751370443351</c:v>
                </c:pt>
                <c:pt idx="23">
                  <c:v>-217.32813449127207</c:v>
                </c:pt>
                <c:pt idx="24">
                  <c:v>-647.66706170234465</c:v>
                </c:pt>
                <c:pt idx="25">
                  <c:v>683.53376324534293</c:v>
                </c:pt>
                <c:pt idx="26">
                  <c:v>751.99655980162061</c:v>
                </c:pt>
                <c:pt idx="27">
                  <c:v>99.378225917025702</c:v>
                </c:pt>
                <c:pt idx="28">
                  <c:v>405.80800117543004</c:v>
                </c:pt>
                <c:pt idx="29">
                  <c:v>194.32177037458314</c:v>
                </c:pt>
                <c:pt idx="30">
                  <c:v>202.97446392705206</c:v>
                </c:pt>
                <c:pt idx="31">
                  <c:v>-670.34811260611787</c:v>
                </c:pt>
                <c:pt idx="32">
                  <c:v>-348.37714289775431</c:v>
                </c:pt>
                <c:pt idx="33">
                  <c:v>1165.8963062261028</c:v>
                </c:pt>
                <c:pt idx="34">
                  <c:v>1092.6360124295734</c:v>
                </c:pt>
                <c:pt idx="35">
                  <c:v>-1647.6359543632716</c:v>
                </c:pt>
                <c:pt idx="36">
                  <c:v>-568.91676333308351</c:v>
                </c:pt>
                <c:pt idx="37">
                  <c:v>203.37535989267053</c:v>
                </c:pt>
                <c:pt idx="38">
                  <c:v>557.06443851090262</c:v>
                </c:pt>
                <c:pt idx="39">
                  <c:v>644.03043638039708</c:v>
                </c:pt>
                <c:pt idx="40">
                  <c:v>-88.502079619893266</c:v>
                </c:pt>
                <c:pt idx="41">
                  <c:v>-1199.4024333126308</c:v>
                </c:pt>
                <c:pt idx="42">
                  <c:v>391.81305283257461</c:v>
                </c:pt>
                <c:pt idx="43">
                  <c:v>133.31968223945114</c:v>
                </c:pt>
                <c:pt idx="44">
                  <c:v>-647.96942817358831</c:v>
                </c:pt>
                <c:pt idx="45">
                  <c:v>-427.90698844864892</c:v>
                </c:pt>
                <c:pt idx="46">
                  <c:v>395.38680537537221</c:v>
                </c:pt>
                <c:pt idx="47">
                  <c:v>495.86107850877488</c:v>
                </c:pt>
                <c:pt idx="48">
                  <c:v>1073.7463467168745</c:v>
                </c:pt>
                <c:pt idx="49">
                  <c:v>47.845561931182601</c:v>
                </c:pt>
                <c:pt idx="50">
                  <c:v>-988.33610394784591</c:v>
                </c:pt>
                <c:pt idx="51">
                  <c:v>-938.98809518567577</c:v>
                </c:pt>
                <c:pt idx="52">
                  <c:v>105.556864233542</c:v>
                </c:pt>
                <c:pt idx="53">
                  <c:v>-380.13125949555615</c:v>
                </c:pt>
                <c:pt idx="54">
                  <c:v>-518.20736766684968</c:v>
                </c:pt>
                <c:pt idx="55">
                  <c:v>1068.063666958471</c:v>
                </c:pt>
                <c:pt idx="56">
                  <c:v>284.10656680549437</c:v>
                </c:pt>
                <c:pt idx="57">
                  <c:v>345.66573158018036</c:v>
                </c:pt>
                <c:pt idx="58">
                  <c:v>300.95974555695102</c:v>
                </c:pt>
                <c:pt idx="59">
                  <c:v>-397.44565797276846</c:v>
                </c:pt>
                <c:pt idx="60">
                  <c:v>-376.02752919238628</c:v>
                </c:pt>
                <c:pt idx="61">
                  <c:v>219.68999688209442</c:v>
                </c:pt>
                <c:pt idx="62">
                  <c:v>-1586.2288148702592</c:v>
                </c:pt>
                <c:pt idx="63">
                  <c:v>992.95977410060004</c:v>
                </c:pt>
                <c:pt idx="64">
                  <c:v>-549.69624103219758</c:v>
                </c:pt>
                <c:pt idx="65">
                  <c:v>178.43004187272709</c:v>
                </c:pt>
                <c:pt idx="66">
                  <c:v>269.18942228750711</c:v>
                </c:pt>
                <c:pt idx="67">
                  <c:v>1000.9145614948011</c:v>
                </c:pt>
                <c:pt idx="68">
                  <c:v>56.070562744802373</c:v>
                </c:pt>
                <c:pt idx="69">
                  <c:v>90.415753890214546</c:v>
                </c:pt>
                <c:pt idx="70">
                  <c:v>-1273.4219612224188</c:v>
                </c:pt>
                <c:pt idx="71">
                  <c:v>661.84536381878752</c:v>
                </c:pt>
                <c:pt idx="72">
                  <c:v>-139.8281270800253</c:v>
                </c:pt>
                <c:pt idx="73">
                  <c:v>-343.63676879293416</c:v>
                </c:pt>
                <c:pt idx="74">
                  <c:v>-66.855295526263944</c:v>
                </c:pt>
                <c:pt idx="75">
                  <c:v>424.4425526221421</c:v>
                </c:pt>
                <c:pt idx="76">
                  <c:v>-11.010043339427284</c:v>
                </c:pt>
                <c:pt idx="77">
                  <c:v>-511.96040667976376</c:v>
                </c:pt>
                <c:pt idx="78">
                  <c:v>-68.206618380419968</c:v>
                </c:pt>
                <c:pt idx="79">
                  <c:v>-248.51385865552766</c:v>
                </c:pt>
                <c:pt idx="80">
                  <c:v>423.76318769739555</c:v>
                </c:pt>
                <c:pt idx="81">
                  <c:v>435.87036851571975</c:v>
                </c:pt>
                <c:pt idx="82">
                  <c:v>1227.8872552889588</c:v>
                </c:pt>
                <c:pt idx="83">
                  <c:v>-133.22296723104228</c:v>
                </c:pt>
                <c:pt idx="84">
                  <c:v>-335.11491137345365</c:v>
                </c:pt>
                <c:pt idx="85">
                  <c:v>182.15251625909877</c:v>
                </c:pt>
                <c:pt idx="86">
                  <c:v>110.66755939980794</c:v>
                </c:pt>
                <c:pt idx="87">
                  <c:v>-771.80581946863458</c:v>
                </c:pt>
                <c:pt idx="88">
                  <c:v>-27.356655213498016</c:v>
                </c:pt>
                <c:pt idx="89">
                  <c:v>935.51771874694168</c:v>
                </c:pt>
                <c:pt idx="90">
                  <c:v>-404.53548549602419</c:v>
                </c:pt>
                <c:pt idx="91">
                  <c:v>-360.66062268131463</c:v>
                </c:pt>
                <c:pt idx="92">
                  <c:v>-539.78626182292464</c:v>
                </c:pt>
                <c:pt idx="93">
                  <c:v>-421.26449376744131</c:v>
                </c:pt>
                <c:pt idx="94">
                  <c:v>82.099022842165141</c:v>
                </c:pt>
                <c:pt idx="95">
                  <c:v>116.27050224908999</c:v>
                </c:pt>
                <c:pt idx="96">
                  <c:v>953.16179845652914</c:v>
                </c:pt>
                <c:pt idx="97">
                  <c:v>-465.08788212223953</c:v>
                </c:pt>
                <c:pt idx="98">
                  <c:v>151.07608600415369</c:v>
                </c:pt>
                <c:pt idx="99">
                  <c:v>-564.06221499048661</c:v>
                </c:pt>
                <c:pt idx="100">
                  <c:v>-225.17167599820641</c:v>
                </c:pt>
                <c:pt idx="101">
                  <c:v>299.33507365012883</c:v>
                </c:pt>
                <c:pt idx="102">
                  <c:v>-199.11113158464468</c:v>
                </c:pt>
                <c:pt idx="103">
                  <c:v>-1149.3564183896833</c:v>
                </c:pt>
                <c:pt idx="104">
                  <c:v>136.87129918780192</c:v>
                </c:pt>
                <c:pt idx="105">
                  <c:v>-435.86441626449596</c:v>
                </c:pt>
                <c:pt idx="106">
                  <c:v>360.94496980634358</c:v>
                </c:pt>
                <c:pt idx="107">
                  <c:v>1055.5511376008999</c:v>
                </c:pt>
                <c:pt idx="108">
                  <c:v>609.35146306330535</c:v>
                </c:pt>
                <c:pt idx="109">
                  <c:v>-312.34119884758547</c:v>
                </c:pt>
                <c:pt idx="110">
                  <c:v>-45.620800857665017</c:v>
                </c:pt>
                <c:pt idx="111">
                  <c:v>-339.02841122878817</c:v>
                </c:pt>
                <c:pt idx="112">
                  <c:v>-252.28149928649509</c:v>
                </c:pt>
              </c:numCache>
            </c:numRef>
          </c:val>
          <c:smooth val="0"/>
          <c:extLst>
            <c:ext xmlns:c16="http://schemas.microsoft.com/office/drawing/2014/chart" uri="{C3380CC4-5D6E-409C-BE32-E72D297353CC}">
              <c16:uniqueId val="{00000000-2B9A-488A-80C4-43CCF670AA80}"/>
            </c:ext>
          </c:extLst>
        </c:ser>
        <c:dLbls>
          <c:showLegendKey val="0"/>
          <c:showVal val="0"/>
          <c:showCatName val="0"/>
          <c:showSerName val="0"/>
          <c:showPercent val="0"/>
          <c:showBubbleSize val="0"/>
        </c:dLbls>
        <c:smooth val="0"/>
        <c:axId val="1521681055"/>
        <c:axId val="1521682015"/>
      </c:lineChart>
      <c:catAx>
        <c:axId val="1521681055"/>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521682015"/>
        <c:crosses val="autoZero"/>
        <c:auto val="1"/>
        <c:lblAlgn val="ctr"/>
        <c:lblOffset val="100"/>
        <c:noMultiLvlLbl val="0"/>
      </c:catAx>
      <c:valAx>
        <c:axId val="1521682015"/>
        <c:scaling>
          <c:orientation val="minMax"/>
        </c:scaling>
        <c:delete val="0"/>
        <c:axPos val="l"/>
        <c:numFmt formatCode="0.00" sourceLinked="0"/>
        <c:majorTickMark val="out"/>
        <c:minorTickMark val="none"/>
        <c:tickLblPos val="nextTo"/>
        <c:txPr>
          <a:bodyPr/>
          <a:lstStyle/>
          <a:p>
            <a:pPr>
              <a:defRPr sz="800" b="0"/>
            </a:pPr>
            <a:endParaRPr lang="en-US"/>
          </a:p>
        </c:txPr>
        <c:crossAx val="1521681055"/>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Forecast and Original Observations</a:t>
            </a:r>
          </a:p>
        </c:rich>
      </c:tx>
      <c:layout/>
      <c:overlay val="0"/>
    </c:title>
    <c:autoTitleDeleted val="0"/>
    <c:plotArea>
      <c:layout/>
      <c:lineChart>
        <c:grouping val="standard"/>
        <c:varyColors val="0"/>
        <c:ser>
          <c:idx val="0"/>
          <c:order val="0"/>
          <c:tx>
            <c:v>South</c:v>
          </c:tx>
          <c:spPr>
            <a:ln>
              <a:solidFill>
                <a:srgbClr val="333399"/>
              </a:solidFill>
              <a:prstDash val="solid"/>
            </a:ln>
          </c:spPr>
          <c:marker>
            <c:symbol val="none"/>
          </c:marker>
          <c:cat>
            <c:strRef>
              <c:f>'Moving average DS(south)'!$A$146:$A$270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'Moving average DS(south)'!$B$146:$B$270</c:f>
              <c:numCache>
                <c:formatCode>0.00</c:formatCode>
                <c:ptCount val="125"/>
                <c:pt idx="0">
                  <c:v>12326</c:v>
                </c:pt>
                <c:pt idx="1">
                  <c:v>13229</c:v>
                </c:pt>
                <c:pt idx="2">
                  <c:v>13278</c:v>
                </c:pt>
                <c:pt idx="3">
                  <c:v>13592</c:v>
                </c:pt>
                <c:pt idx="4">
                  <c:v>14711</c:v>
                </c:pt>
                <c:pt idx="5">
                  <c:v>16204</c:v>
                </c:pt>
                <c:pt idx="6">
                  <c:v>17507</c:v>
                </c:pt>
                <c:pt idx="7">
                  <c:v>18537</c:v>
                </c:pt>
                <c:pt idx="8">
                  <c:v>13933</c:v>
                </c:pt>
                <c:pt idx="9">
                  <c:v>16680</c:v>
                </c:pt>
                <c:pt idx="10">
                  <c:v>14793</c:v>
                </c:pt>
                <c:pt idx="11">
                  <c:v>12742</c:v>
                </c:pt>
                <c:pt idx="12">
                  <c:v>11850</c:v>
                </c:pt>
                <c:pt idx="13">
                  <c:v>13061</c:v>
                </c:pt>
                <c:pt idx="14">
                  <c:v>13179</c:v>
                </c:pt>
                <c:pt idx="15">
                  <c:v>14340</c:v>
                </c:pt>
                <c:pt idx="16">
                  <c:v>15465</c:v>
                </c:pt>
                <c:pt idx="17">
                  <c:v>16643</c:v>
                </c:pt>
                <c:pt idx="18">
                  <c:v>17772</c:v>
                </c:pt>
                <c:pt idx="19">
                  <c:v>16582</c:v>
                </c:pt>
                <c:pt idx="20">
                  <c:v>15786</c:v>
                </c:pt>
                <c:pt idx="21">
                  <c:v>15861</c:v>
                </c:pt>
                <c:pt idx="22">
                  <c:v>15179</c:v>
                </c:pt>
                <c:pt idx="23">
                  <c:v>13520</c:v>
                </c:pt>
                <c:pt idx="24">
                  <c:v>12332</c:v>
                </c:pt>
                <c:pt idx="25">
                  <c:v>12433</c:v>
                </c:pt>
                <c:pt idx="26">
                  <c:v>12867</c:v>
                </c:pt>
                <c:pt idx="27">
                  <c:v>13505</c:v>
                </c:pt>
                <c:pt idx="28">
                  <c:v>16212</c:v>
                </c:pt>
                <c:pt idx="29">
                  <c:v>17088</c:v>
                </c:pt>
                <c:pt idx="30">
                  <c:v>17147</c:v>
                </c:pt>
                <c:pt idx="31">
                  <c:v>19881</c:v>
                </c:pt>
                <c:pt idx="32">
                  <c:v>14570</c:v>
                </c:pt>
                <c:pt idx="33">
                  <c:v>15410</c:v>
                </c:pt>
                <c:pt idx="34">
                  <c:v>14320</c:v>
                </c:pt>
                <c:pt idx="35">
                  <c:v>14438</c:v>
                </c:pt>
                <c:pt idx="36">
                  <c:v>14051</c:v>
                </c:pt>
                <c:pt idx="37">
                  <c:v>14050</c:v>
                </c:pt>
                <c:pt idx="38">
                  <c:v>14626</c:v>
                </c:pt>
                <c:pt idx="39">
                  <c:v>14553</c:v>
                </c:pt>
                <c:pt idx="40">
                  <c:v>15190</c:v>
                </c:pt>
                <c:pt idx="41">
                  <c:v>17059</c:v>
                </c:pt>
                <c:pt idx="42">
                  <c:v>18541</c:v>
                </c:pt>
                <c:pt idx="43">
                  <c:v>18567</c:v>
                </c:pt>
                <c:pt idx="44">
                  <c:v>16684</c:v>
                </c:pt>
                <c:pt idx="45">
                  <c:v>14523</c:v>
                </c:pt>
                <c:pt idx="46">
                  <c:v>13316</c:v>
                </c:pt>
                <c:pt idx="47">
                  <c:v>14466</c:v>
                </c:pt>
                <c:pt idx="48">
                  <c:v>15045</c:v>
                </c:pt>
                <c:pt idx="49">
                  <c:v>15028</c:v>
                </c:pt>
                <c:pt idx="50">
                  <c:v>15187</c:v>
                </c:pt>
                <c:pt idx="51">
                  <c:v>14271</c:v>
                </c:pt>
                <c:pt idx="52">
                  <c:v>15923</c:v>
                </c:pt>
                <c:pt idx="53">
                  <c:v>16632</c:v>
                </c:pt>
                <c:pt idx="54">
                  <c:v>18432</c:v>
                </c:pt>
                <c:pt idx="55">
                  <c:v>19743</c:v>
                </c:pt>
                <c:pt idx="56">
                  <c:v>15632</c:v>
                </c:pt>
                <c:pt idx="57">
                  <c:v>16404</c:v>
                </c:pt>
                <c:pt idx="58">
                  <c:v>15572</c:v>
                </c:pt>
                <c:pt idx="59">
                  <c:v>14310</c:v>
                </c:pt>
                <c:pt idx="60">
                  <c:v>16102</c:v>
                </c:pt>
                <c:pt idx="61">
                  <c:v>14942</c:v>
                </c:pt>
                <c:pt idx="62">
                  <c:v>14242</c:v>
                </c:pt>
                <c:pt idx="63">
                  <c:v>15039</c:v>
                </c:pt>
                <c:pt idx="64">
                  <c:v>15683</c:v>
                </c:pt>
                <c:pt idx="65">
                  <c:v>19459</c:v>
                </c:pt>
                <c:pt idx="66">
                  <c:v>18687</c:v>
                </c:pt>
                <c:pt idx="67">
                  <c:v>20459</c:v>
                </c:pt>
                <c:pt idx="68">
                  <c:v>17137</c:v>
                </c:pt>
                <c:pt idx="69">
                  <c:v>16594</c:v>
                </c:pt>
                <c:pt idx="70">
                  <c:v>16274</c:v>
                </c:pt>
                <c:pt idx="71">
                  <c:v>15103</c:v>
                </c:pt>
                <c:pt idx="72">
                  <c:v>15413</c:v>
                </c:pt>
                <c:pt idx="73">
                  <c:v>14860</c:v>
                </c:pt>
                <c:pt idx="74">
                  <c:v>14334</c:v>
                </c:pt>
                <c:pt idx="75">
                  <c:v>14398</c:v>
                </c:pt>
                <c:pt idx="76">
                  <c:v>16939</c:v>
                </c:pt>
                <c:pt idx="77">
                  <c:v>19489</c:v>
                </c:pt>
                <c:pt idx="78">
                  <c:v>20016</c:v>
                </c:pt>
                <c:pt idx="79">
                  <c:v>22099</c:v>
                </c:pt>
                <c:pt idx="80">
                  <c:v>16689</c:v>
                </c:pt>
                <c:pt idx="81">
                  <c:v>16804</c:v>
                </c:pt>
                <c:pt idx="82">
                  <c:v>16543</c:v>
                </c:pt>
                <c:pt idx="83">
                  <c:v>16045</c:v>
                </c:pt>
                <c:pt idx="84">
                  <c:v>16896</c:v>
                </c:pt>
                <c:pt idx="85">
                  <c:v>16546</c:v>
                </c:pt>
                <c:pt idx="86">
                  <c:v>15039</c:v>
                </c:pt>
                <c:pt idx="87">
                  <c:v>16872</c:v>
                </c:pt>
                <c:pt idx="88">
                  <c:v>17068</c:v>
                </c:pt>
                <c:pt idx="89">
                  <c:v>17368</c:v>
                </c:pt>
                <c:pt idx="90">
                  <c:v>20287</c:v>
                </c:pt>
                <c:pt idx="91">
                  <c:v>22133</c:v>
                </c:pt>
                <c:pt idx="92">
                  <c:v>18534</c:v>
                </c:pt>
                <c:pt idx="93">
                  <c:v>18978</c:v>
                </c:pt>
                <c:pt idx="94">
                  <c:v>15800</c:v>
                </c:pt>
                <c:pt idx="95">
                  <c:v>16379</c:v>
                </c:pt>
                <c:pt idx="96">
                  <c:v>15686</c:v>
                </c:pt>
                <c:pt idx="97">
                  <c:v>17447</c:v>
                </c:pt>
                <c:pt idx="98">
                  <c:v>15853</c:v>
                </c:pt>
                <c:pt idx="99">
                  <c:v>16267</c:v>
                </c:pt>
                <c:pt idx="100">
                  <c:v>18437</c:v>
                </c:pt>
                <c:pt idx="101">
                  <c:v>19665</c:v>
                </c:pt>
                <c:pt idx="102">
                  <c:v>22022</c:v>
                </c:pt>
                <c:pt idx="103">
                  <c:v>21775</c:v>
                </c:pt>
                <c:pt idx="104">
                  <c:v>18675</c:v>
                </c:pt>
                <c:pt idx="105">
                  <c:v>18869</c:v>
                </c:pt>
                <c:pt idx="106">
                  <c:v>17166</c:v>
                </c:pt>
                <c:pt idx="107">
                  <c:v>16354</c:v>
                </c:pt>
                <c:pt idx="108">
                  <c:v>16719</c:v>
                </c:pt>
                <c:pt idx="109">
                  <c:v>16232</c:v>
                </c:pt>
                <c:pt idx="110">
                  <c:v>15923</c:v>
                </c:pt>
                <c:pt idx="111">
                  <c:v>17682</c:v>
                </c:pt>
                <c:pt idx="112">
                  <c:v>18182</c:v>
                </c:pt>
                <c:pt idx="113">
                  <c:v>19671</c:v>
                </c:pt>
                <c:pt idx="114">
                  <c:v>21998</c:v>
                </c:pt>
                <c:pt idx="115">
                  <c:v>23076</c:v>
                </c:pt>
                <c:pt idx="116">
                  <c:v>18848</c:v>
                </c:pt>
              </c:numCache>
            </c:numRef>
          </c:val>
          <c:smooth val="0"/>
          <c:extLst>
            <c:ext xmlns:c16="http://schemas.microsoft.com/office/drawing/2014/chart" uri="{C3380CC4-5D6E-409C-BE32-E72D297353CC}">
              <c16:uniqueId val="{00000000-99F0-41E0-BFA0-C93758C0DB77}"/>
            </c:ext>
          </c:extLst>
        </c:ser>
        <c:ser>
          <c:idx val="1"/>
          <c:order val="1"/>
          <c:tx>
            <c:v>Forecast</c:v>
          </c:tx>
          <c:spPr>
            <a:ln>
              <a:solidFill>
                <a:srgbClr val="993366"/>
              </a:solidFill>
              <a:prstDash val="solid"/>
            </a:ln>
          </c:spPr>
          <c:marker>
            <c:symbol val="none"/>
          </c:marker>
          <c:cat>
            <c:strRef>
              <c:f>'Moving average DS(south)'!$A$146:$A$270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'Moving average DS(south)'!$G$146:$G$270</c:f>
              <c:numCache>
                <c:formatCode>0.00</c:formatCode>
                <c:ptCount val="125"/>
                <c:pt idx="4">
                  <c:v>14568.408467751286</c:v>
                </c:pt>
                <c:pt idx="5">
                  <c:v>16215.064700725889</c:v>
                </c:pt>
                <c:pt idx="6">
                  <c:v>17298.720643996487</c:v>
                </c:pt>
                <c:pt idx="7">
                  <c:v>18201.425054169431</c:v>
                </c:pt>
                <c:pt idx="8">
                  <c:v>14978.803587739409</c:v>
                </c:pt>
                <c:pt idx="9">
                  <c:v>15016.713527793989</c:v>
                </c:pt>
                <c:pt idx="10">
                  <c:v>14241.768026189449</c:v>
                </c:pt>
                <c:pt idx="11">
                  <c:v>13761.018836435096</c:v>
                </c:pt>
                <c:pt idx="12">
                  <c:v>13557.320471078845</c:v>
                </c:pt>
                <c:pt idx="13">
                  <c:v>13407.906821083874</c:v>
                </c:pt>
                <c:pt idx="14">
                  <c:v>12654.525700012806</c:v>
                </c:pt>
                <c:pt idx="15">
                  <c:v>12914.527375781439</c:v>
                </c:pt>
                <c:pt idx="16">
                  <c:v>14567.159762957766</c:v>
                </c:pt>
                <c:pt idx="17">
                  <c:v>16563.969932662119</c:v>
                </c:pt>
                <c:pt idx="18">
                  <c:v>17840.542131298924</c:v>
                </c:pt>
                <c:pt idx="19">
                  <c:v>18875.668049166354</c:v>
                </c:pt>
                <c:pt idx="20">
                  <c:v>14925.065797713687</c:v>
                </c:pt>
                <c:pt idx="21">
                  <c:v>15240.797994568566</c:v>
                </c:pt>
                <c:pt idx="22">
                  <c:v>14165.052369214571</c:v>
                </c:pt>
                <c:pt idx="23">
                  <c:v>13728.606800720168</c:v>
                </c:pt>
                <c:pt idx="24">
                  <c:v>14080.116475601057</c:v>
                </c:pt>
                <c:pt idx="25">
                  <c:v>13634.79233233571</c:v>
                </c:pt>
                <c:pt idx="26">
                  <c:v>12899.703086511652</c:v>
                </c:pt>
                <c:pt idx="27">
                  <c:v>12994.048437786289</c:v>
                </c:pt>
                <c:pt idx="28">
                  <c:v>14209.461634091816</c:v>
                </c:pt>
                <c:pt idx="29">
                  <c:v>16231.071646102153</c:v>
                </c:pt>
                <c:pt idx="30">
                  <c:v>17806.7901479877</c:v>
                </c:pt>
                <c:pt idx="31">
                  <c:v>18784.003970741778</c:v>
                </c:pt>
                <c:pt idx="32">
                  <c:v>15755.686699291584</c:v>
                </c:pt>
                <c:pt idx="33">
                  <c:v>15585.703921592514</c:v>
                </c:pt>
                <c:pt idx="34">
                  <c:v>14283.740870750134</c:v>
                </c:pt>
                <c:pt idx="35">
                  <c:v>13757.820133233756</c:v>
                </c:pt>
                <c:pt idx="36">
                  <c:v>13731.038538442872</c:v>
                </c:pt>
                <c:pt idx="37">
                  <c:v>13989.550656259582</c:v>
                </c:pt>
                <c:pt idx="38">
                  <c:v>13737.378945562938</c:v>
                </c:pt>
                <c:pt idx="39">
                  <c:v>14522.648954247652</c:v>
                </c:pt>
                <c:pt idx="40">
                  <c:v>15919.347861970175</c:v>
                </c:pt>
                <c:pt idx="41">
                  <c:v>17300.471198949141</c:v>
                </c:pt>
                <c:pt idx="42">
                  <c:v>18416.353736704736</c:v>
                </c:pt>
                <c:pt idx="43">
                  <c:v>19181.737041072931</c:v>
                </c:pt>
                <c:pt idx="44">
                  <c:v>15524.118243390052</c:v>
                </c:pt>
                <c:pt idx="45">
                  <c:v>16148.002906766944</c:v>
                </c:pt>
                <c:pt idx="46">
                  <c:v>14604.736153994992</c:v>
                </c:pt>
                <c:pt idx="47">
                  <c:v>13554.73981230724</c:v>
                </c:pt>
                <c:pt idx="48">
                  <c:v>13776.887084754777</c:v>
                </c:pt>
                <c:pt idx="49">
                  <c:v>13808.115946662787</c:v>
                </c:pt>
                <c:pt idx="50">
                  <c:v>13990.603156831632</c:v>
                </c:pt>
                <c:pt idx="51">
                  <c:v>15172.294797716071</c:v>
                </c:pt>
                <c:pt idx="52">
                  <c:v>16547.016161566131</c:v>
                </c:pt>
                <c:pt idx="53">
                  <c:v>17885.967787105783</c:v>
                </c:pt>
                <c:pt idx="54">
                  <c:v>18610.969213031021</c:v>
                </c:pt>
                <c:pt idx="55">
                  <c:v>19163.165580158777</c:v>
                </c:pt>
                <c:pt idx="56">
                  <c:v>15827.465520932941</c:v>
                </c:pt>
                <c:pt idx="57">
                  <c:v>16002.194888762959</c:v>
                </c:pt>
                <c:pt idx="58">
                  <c:v>14996.596326083269</c:v>
                </c:pt>
                <c:pt idx="59">
                  <c:v>14489.720846820503</c:v>
                </c:pt>
                <c:pt idx="60">
                  <c:v>14457.554849150054</c:v>
                </c:pt>
                <c:pt idx="61">
                  <c:v>14991.588319275173</c:v>
                </c:pt>
                <c:pt idx="62">
                  <c:v>14717.199847737567</c:v>
                </c:pt>
                <c:pt idx="63">
                  <c:v>15133.773037506629</c:v>
                </c:pt>
                <c:pt idx="64">
                  <c:v>16758.705110364026</c:v>
                </c:pt>
                <c:pt idx="65">
                  <c:v>17731.641366212785</c:v>
                </c:pt>
                <c:pt idx="66">
                  <c:v>19226.142733500132</c:v>
                </c:pt>
                <c:pt idx="67">
                  <c:v>20205.569310030452</c:v>
                </c:pt>
                <c:pt idx="68">
                  <c:v>16617.349305221924</c:v>
                </c:pt>
                <c:pt idx="69">
                  <c:v>17248.70270198716</c:v>
                </c:pt>
                <c:pt idx="70">
                  <c:v>15583.468305594128</c:v>
                </c:pt>
                <c:pt idx="71">
                  <c:v>15169.211323351672</c:v>
                </c:pt>
                <c:pt idx="72">
                  <c:v>15204.760044949604</c:v>
                </c:pt>
                <c:pt idx="73">
                  <c:v>15228.422373837346</c:v>
                </c:pt>
                <c:pt idx="74">
                  <c:v>14887.103414331315</c:v>
                </c:pt>
                <c:pt idx="75">
                  <c:v>15163.480030525265</c:v>
                </c:pt>
                <c:pt idx="76">
                  <c:v>16395.402431606333</c:v>
                </c:pt>
                <c:pt idx="77">
                  <c:v>17886.438922822297</c:v>
                </c:pt>
                <c:pt idx="78">
                  <c:v>19425.122324971315</c:v>
                </c:pt>
                <c:pt idx="79">
                  <c:v>20732.664117673692</c:v>
                </c:pt>
                <c:pt idx="80">
                  <c:v>17561.822046113695</c:v>
                </c:pt>
                <c:pt idx="81">
                  <c:v>17774.768702659901</c:v>
                </c:pt>
                <c:pt idx="82">
                  <c:v>16111.735169840564</c:v>
                </c:pt>
                <c:pt idx="83">
                  <c:v>15481.156033339694</c:v>
                </c:pt>
                <c:pt idx="84">
                  <c:v>15450.76131405</c:v>
                </c:pt>
                <c:pt idx="85">
                  <c:v>15947.114663695078</c:v>
                </c:pt>
                <c:pt idx="86">
                  <c:v>15953.641226047759</c:v>
                </c:pt>
                <c:pt idx="87">
                  <c:v>16383.49068077638</c:v>
                </c:pt>
                <c:pt idx="88">
                  <c:v>18151.195248810498</c:v>
                </c:pt>
                <c:pt idx="89">
                  <c:v>19392.112802051906</c:v>
                </c:pt>
                <c:pt idx="90">
                  <c:v>19920.259680497555</c:v>
                </c:pt>
                <c:pt idx="91">
                  <c:v>21080.333179581045</c:v>
                </c:pt>
                <c:pt idx="92">
                  <c:v>17173.141097477455</c:v>
                </c:pt>
                <c:pt idx="93">
                  <c:v>17815.654660665154</c:v>
                </c:pt>
                <c:pt idx="94">
                  <c:v>17108.827141813388</c:v>
                </c:pt>
                <c:pt idx="95">
                  <c:v>16204.366238485185</c:v>
                </c:pt>
                <c:pt idx="96">
                  <c:v>16252.555101372898</c:v>
                </c:pt>
                <c:pt idx="97">
                  <c:v>16031.564333848419</c:v>
                </c:pt>
                <c:pt idx="98">
                  <c:v>15785.760757736423</c:v>
                </c:pt>
                <c:pt idx="99">
                  <c:v>16599.994487397678</c:v>
                </c:pt>
                <c:pt idx="100">
                  <c:v>18130.101075448129</c:v>
                </c:pt>
                <c:pt idx="101">
                  <c:v>20109.747980743137</c:v>
                </c:pt>
                <c:pt idx="102">
                  <c:v>21004.430171335116</c:v>
                </c:pt>
                <c:pt idx="103">
                  <c:v>22395.173883508571</c:v>
                </c:pt>
                <c:pt idx="104">
                  <c:v>18343.981550893495</c:v>
                </c:pt>
                <c:pt idx="105">
                  <c:v>18692.691210825953</c:v>
                </c:pt>
                <c:pt idx="106">
                  <c:v>17399.326330304106</c:v>
                </c:pt>
                <c:pt idx="107">
                  <c:v>16472.553378497556</c:v>
                </c:pt>
                <c:pt idx="108">
                  <c:v>16580.934430303139</c:v>
                </c:pt>
                <c:pt idx="109">
                  <c:v>16587.388821637574</c:v>
                </c:pt>
                <c:pt idx="110">
                  <c:v>16055.146700202649</c:v>
                </c:pt>
                <c:pt idx="111">
                  <c:v>16566.311728558212</c:v>
                </c:pt>
                <c:pt idx="112">
                  <c:v>18488.216749179886</c:v>
                </c:pt>
                <c:pt idx="113">
                  <c:v>20118.68071146763</c:v>
                </c:pt>
                <c:pt idx="114">
                  <c:v>21406.290813036507</c:v>
                </c:pt>
                <c:pt idx="115">
                  <c:v>22787.452371811036</c:v>
                </c:pt>
                <c:pt idx="116">
                  <c:v>18542.84689362326</c:v>
                </c:pt>
                <c:pt idx="117">
                  <c:v>19003.785856366936</c:v>
                </c:pt>
                <c:pt idx="118">
                  <c:v>17716.701366488356</c:v>
                </c:pt>
                <c:pt idx="119">
                  <c:v>16912.261821154389</c:v>
                </c:pt>
                <c:pt idx="120">
                  <c:v>16921.318454587035</c:v>
                </c:pt>
                <c:pt idx="121">
                  <c:v>16940.017694614613</c:v>
                </c:pt>
                <c:pt idx="122">
                  <c:v>16542.517653191822</c:v>
                </c:pt>
                <c:pt idx="123">
                  <c:v>17097.236870940236</c:v>
                </c:pt>
                <c:pt idx="124">
                  <c:v>18755.420167897526</c:v>
                </c:pt>
              </c:numCache>
            </c:numRef>
          </c:val>
          <c:smooth val="0"/>
          <c:extLst>
            <c:ext xmlns:c16="http://schemas.microsoft.com/office/drawing/2014/chart" uri="{C3380CC4-5D6E-409C-BE32-E72D297353CC}">
              <c16:uniqueId val="{00000001-99F0-41E0-BFA0-C93758C0DB77}"/>
            </c:ext>
          </c:extLst>
        </c:ser>
        <c:dLbls>
          <c:showLegendKey val="0"/>
          <c:showVal val="0"/>
          <c:showCatName val="0"/>
          <c:showSerName val="0"/>
          <c:showPercent val="0"/>
          <c:showBubbleSize val="0"/>
        </c:dLbls>
        <c:smooth val="0"/>
        <c:axId val="1397214591"/>
        <c:axId val="1397213151"/>
      </c:lineChart>
      <c:catAx>
        <c:axId val="1397214591"/>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397213151"/>
        <c:crosses val="autoZero"/>
        <c:auto val="1"/>
        <c:lblAlgn val="ctr"/>
        <c:lblOffset val="100"/>
        <c:noMultiLvlLbl val="0"/>
      </c:catAx>
      <c:valAx>
        <c:axId val="1397213151"/>
        <c:scaling>
          <c:orientation val="minMax"/>
        </c:scaling>
        <c:delete val="0"/>
        <c:axPos val="l"/>
        <c:numFmt formatCode="0.00" sourceLinked="0"/>
        <c:majorTickMark val="out"/>
        <c:minorTickMark val="none"/>
        <c:tickLblPos val="nextTo"/>
        <c:txPr>
          <a:bodyPr/>
          <a:lstStyle/>
          <a:p>
            <a:pPr>
              <a:defRPr sz="800" b="0"/>
            </a:pPr>
            <a:endParaRPr lang="en-US"/>
          </a:p>
        </c:txPr>
        <c:crossAx val="1397214591"/>
        <c:crosses val="autoZero"/>
        <c:crossBetween val="between"/>
      </c:valAx>
    </c:plotArea>
    <c:legend>
      <c:legendPos val="r"/>
      <c:layout/>
      <c:overlay val="0"/>
      <c:spPr>
        <a:ln>
          <a:solidFill>
            <a:srgbClr val="000000"/>
          </a:solidFill>
          <a:prstDash val="solid"/>
        </a:ln>
      </c:sp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Original Observations</a:t>
            </a:r>
          </a:p>
        </c:rich>
      </c:tx>
      <c:overlay val="0"/>
    </c:title>
    <c:autoTitleDeleted val="0"/>
    <c:plotArea>
      <c:layout/>
      <c:lineChart>
        <c:grouping val="standard"/>
        <c:varyColors val="0"/>
        <c:ser>
          <c:idx val="0"/>
          <c:order val="0"/>
          <c:tx>
            <c:v>South</c:v>
          </c:tx>
          <c:spPr>
            <a:ln>
              <a:solidFill>
                <a:srgbClr val="333399"/>
              </a:solidFill>
              <a:prstDash val="solid"/>
            </a:ln>
          </c:spPr>
          <c:marker>
            <c:symbol val="none"/>
          </c:marker>
          <c:cat>
            <c:strRef>
              <c:f>'Moving average DS(south)'!$A$146:$A$262</c:f>
              <c:strCache>
                <c:ptCount val="117"/>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strCache>
            </c:strRef>
          </c:cat>
          <c:val>
            <c:numRef>
              <c:f>'Moving average DS(south)'!$B$146:$B$262</c:f>
              <c:numCache>
                <c:formatCode>0.00</c:formatCode>
                <c:ptCount val="117"/>
                <c:pt idx="0">
                  <c:v>12326</c:v>
                </c:pt>
                <c:pt idx="1">
                  <c:v>13229</c:v>
                </c:pt>
                <c:pt idx="2">
                  <c:v>13278</c:v>
                </c:pt>
                <c:pt idx="3">
                  <c:v>13592</c:v>
                </c:pt>
                <c:pt idx="4">
                  <c:v>14711</c:v>
                </c:pt>
                <c:pt idx="5">
                  <c:v>16204</c:v>
                </c:pt>
                <c:pt idx="6">
                  <c:v>17507</c:v>
                </c:pt>
                <c:pt idx="7">
                  <c:v>18537</c:v>
                </c:pt>
                <c:pt idx="8">
                  <c:v>13933</c:v>
                </c:pt>
                <c:pt idx="9">
                  <c:v>16680</c:v>
                </c:pt>
                <c:pt idx="10">
                  <c:v>14793</c:v>
                </c:pt>
                <c:pt idx="11">
                  <c:v>12742</c:v>
                </c:pt>
                <c:pt idx="12">
                  <c:v>11850</c:v>
                </c:pt>
                <c:pt idx="13">
                  <c:v>13061</c:v>
                </c:pt>
                <c:pt idx="14">
                  <c:v>13179</c:v>
                </c:pt>
                <c:pt idx="15">
                  <c:v>14340</c:v>
                </c:pt>
                <c:pt idx="16">
                  <c:v>15465</c:v>
                </c:pt>
                <c:pt idx="17">
                  <c:v>16643</c:v>
                </c:pt>
                <c:pt idx="18">
                  <c:v>17772</c:v>
                </c:pt>
                <c:pt idx="19">
                  <c:v>16582</c:v>
                </c:pt>
                <c:pt idx="20">
                  <c:v>15786</c:v>
                </c:pt>
                <c:pt idx="21">
                  <c:v>15861</c:v>
                </c:pt>
                <c:pt idx="22">
                  <c:v>15179</c:v>
                </c:pt>
                <c:pt idx="23">
                  <c:v>13520</c:v>
                </c:pt>
                <c:pt idx="24">
                  <c:v>12332</c:v>
                </c:pt>
                <c:pt idx="25">
                  <c:v>12433</c:v>
                </c:pt>
                <c:pt idx="26">
                  <c:v>12867</c:v>
                </c:pt>
                <c:pt idx="27">
                  <c:v>13505</c:v>
                </c:pt>
                <c:pt idx="28">
                  <c:v>16212</c:v>
                </c:pt>
                <c:pt idx="29">
                  <c:v>17088</c:v>
                </c:pt>
                <c:pt idx="30">
                  <c:v>17147</c:v>
                </c:pt>
                <c:pt idx="31">
                  <c:v>19881</c:v>
                </c:pt>
                <c:pt idx="32">
                  <c:v>14570</c:v>
                </c:pt>
                <c:pt idx="33">
                  <c:v>15410</c:v>
                </c:pt>
                <c:pt idx="34">
                  <c:v>14320</c:v>
                </c:pt>
                <c:pt idx="35">
                  <c:v>14438</c:v>
                </c:pt>
                <c:pt idx="36">
                  <c:v>14051</c:v>
                </c:pt>
                <c:pt idx="37">
                  <c:v>14050</c:v>
                </c:pt>
                <c:pt idx="38">
                  <c:v>14626</c:v>
                </c:pt>
                <c:pt idx="39">
                  <c:v>14553</c:v>
                </c:pt>
                <c:pt idx="40">
                  <c:v>15190</c:v>
                </c:pt>
                <c:pt idx="41">
                  <c:v>17059</c:v>
                </c:pt>
                <c:pt idx="42">
                  <c:v>18541</c:v>
                </c:pt>
                <c:pt idx="43">
                  <c:v>18567</c:v>
                </c:pt>
                <c:pt idx="44">
                  <c:v>16684</c:v>
                </c:pt>
                <c:pt idx="45">
                  <c:v>14523</c:v>
                </c:pt>
                <c:pt idx="46">
                  <c:v>13316</c:v>
                </c:pt>
                <c:pt idx="47">
                  <c:v>14466</c:v>
                </c:pt>
                <c:pt idx="48">
                  <c:v>15045</c:v>
                </c:pt>
                <c:pt idx="49">
                  <c:v>15028</c:v>
                </c:pt>
                <c:pt idx="50">
                  <c:v>15187</c:v>
                </c:pt>
                <c:pt idx="51">
                  <c:v>14271</c:v>
                </c:pt>
                <c:pt idx="52">
                  <c:v>15923</c:v>
                </c:pt>
                <c:pt idx="53">
                  <c:v>16632</c:v>
                </c:pt>
                <c:pt idx="54">
                  <c:v>18432</c:v>
                </c:pt>
                <c:pt idx="55">
                  <c:v>19743</c:v>
                </c:pt>
                <c:pt idx="56">
                  <c:v>15632</c:v>
                </c:pt>
                <c:pt idx="57">
                  <c:v>16404</c:v>
                </c:pt>
                <c:pt idx="58">
                  <c:v>15572</c:v>
                </c:pt>
                <c:pt idx="59">
                  <c:v>14310</c:v>
                </c:pt>
                <c:pt idx="60">
                  <c:v>16102</c:v>
                </c:pt>
                <c:pt idx="61">
                  <c:v>14942</c:v>
                </c:pt>
                <c:pt idx="62">
                  <c:v>14242</c:v>
                </c:pt>
                <c:pt idx="63">
                  <c:v>15039</c:v>
                </c:pt>
                <c:pt idx="64">
                  <c:v>15683</c:v>
                </c:pt>
                <c:pt idx="65">
                  <c:v>19459</c:v>
                </c:pt>
                <c:pt idx="66">
                  <c:v>18687</c:v>
                </c:pt>
                <c:pt idx="67">
                  <c:v>20459</c:v>
                </c:pt>
                <c:pt idx="68">
                  <c:v>17137</c:v>
                </c:pt>
                <c:pt idx="69">
                  <c:v>16594</c:v>
                </c:pt>
                <c:pt idx="70">
                  <c:v>16274</c:v>
                </c:pt>
                <c:pt idx="71">
                  <c:v>15103</c:v>
                </c:pt>
                <c:pt idx="72">
                  <c:v>15413</c:v>
                </c:pt>
                <c:pt idx="73">
                  <c:v>14860</c:v>
                </c:pt>
                <c:pt idx="74">
                  <c:v>14334</c:v>
                </c:pt>
                <c:pt idx="75">
                  <c:v>14398</c:v>
                </c:pt>
                <c:pt idx="76">
                  <c:v>16939</c:v>
                </c:pt>
                <c:pt idx="77">
                  <c:v>19489</c:v>
                </c:pt>
                <c:pt idx="78">
                  <c:v>20016</c:v>
                </c:pt>
                <c:pt idx="79">
                  <c:v>22099</c:v>
                </c:pt>
                <c:pt idx="80">
                  <c:v>16689</c:v>
                </c:pt>
                <c:pt idx="81">
                  <c:v>16804</c:v>
                </c:pt>
                <c:pt idx="82">
                  <c:v>16543</c:v>
                </c:pt>
                <c:pt idx="83">
                  <c:v>16045</c:v>
                </c:pt>
                <c:pt idx="84">
                  <c:v>16896</c:v>
                </c:pt>
                <c:pt idx="85">
                  <c:v>16546</c:v>
                </c:pt>
                <c:pt idx="86">
                  <c:v>15039</c:v>
                </c:pt>
                <c:pt idx="87">
                  <c:v>16872</c:v>
                </c:pt>
                <c:pt idx="88">
                  <c:v>17068</c:v>
                </c:pt>
                <c:pt idx="89">
                  <c:v>17368</c:v>
                </c:pt>
                <c:pt idx="90">
                  <c:v>20287</c:v>
                </c:pt>
                <c:pt idx="91">
                  <c:v>22133</c:v>
                </c:pt>
                <c:pt idx="92">
                  <c:v>18534</c:v>
                </c:pt>
                <c:pt idx="93">
                  <c:v>18978</c:v>
                </c:pt>
                <c:pt idx="94">
                  <c:v>15800</c:v>
                </c:pt>
                <c:pt idx="95">
                  <c:v>16379</c:v>
                </c:pt>
                <c:pt idx="96">
                  <c:v>15686</c:v>
                </c:pt>
                <c:pt idx="97">
                  <c:v>17447</c:v>
                </c:pt>
                <c:pt idx="98">
                  <c:v>15853</c:v>
                </c:pt>
                <c:pt idx="99">
                  <c:v>16267</c:v>
                </c:pt>
                <c:pt idx="100">
                  <c:v>18437</c:v>
                </c:pt>
                <c:pt idx="101">
                  <c:v>19665</c:v>
                </c:pt>
                <c:pt idx="102">
                  <c:v>22022</c:v>
                </c:pt>
                <c:pt idx="103">
                  <c:v>21775</c:v>
                </c:pt>
                <c:pt idx="104">
                  <c:v>18675</c:v>
                </c:pt>
                <c:pt idx="105">
                  <c:v>18869</c:v>
                </c:pt>
                <c:pt idx="106">
                  <c:v>17166</c:v>
                </c:pt>
                <c:pt idx="107">
                  <c:v>16354</c:v>
                </c:pt>
                <c:pt idx="108">
                  <c:v>16719</c:v>
                </c:pt>
                <c:pt idx="109">
                  <c:v>16232</c:v>
                </c:pt>
                <c:pt idx="110">
                  <c:v>15923</c:v>
                </c:pt>
                <c:pt idx="111">
                  <c:v>17682</c:v>
                </c:pt>
                <c:pt idx="112">
                  <c:v>18182</c:v>
                </c:pt>
                <c:pt idx="113">
                  <c:v>19671</c:v>
                </c:pt>
                <c:pt idx="114">
                  <c:v>21998</c:v>
                </c:pt>
                <c:pt idx="115">
                  <c:v>23076</c:v>
                </c:pt>
                <c:pt idx="116">
                  <c:v>18848</c:v>
                </c:pt>
              </c:numCache>
            </c:numRef>
          </c:val>
          <c:smooth val="0"/>
          <c:extLst>
            <c:ext xmlns:c16="http://schemas.microsoft.com/office/drawing/2014/chart" uri="{C3380CC4-5D6E-409C-BE32-E72D297353CC}">
              <c16:uniqueId val="{00000000-4CDF-4F1C-88CD-3AF8B2974145}"/>
            </c:ext>
          </c:extLst>
        </c:ser>
        <c:dLbls>
          <c:showLegendKey val="0"/>
          <c:showVal val="0"/>
          <c:showCatName val="0"/>
          <c:showSerName val="0"/>
          <c:showPercent val="0"/>
          <c:showBubbleSize val="0"/>
        </c:dLbls>
        <c:smooth val="0"/>
        <c:axId val="1547694879"/>
        <c:axId val="1547693919"/>
      </c:lineChart>
      <c:catAx>
        <c:axId val="1547694879"/>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547693919"/>
        <c:crosses val="autoZero"/>
        <c:auto val="1"/>
        <c:lblAlgn val="ctr"/>
        <c:lblOffset val="100"/>
        <c:noMultiLvlLbl val="0"/>
      </c:catAx>
      <c:valAx>
        <c:axId val="1547693919"/>
        <c:scaling>
          <c:orientation val="minMax"/>
        </c:scaling>
        <c:delete val="0"/>
        <c:axPos val="l"/>
        <c:numFmt formatCode="0.00" sourceLinked="0"/>
        <c:majorTickMark val="out"/>
        <c:minorTickMark val="none"/>
        <c:tickLblPos val="nextTo"/>
        <c:txPr>
          <a:bodyPr/>
          <a:lstStyle/>
          <a:p>
            <a:pPr>
              <a:defRPr sz="800" b="0"/>
            </a:pPr>
            <a:endParaRPr lang="en-US"/>
          </a:p>
        </c:txPr>
        <c:crossAx val="1547694879"/>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Forecast Errors</a:t>
            </a:r>
          </a:p>
        </c:rich>
      </c:tx>
      <c:overlay val="0"/>
    </c:title>
    <c:autoTitleDeleted val="0"/>
    <c:plotArea>
      <c:layout/>
      <c:lineChart>
        <c:grouping val="standard"/>
        <c:varyColors val="0"/>
        <c:ser>
          <c:idx val="0"/>
          <c:order val="0"/>
          <c:tx>
            <c:v>Errors</c:v>
          </c:tx>
          <c:spPr>
            <a:ln>
              <a:solidFill>
                <a:srgbClr val="333399"/>
              </a:solidFill>
              <a:prstDash val="solid"/>
            </a:ln>
          </c:spPr>
          <c:marker>
            <c:symbol val="none"/>
          </c:marker>
          <c:cat>
            <c:strRef>
              <c:f>'Moving average DS(south)'!$A$146:$A$262</c:f>
              <c:strCache>
                <c:ptCount val="117"/>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strCache>
            </c:strRef>
          </c:cat>
          <c:val>
            <c:numRef>
              <c:f>'Moving average DS(south)'!$H$150:$H$270</c:f>
              <c:numCache>
                <c:formatCode>0.00</c:formatCode>
                <c:ptCount val="121"/>
                <c:pt idx="0">
                  <c:v>142.59153224871443</c:v>
                </c:pt>
                <c:pt idx="1">
                  <c:v>-11.064700725888542</c:v>
                </c:pt>
                <c:pt idx="2">
                  <c:v>208.27935600351339</c:v>
                </c:pt>
                <c:pt idx="3">
                  <c:v>335.57494583056905</c:v>
                </c:pt>
                <c:pt idx="4">
                  <c:v>-1045.8035877394086</c:v>
                </c:pt>
                <c:pt idx="5">
                  <c:v>1663.2864722060112</c:v>
                </c:pt>
                <c:pt idx="6">
                  <c:v>551.2319738105507</c:v>
                </c:pt>
                <c:pt idx="7">
                  <c:v>-1019.0188364350961</c:v>
                </c:pt>
                <c:pt idx="8">
                  <c:v>-1707.320471078845</c:v>
                </c:pt>
                <c:pt idx="9">
                  <c:v>-346.90682108387409</c:v>
                </c:pt>
                <c:pt idx="10">
                  <c:v>524.47429998719417</c:v>
                </c:pt>
                <c:pt idx="11">
                  <c:v>1425.4726242185607</c:v>
                </c:pt>
                <c:pt idx="12">
                  <c:v>897.84023704223364</c:v>
                </c:pt>
                <c:pt idx="13">
                  <c:v>79.03006733788061</c:v>
                </c:pt>
                <c:pt idx="14">
                  <c:v>-68.542131298923778</c:v>
                </c:pt>
                <c:pt idx="15">
                  <c:v>-2293.6680491663537</c:v>
                </c:pt>
                <c:pt idx="16">
                  <c:v>860.93420228631294</c:v>
                </c:pt>
                <c:pt idx="17">
                  <c:v>620.20200543143437</c:v>
                </c:pt>
                <c:pt idx="18">
                  <c:v>1013.9476307854293</c:v>
                </c:pt>
                <c:pt idx="19">
                  <c:v>-208.60680072016839</c:v>
                </c:pt>
                <c:pt idx="20">
                  <c:v>-1748.1164756010567</c:v>
                </c:pt>
                <c:pt idx="21">
                  <c:v>-1201.7923323357099</c:v>
                </c:pt>
                <c:pt idx="22">
                  <c:v>-32.703086511652145</c:v>
                </c:pt>
                <c:pt idx="23">
                  <c:v>510.95156221371144</c:v>
                </c:pt>
                <c:pt idx="24">
                  <c:v>2002.5383659081836</c:v>
                </c:pt>
                <c:pt idx="25">
                  <c:v>856.92835389784705</c:v>
                </c:pt>
                <c:pt idx="26">
                  <c:v>-659.79014798770004</c:v>
                </c:pt>
                <c:pt idx="27">
                  <c:v>1096.9960292582218</c:v>
                </c:pt>
                <c:pt idx="28">
                  <c:v>-1185.6866992915839</c:v>
                </c:pt>
                <c:pt idx="29">
                  <c:v>-175.70392159251423</c:v>
                </c:pt>
                <c:pt idx="30">
                  <c:v>36.259129249865509</c:v>
                </c:pt>
                <c:pt idx="31">
                  <c:v>680.17986676624423</c:v>
                </c:pt>
                <c:pt idx="32">
                  <c:v>319.96146155712813</c:v>
                </c:pt>
                <c:pt idx="33">
                  <c:v>60.449343740418044</c:v>
                </c:pt>
                <c:pt idx="34">
                  <c:v>888.62105443706241</c:v>
                </c:pt>
                <c:pt idx="35">
                  <c:v>30.351045752348</c:v>
                </c:pt>
                <c:pt idx="36">
                  <c:v>-729.34786197017456</c:v>
                </c:pt>
                <c:pt idx="37">
                  <c:v>-241.47119894914067</c:v>
                </c:pt>
                <c:pt idx="38">
                  <c:v>124.64626329526436</c:v>
                </c:pt>
                <c:pt idx="39">
                  <c:v>-614.73704107293088</c:v>
                </c:pt>
                <c:pt idx="40">
                  <c:v>1159.8817566099478</c:v>
                </c:pt>
                <c:pt idx="41">
                  <c:v>-1625.0029067669439</c:v>
                </c:pt>
                <c:pt idx="42">
                  <c:v>-1288.7361539949925</c:v>
                </c:pt>
                <c:pt idx="43">
                  <c:v>911.26018769276016</c:v>
                </c:pt>
                <c:pt idx="44">
                  <c:v>1268.1129152452231</c:v>
                </c:pt>
                <c:pt idx="45">
                  <c:v>1219.8840533372131</c:v>
                </c:pt>
                <c:pt idx="46">
                  <c:v>1196.3968431683679</c:v>
                </c:pt>
                <c:pt idx="47">
                  <c:v>-901.29479771607112</c:v>
                </c:pt>
                <c:pt idx="48">
                  <c:v>-624.0161615661309</c:v>
                </c:pt>
                <c:pt idx="49">
                  <c:v>-1253.9677871057829</c:v>
                </c:pt>
                <c:pt idx="50">
                  <c:v>-178.96921303102135</c:v>
                </c:pt>
                <c:pt idx="51">
                  <c:v>579.83441984122328</c:v>
                </c:pt>
                <c:pt idx="52">
                  <c:v>-195.46552093294122</c:v>
                </c:pt>
                <c:pt idx="53">
                  <c:v>401.80511123704127</c:v>
                </c:pt>
                <c:pt idx="54">
                  <c:v>575.40367391673135</c:v>
                </c:pt>
                <c:pt idx="55">
                  <c:v>-179.72084682050263</c:v>
                </c:pt>
                <c:pt idx="56">
                  <c:v>1644.445150849946</c:v>
                </c:pt>
                <c:pt idx="57">
                  <c:v>-49.58831927517349</c:v>
                </c:pt>
                <c:pt idx="58">
                  <c:v>-475.19984773756732</c:v>
                </c:pt>
                <c:pt idx="59">
                  <c:v>-94.773037506629407</c:v>
                </c:pt>
                <c:pt idx="60">
                  <c:v>-1075.705110364026</c:v>
                </c:pt>
                <c:pt idx="61">
                  <c:v>1727.3586337872148</c:v>
                </c:pt>
                <c:pt idx="62">
                  <c:v>-539.14273350013173</c:v>
                </c:pt>
                <c:pt idx="63">
                  <c:v>253.43068996954753</c:v>
                </c:pt>
                <c:pt idx="64">
                  <c:v>519.65069477807629</c:v>
                </c:pt>
                <c:pt idx="65">
                  <c:v>-654.70270198716025</c:v>
                </c:pt>
                <c:pt idx="66">
                  <c:v>690.53169440587226</c:v>
                </c:pt>
                <c:pt idx="67">
                  <c:v>-66.211323351672036</c:v>
                </c:pt>
                <c:pt idx="68">
                  <c:v>208.23995505039602</c:v>
                </c:pt>
                <c:pt idx="69">
                  <c:v>-368.42237383734573</c:v>
                </c:pt>
                <c:pt idx="70">
                  <c:v>-553.10341433131543</c:v>
                </c:pt>
                <c:pt idx="71">
                  <c:v>-765.48003052526474</c:v>
                </c:pt>
                <c:pt idx="72">
                  <c:v>543.59756839366673</c:v>
                </c:pt>
                <c:pt idx="73">
                  <c:v>1602.5610771777028</c:v>
                </c:pt>
                <c:pt idx="74">
                  <c:v>590.87767502868519</c:v>
                </c:pt>
                <c:pt idx="75">
                  <c:v>1366.3358823263079</c:v>
                </c:pt>
                <c:pt idx="76">
                  <c:v>-872.82204611369525</c:v>
                </c:pt>
                <c:pt idx="77">
                  <c:v>-970.76870265990146</c:v>
                </c:pt>
                <c:pt idx="78">
                  <c:v>431.26483015943631</c:v>
                </c:pt>
                <c:pt idx="79">
                  <c:v>563.84396666030625</c:v>
                </c:pt>
                <c:pt idx="80">
                  <c:v>1445.2386859500002</c:v>
                </c:pt>
                <c:pt idx="81">
                  <c:v>598.88533630492202</c:v>
                </c:pt>
                <c:pt idx="82">
                  <c:v>-914.64122604775912</c:v>
                </c:pt>
                <c:pt idx="83">
                  <c:v>488.50931922361997</c:v>
                </c:pt>
                <c:pt idx="84">
                  <c:v>-1083.195248810498</c:v>
                </c:pt>
                <c:pt idx="85">
                  <c:v>-2024.1128020519063</c:v>
                </c:pt>
                <c:pt idx="86">
                  <c:v>366.74031950244535</c:v>
                </c:pt>
                <c:pt idx="87">
                  <c:v>1052.6668204189555</c:v>
                </c:pt>
                <c:pt idx="88">
                  <c:v>1360.8589025225447</c:v>
                </c:pt>
                <c:pt idx="89">
                  <c:v>1162.3453393348464</c:v>
                </c:pt>
                <c:pt idx="90">
                  <c:v>-1308.8271418133882</c:v>
                </c:pt>
                <c:pt idx="91">
                  <c:v>174.63376151481498</c:v>
                </c:pt>
                <c:pt idx="92">
                  <c:v>-566.55510137289821</c:v>
                </c:pt>
                <c:pt idx="93">
                  <c:v>1415.4356661515812</c:v>
                </c:pt>
                <c:pt idx="94">
                  <c:v>67.239242263576671</c:v>
                </c:pt>
                <c:pt idx="95">
                  <c:v>-332.99448739767831</c:v>
                </c:pt>
                <c:pt idx="96">
                  <c:v>306.89892455187146</c:v>
                </c:pt>
                <c:pt idx="97">
                  <c:v>-444.7479807431373</c:v>
                </c:pt>
                <c:pt idx="98">
                  <c:v>1017.569828664884</c:v>
                </c:pt>
                <c:pt idx="99">
                  <c:v>-620.17388350857073</c:v>
                </c:pt>
                <c:pt idx="100">
                  <c:v>331.0184491065047</c:v>
                </c:pt>
                <c:pt idx="101">
                  <c:v>176.30878917404698</c:v>
                </c:pt>
                <c:pt idx="102">
                  <c:v>-233.3263303041058</c:v>
                </c:pt>
                <c:pt idx="103">
                  <c:v>-118.55337849755597</c:v>
                </c:pt>
                <c:pt idx="104">
                  <c:v>138.06556969686062</c:v>
                </c:pt>
                <c:pt idx="105">
                  <c:v>-355.38882163757444</c:v>
                </c:pt>
                <c:pt idx="106">
                  <c:v>-132.1467002026493</c:v>
                </c:pt>
                <c:pt idx="107">
                  <c:v>1115.6882714417879</c:v>
                </c:pt>
                <c:pt idx="108">
                  <c:v>-306.21674917988639</c:v>
                </c:pt>
                <c:pt idx="109">
                  <c:v>-447.68071146763032</c:v>
                </c:pt>
                <c:pt idx="110">
                  <c:v>591.70918696349327</c:v>
                </c:pt>
                <c:pt idx="111">
                  <c:v>288.54762818896415</c:v>
                </c:pt>
                <c:pt idx="112">
                  <c:v>305.15310637673974</c:v>
                </c:pt>
              </c:numCache>
            </c:numRef>
          </c:val>
          <c:smooth val="0"/>
          <c:extLst>
            <c:ext xmlns:c16="http://schemas.microsoft.com/office/drawing/2014/chart" uri="{C3380CC4-5D6E-409C-BE32-E72D297353CC}">
              <c16:uniqueId val="{00000000-AC98-45DC-BCE3-5CDCC95247B6}"/>
            </c:ext>
          </c:extLst>
        </c:ser>
        <c:dLbls>
          <c:showLegendKey val="0"/>
          <c:showVal val="0"/>
          <c:showCatName val="0"/>
          <c:showSerName val="0"/>
          <c:showPercent val="0"/>
          <c:showBubbleSize val="0"/>
        </c:dLbls>
        <c:smooth val="0"/>
        <c:axId val="1399558511"/>
        <c:axId val="1399557551"/>
      </c:lineChart>
      <c:catAx>
        <c:axId val="1399558511"/>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399557551"/>
        <c:crosses val="autoZero"/>
        <c:auto val="1"/>
        <c:lblAlgn val="ctr"/>
        <c:lblOffset val="100"/>
        <c:noMultiLvlLbl val="0"/>
      </c:catAx>
      <c:valAx>
        <c:axId val="1399557551"/>
        <c:scaling>
          <c:orientation val="minMax"/>
        </c:scaling>
        <c:delete val="0"/>
        <c:axPos val="l"/>
        <c:numFmt formatCode="0.00" sourceLinked="0"/>
        <c:majorTickMark val="out"/>
        <c:minorTickMark val="none"/>
        <c:tickLblPos val="nextTo"/>
        <c:txPr>
          <a:bodyPr/>
          <a:lstStyle/>
          <a:p>
            <a:pPr>
              <a:defRPr sz="800" b="0"/>
            </a:pPr>
            <a:endParaRPr lang="en-US"/>
          </a:p>
        </c:txPr>
        <c:crossAx val="1399558511"/>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Deseasonalized Forecast and Original Observations</a:t>
            </a:r>
          </a:p>
        </c:rich>
      </c:tx>
      <c:overlay val="0"/>
    </c:title>
    <c:autoTitleDeleted val="0"/>
    <c:plotArea>
      <c:layout/>
      <c:lineChart>
        <c:grouping val="standard"/>
        <c:varyColors val="0"/>
        <c:ser>
          <c:idx val="0"/>
          <c:order val="0"/>
          <c:tx>
            <c:v>South</c:v>
          </c:tx>
          <c:spPr>
            <a:ln>
              <a:solidFill>
                <a:srgbClr val="333399"/>
              </a:solidFill>
              <a:prstDash val="solid"/>
            </a:ln>
          </c:spPr>
          <c:marker>
            <c:symbol val="none"/>
          </c:marker>
          <c:cat>
            <c:strRef>
              <c:f>'Moving average DS(south)'!$A$146:$A$270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'Moving average DS(south)'!$D$146:$D$270</c:f>
              <c:numCache>
                <c:formatCode>0.00</c:formatCode>
                <c:ptCount val="125"/>
                <c:pt idx="0">
                  <c:v>13596.294615442752</c:v>
                </c:pt>
                <c:pt idx="1">
                  <c:v>14568.485073225871</c:v>
                </c:pt>
                <c:pt idx="2">
                  <c:v>14994.128361529874</c:v>
                </c:pt>
                <c:pt idx="3">
                  <c:v>14843.809565973152</c:v>
                </c:pt>
                <c:pt idx="4">
                  <c:v>14642.608023043873</c:v>
                </c:pt>
                <c:pt idx="5">
                  <c:v>14752.184409513646</c:v>
                </c:pt>
                <c:pt idx="6">
                  <c:v>14986.475470564148</c:v>
                </c:pt>
                <c:pt idx="7">
                  <c:v>15079.248709610283</c:v>
                </c:pt>
                <c:pt idx="8">
                  <c:v>13827.262189406702</c:v>
                </c:pt>
                <c:pt idx="9">
                  <c:v>16285.211920450787</c:v>
                </c:pt>
                <c:pt idx="10">
                  <c:v>15626.853450839242</c:v>
                </c:pt>
                <c:pt idx="11">
                  <c:v>14078.723168091548</c:v>
                </c:pt>
                <c:pt idx="12">
                  <c:v>13071.238941505484</c:v>
                </c:pt>
                <c:pt idx="13">
                  <c:v>14383.474453201534</c:v>
                </c:pt>
                <c:pt idx="14">
                  <c:v>14882.333007727233</c:v>
                </c:pt>
                <c:pt idx="15">
                  <c:v>15660.699615660315</c:v>
                </c:pt>
                <c:pt idx="16">
                  <c:v>15393.102649471382</c:v>
                </c:pt>
                <c:pt idx="17">
                  <c:v>15151.851711153766</c:v>
                </c:pt>
                <c:pt idx="18">
                  <c:v>15213.322788762554</c:v>
                </c:pt>
                <c:pt idx="19">
                  <c:v>13488.919571816245</c:v>
                </c:pt>
                <c:pt idx="20">
                  <c:v>15666.199736020541</c:v>
                </c:pt>
                <c:pt idx="21">
                  <c:v>15485.596299176856</c:v>
                </c:pt>
                <c:pt idx="22">
                  <c:v>16034.611541289047</c:v>
                </c:pt>
                <c:pt idx="23">
                  <c:v>14938.340702605379</c:v>
                </c:pt>
                <c:pt idx="24">
                  <c:v>13602.912964273894</c:v>
                </c:pt>
                <c:pt idx="25">
                  <c:v>13691.887135491515</c:v>
                </c:pt>
                <c:pt idx="26">
                  <c:v>14530.008256349216</c:v>
                </c:pt>
                <c:pt idx="27">
                  <c:v>14748.796953242159</c:v>
                </c:pt>
                <c:pt idx="28">
                  <c:v>16136.629819154869</c:v>
                </c:pt>
                <c:pt idx="29">
                  <c:v>15556.981436050924</c:v>
                </c:pt>
                <c:pt idx="30">
                  <c:v>14678.305528860652</c:v>
                </c:pt>
                <c:pt idx="31">
                  <c:v>16172.549150119332</c:v>
                </c:pt>
                <c:pt idx="32">
                  <c:v>14459.427983898346</c:v>
                </c:pt>
                <c:pt idx="33">
                  <c:v>15045.270725068744</c:v>
                </c:pt>
                <c:pt idx="34">
                  <c:v>15127.191334821737</c:v>
                </c:pt>
                <c:pt idx="35">
                  <c:v>15952.645197057431</c:v>
                </c:pt>
                <c:pt idx="36">
                  <c:v>15499.069904396081</c:v>
                </c:pt>
                <c:pt idx="37">
                  <c:v>15472.614353225754</c:v>
                </c:pt>
                <c:pt idx="38">
                  <c:v>16516.351966842591</c:v>
                </c:pt>
                <c:pt idx="39">
                  <c:v>15893.316702001714</c:v>
                </c:pt>
                <c:pt idx="40">
                  <c:v>15119.381134527663</c:v>
                </c:pt>
                <c:pt idx="41">
                  <c:v>15530.579723641897</c:v>
                </c:pt>
                <c:pt idx="42">
                  <c:v>15871.608025345855</c:v>
                </c:pt>
                <c:pt idx="43">
                  <c:v>15103.652737300217</c:v>
                </c:pt>
                <c:pt idx="44">
                  <c:v>16557.384796387098</c:v>
                </c:pt>
                <c:pt idx="45">
                  <c:v>14179.264551601127</c:v>
                </c:pt>
                <c:pt idx="46">
                  <c:v>14066.597752408257</c:v>
                </c:pt>
                <c:pt idx="47">
                  <c:v>15983.582589045074</c:v>
                </c:pt>
                <c:pt idx="48">
                  <c:v>16595.509694088611</c:v>
                </c:pt>
                <c:pt idx="49">
                  <c:v>16549.64046265314</c:v>
                </c:pt>
                <c:pt idx="50">
                  <c:v>17149.858971724221</c:v>
                </c:pt>
                <c:pt idx="51">
                  <c:v>15585.344784873665</c:v>
                </c:pt>
                <c:pt idx="52">
                  <c:v>15848.973390723106</c:v>
                </c:pt>
                <c:pt idx="53">
                  <c:v>15141.837268515857</c:v>
                </c:pt>
                <c:pt idx="54">
                  <c:v>15778.301015218962</c:v>
                </c:pt>
                <c:pt idx="55">
                  <c:v>16060.290622745635</c:v>
                </c:pt>
                <c:pt idx="56">
                  <c:v>15513.36844504454</c:v>
                </c:pt>
                <c:pt idx="57">
                  <c:v>16015.744385076421</c:v>
                </c:pt>
                <c:pt idx="58">
                  <c:v>16449.764208508666</c:v>
                </c:pt>
                <c:pt idx="59">
                  <c:v>15811.217119399627</c:v>
                </c:pt>
                <c:pt idx="60">
                  <c:v>17761.442146508129</c:v>
                </c:pt>
                <c:pt idx="61">
                  <c:v>16454.932645259731</c:v>
                </c:pt>
                <c:pt idx="62">
                  <c:v>16082.721503608109</c:v>
                </c:pt>
                <c:pt idx="63">
                  <c:v>16424.076814498989</c:v>
                </c:pt>
                <c:pt idx="64">
                  <c:v>15610.089159499496</c:v>
                </c:pt>
                <c:pt idx="65">
                  <c:v>17715.549026458037</c:v>
                </c:pt>
                <c:pt idx="66">
                  <c:v>15996.588057258938</c:v>
                </c:pt>
                <c:pt idx="67">
                  <c:v>16642.733416945393</c:v>
                </c:pt>
                <c:pt idx="68">
                  <c:v>17006.94697049183</c:v>
                </c:pt>
                <c:pt idx="69">
                  <c:v>16201.247398558775</c:v>
                </c:pt>
                <c:pt idx="70">
                  <c:v>17191.334621710121</c:v>
                </c:pt>
                <c:pt idx="71">
                  <c:v>16687.408256763982</c:v>
                </c:pt>
                <c:pt idx="72">
                  <c:v>17001.435089065319</c:v>
                </c:pt>
                <c:pt idx="73">
                  <c:v>16364.629842628803</c:v>
                </c:pt>
                <c:pt idx="74">
                  <c:v>16186.612135424704</c:v>
                </c:pt>
                <c:pt idx="75">
                  <c:v>15724.041357480977</c:v>
                </c:pt>
                <c:pt idx="76">
                  <c:v>16860.249969569722</c:v>
                </c:pt>
                <c:pt idx="77">
                  <c:v>17742.861142743241</c:v>
                </c:pt>
                <c:pt idx="78">
                  <c:v>17134.248758714341</c:v>
                </c:pt>
                <c:pt idx="79">
                  <c:v>17976.820263995127</c:v>
                </c:pt>
                <c:pt idx="80">
                  <c:v>16562.346851288916</c:v>
                </c:pt>
                <c:pt idx="81">
                  <c:v>16406.277045039271</c:v>
                </c:pt>
                <c:pt idx="82">
                  <c:v>17475.497643293016</c:v>
                </c:pt>
                <c:pt idx="83">
                  <c:v>17728.230515776871</c:v>
                </c:pt>
                <c:pt idx="84">
                  <c:v>18637.270308495921</c:v>
                </c:pt>
                <c:pt idx="85">
                  <c:v>18221.343565015894</c:v>
                </c:pt>
                <c:pt idx="86">
                  <c:v>16982.730564019264</c:v>
                </c:pt>
                <c:pt idx="87">
                  <c:v>18425.894275831299</c:v>
                </c:pt>
                <c:pt idx="88">
                  <c:v>16988.650243852411</c:v>
                </c:pt>
                <c:pt idx="89">
                  <c:v>15811.894521379474</c:v>
                </c:pt>
                <c:pt idx="90">
                  <c:v>17366.232242607806</c:v>
                </c:pt>
                <c:pt idx="91">
                  <c:v>18004.478162043717</c:v>
                </c:pt>
                <c:pt idx="92">
                  <c:v>18393.345110059843</c:v>
                </c:pt>
                <c:pt idx="93">
                  <c:v>18528.822051937354</c:v>
                </c:pt>
                <c:pt idx="94">
                  <c:v>16690.616137582641</c:v>
                </c:pt>
                <c:pt idx="95">
                  <c:v>18097.269405915198</c:v>
                </c:pt>
                <c:pt idx="96">
                  <c:v>17302.56996088228</c:v>
                </c:pt>
                <c:pt idx="97">
                  <c:v>19213.57314026546</c:v>
                </c:pt>
                <c:pt idx="98">
                  <c:v>17901.936806396527</c:v>
                </c:pt>
                <c:pt idx="99">
                  <c:v>17765.174382701978</c:v>
                </c:pt>
                <c:pt idx="100">
                  <c:v>18351.285712790421</c:v>
                </c:pt>
                <c:pt idx="101">
                  <c:v>17903.092224949756</c:v>
                </c:pt>
                <c:pt idx="102">
                  <c:v>18851.440156095487</c:v>
                </c:pt>
                <c:pt idx="103">
                  <c:v>17713.256764943839</c:v>
                </c:pt>
                <c:pt idx="104">
                  <c:v>18533.275058291118</c:v>
                </c:pt>
                <c:pt idx="105">
                  <c:v>18422.401902097477</c:v>
                </c:pt>
                <c:pt idx="106">
                  <c:v>18133.614975806559</c:v>
                </c:pt>
                <c:pt idx="107">
                  <c:v>18069.646734497659</c:v>
                </c:pt>
                <c:pt idx="108">
                  <c:v>18442.029017977231</c:v>
                </c:pt>
                <c:pt idx="109">
                  <c:v>17875.549906160886</c:v>
                </c:pt>
                <c:pt idx="110">
                  <c:v>17980.984026256981</c:v>
                </c:pt>
                <c:pt idx="111">
                  <c:v>19310.494463326755</c:v>
                </c:pt>
                <c:pt idx="112">
                  <c:v>18097.471217115337</c:v>
                </c:pt>
                <c:pt idx="113">
                  <c:v>17908.554648206798</c:v>
                </c:pt>
                <c:pt idx="114">
                  <c:v>18830.895493315253</c:v>
                </c:pt>
                <c:pt idx="115">
                  <c:v>18771.578099097314</c:v>
                </c:pt>
                <c:pt idx="116">
                  <c:v>18704.962157894031</c:v>
                </c:pt>
              </c:numCache>
            </c:numRef>
          </c:val>
          <c:smooth val="0"/>
          <c:extLst>
            <c:ext xmlns:c16="http://schemas.microsoft.com/office/drawing/2014/chart" uri="{C3380CC4-5D6E-409C-BE32-E72D297353CC}">
              <c16:uniqueId val="{00000000-0F74-436E-B03D-B21C4B7FEF15}"/>
            </c:ext>
          </c:extLst>
        </c:ser>
        <c:ser>
          <c:idx val="1"/>
          <c:order val="1"/>
          <c:tx>
            <c:v>Deseasonalized Forecast</c:v>
          </c:tx>
          <c:spPr>
            <a:ln>
              <a:solidFill>
                <a:srgbClr val="993366"/>
              </a:solidFill>
              <a:prstDash val="solid"/>
            </a:ln>
          </c:spPr>
          <c:marker>
            <c:symbol val="none"/>
          </c:marker>
          <c:cat>
            <c:strRef>
              <c:f>'Moving average DS(south)'!$A$146:$A$270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'Moving average DS(south)'!$E$146:$E$270</c:f>
              <c:numCache>
                <c:formatCode>0.00</c:formatCode>
                <c:ptCount val="125"/>
                <c:pt idx="4">
                  <c:v>14500.679404042912</c:v>
                </c:pt>
                <c:pt idx="5">
                  <c:v>14762.257755943194</c:v>
                </c:pt>
                <c:pt idx="6">
                  <c:v>14808.182590015136</c:v>
                </c:pt>
                <c:pt idx="7">
                  <c:v>14806.269367273704</c:v>
                </c:pt>
                <c:pt idx="8">
                  <c:v>14865.129153182988</c:v>
                </c:pt>
                <c:pt idx="9">
                  <c:v>14661.292694773696</c:v>
                </c:pt>
                <c:pt idx="10">
                  <c:v>15044.549572507982</c:v>
                </c:pt>
                <c:pt idx="11">
                  <c:v>15204.644067576754</c:v>
                </c:pt>
                <c:pt idx="12">
                  <c:v>14954.51268219707</c:v>
                </c:pt>
                <c:pt idx="13">
                  <c:v>14765.506870221767</c:v>
                </c:pt>
                <c:pt idx="14">
                  <c:v>14290.072503409452</c:v>
                </c:pt>
                <c:pt idx="15">
                  <c:v>14103.94239263145</c:v>
                </c:pt>
                <c:pt idx="16">
                  <c:v>14499.436504523641</c:v>
                </c:pt>
                <c:pt idx="17">
                  <c:v>15079.902431515115</c:v>
                </c:pt>
                <c:pt idx="18">
                  <c:v>15271.996746003173</c:v>
                </c:pt>
                <c:pt idx="19">
                  <c:v>15354.744191262005</c:v>
                </c:pt>
                <c:pt idx="20">
                  <c:v>14811.799180300986</c:v>
                </c:pt>
                <c:pt idx="21">
                  <c:v>14880.073451938277</c:v>
                </c:pt>
                <c:pt idx="22">
                  <c:v>14963.509598944049</c:v>
                </c:pt>
                <c:pt idx="23">
                  <c:v>15168.831787075673</c:v>
                </c:pt>
                <c:pt idx="24">
                  <c:v>15531.187069772954</c:v>
                </c:pt>
                <c:pt idx="25">
                  <c:v>15015.365376836295</c:v>
                </c:pt>
                <c:pt idx="26">
                  <c:v>14566.938085914959</c:v>
                </c:pt>
                <c:pt idx="27">
                  <c:v>14190.787264680002</c:v>
                </c:pt>
                <c:pt idx="28">
                  <c:v>14143.401327339197</c:v>
                </c:pt>
                <c:pt idx="29">
                  <c:v>14776.83054105944</c:v>
                </c:pt>
                <c:pt idx="30">
                  <c:v>15243.104116199293</c:v>
                </c:pt>
                <c:pt idx="31">
                  <c:v>15280.17843432715</c:v>
                </c:pt>
                <c:pt idx="32">
                  <c:v>15636.116483546444</c:v>
                </c:pt>
                <c:pt idx="33">
                  <c:v>15216.816024732314</c:v>
                </c:pt>
                <c:pt idx="34">
                  <c:v>15088.888346986769</c:v>
                </c:pt>
                <c:pt idx="35">
                  <c:v>15201.109798477039</c:v>
                </c:pt>
                <c:pt idx="36">
                  <c:v>15146.133810211562</c:v>
                </c:pt>
                <c:pt idx="37">
                  <c:v>15406.044290335998</c:v>
                </c:pt>
                <c:pt idx="38">
                  <c:v>15512.880197375252</c:v>
                </c:pt>
                <c:pt idx="39">
                  <c:v>15860.170355380465</c:v>
                </c:pt>
                <c:pt idx="40">
                  <c:v>15845.338231616533</c:v>
                </c:pt>
                <c:pt idx="41">
                  <c:v>15750.41603914943</c:v>
                </c:pt>
                <c:pt idx="42">
                  <c:v>15764.907381753465</c:v>
                </c:pt>
                <c:pt idx="43">
                  <c:v>15603.721396379282</c:v>
                </c:pt>
                <c:pt idx="44">
                  <c:v>15406.305405203908</c:v>
                </c:pt>
                <c:pt idx="45">
                  <c:v>15765.806320668766</c:v>
                </c:pt>
                <c:pt idx="46">
                  <c:v>15427.977527658575</c:v>
                </c:pt>
                <c:pt idx="47">
                  <c:v>14976.724959424175</c:v>
                </c:pt>
                <c:pt idx="48">
                  <c:v>15196.707422360389</c:v>
                </c:pt>
                <c:pt idx="49">
                  <c:v>15206.238646785769</c:v>
                </c:pt>
                <c:pt idx="50">
                  <c:v>15798.83262454877</c:v>
                </c:pt>
                <c:pt idx="51">
                  <c:v>16569.647929377759</c:v>
                </c:pt>
                <c:pt idx="52">
                  <c:v>16470.08847833491</c:v>
                </c:pt>
                <c:pt idx="53">
                  <c:v>16283.454402493533</c:v>
                </c:pt>
                <c:pt idx="54">
                  <c:v>15931.503603959212</c:v>
                </c:pt>
                <c:pt idx="55">
                  <c:v>15588.614114832897</c:v>
                </c:pt>
                <c:pt idx="56">
                  <c:v>15707.35057430089</c:v>
                </c:pt>
                <c:pt idx="57">
                  <c:v>15623.449337881248</c:v>
                </c:pt>
                <c:pt idx="58">
                  <c:v>15841.92611702139</c:v>
                </c:pt>
                <c:pt idx="59">
                  <c:v>16009.791915343816</c:v>
                </c:pt>
                <c:pt idx="60">
                  <c:v>15947.523539507312</c:v>
                </c:pt>
                <c:pt idx="61">
                  <c:v>16509.54196487321</c:v>
                </c:pt>
                <c:pt idx="62">
                  <c:v>16619.33902991904</c:v>
                </c:pt>
                <c:pt idx="63">
                  <c:v>16527.578353693898</c:v>
                </c:pt>
                <c:pt idx="64">
                  <c:v>16680.79327746874</c:v>
                </c:pt>
                <c:pt idx="65">
                  <c:v>16142.955030716583</c:v>
                </c:pt>
                <c:pt idx="66">
                  <c:v>16458.109126016156</c:v>
                </c:pt>
                <c:pt idx="67">
                  <c:v>16436.575764428864</c:v>
                </c:pt>
                <c:pt idx="68">
                  <c:v>16491.239915040467</c:v>
                </c:pt>
                <c:pt idx="69">
                  <c:v>16840.454367788549</c:v>
                </c:pt>
                <c:pt idx="70">
                  <c:v>16461.878960813734</c:v>
                </c:pt>
                <c:pt idx="71">
                  <c:v>16760.56560192653</c:v>
                </c:pt>
                <c:pt idx="72">
                  <c:v>16771.734311881177</c:v>
                </c:pt>
                <c:pt idx="73">
                  <c:v>16770.356341524548</c:v>
                </c:pt>
                <c:pt idx="74">
                  <c:v>16811.201952542055</c:v>
                </c:pt>
                <c:pt idx="75">
                  <c:v>16560.021330970703</c:v>
                </c:pt>
                <c:pt idx="76">
                  <c:v>16319.179606149952</c:v>
                </c:pt>
                <c:pt idx="77">
                  <c:v>16283.883326276053</c:v>
                </c:pt>
                <c:pt idx="78">
                  <c:v>16628.441151304658</c:v>
                </c:pt>
                <c:pt idx="79">
                  <c:v>16865.350307127068</c:v>
                </c:pt>
                <c:pt idx="80">
                  <c:v>17428.54503375561</c:v>
                </c:pt>
                <c:pt idx="81">
                  <c:v>17354.069254185408</c:v>
                </c:pt>
                <c:pt idx="82">
                  <c:v>17019.923229759414</c:v>
                </c:pt>
                <c:pt idx="83">
                  <c:v>17105.235450904082</c:v>
                </c:pt>
                <c:pt idx="84">
                  <c:v>17043.088013849519</c:v>
                </c:pt>
                <c:pt idx="85">
                  <c:v>17561.818878151269</c:v>
                </c:pt>
                <c:pt idx="86">
                  <c:v>18015.585508145425</c:v>
                </c:pt>
                <c:pt idx="87">
                  <c:v>17892.393738326988</c:v>
                </c:pt>
                <c:pt idx="88">
                  <c:v>18066.809678340593</c:v>
                </c:pt>
                <c:pt idx="89">
                  <c:v>17654.654662179717</c:v>
                </c:pt>
                <c:pt idx="90">
                  <c:v>17052.292401270613</c:v>
                </c:pt>
                <c:pt idx="91">
                  <c:v>17148.167820917748</c:v>
                </c:pt>
                <c:pt idx="92">
                  <c:v>17042.81379247085</c:v>
                </c:pt>
                <c:pt idx="93">
                  <c:v>17393.987509022711</c:v>
                </c:pt>
                <c:pt idx="94">
                  <c:v>18073.21939166218</c:v>
                </c:pt>
                <c:pt idx="95">
                  <c:v>17904.315365405891</c:v>
                </c:pt>
                <c:pt idx="96">
                  <c:v>17927.513176373759</c:v>
                </c:pt>
                <c:pt idx="97">
                  <c:v>17654.819389079366</c:v>
                </c:pt>
                <c:pt idx="98">
                  <c:v>17826.007161161397</c:v>
                </c:pt>
                <c:pt idx="99">
                  <c:v>18128.837328364865</c:v>
                </c:pt>
                <c:pt idx="100">
                  <c:v>18045.813572561561</c:v>
                </c:pt>
                <c:pt idx="101">
                  <c:v>18307.992510538599</c:v>
                </c:pt>
                <c:pt idx="102">
                  <c:v>17980.372281709671</c:v>
                </c:pt>
                <c:pt idx="103">
                  <c:v>18217.748119134409</c:v>
                </c:pt>
                <c:pt idx="104">
                  <c:v>18204.768714694877</c:v>
                </c:pt>
                <c:pt idx="105">
                  <c:v>18250.266051070052</c:v>
                </c:pt>
                <c:pt idx="106">
                  <c:v>18380.09347035698</c:v>
                </c:pt>
                <c:pt idx="107">
                  <c:v>18200.637175284748</c:v>
                </c:pt>
                <c:pt idx="108">
                  <c:v>18289.734667673201</c:v>
                </c:pt>
                <c:pt idx="109">
                  <c:v>18266.923157594731</c:v>
                </c:pt>
                <c:pt idx="110">
                  <c:v>18130.210158610582</c:v>
                </c:pt>
                <c:pt idx="111">
                  <c:v>18092.05242122319</c:v>
                </c:pt>
                <c:pt idx="112">
                  <c:v>18402.264353430463</c:v>
                </c:pt>
                <c:pt idx="113">
                  <c:v>18316.12490321499</c:v>
                </c:pt>
                <c:pt idx="114">
                  <c:v>18324.376088726469</c:v>
                </c:pt>
                <c:pt idx="115">
                  <c:v>18536.853955491039</c:v>
                </c:pt>
                <c:pt idx="116">
                  <c:v>18402.124864433677</c:v>
                </c:pt>
                <c:pt idx="117">
                  <c:v>18553.99759962835</c:v>
                </c:pt>
                <c:pt idx="118">
                  <c:v>18715.358337483736</c:v>
                </c:pt>
                <c:pt idx="119">
                  <c:v>18686.474048525855</c:v>
                </c:pt>
                <c:pt idx="120">
                  <c:v>18665.198035882993</c:v>
                </c:pt>
                <c:pt idx="121">
                  <c:v>18655.257005380234</c:v>
                </c:pt>
                <c:pt idx="122">
                  <c:v>18680.571856818206</c:v>
                </c:pt>
                <c:pt idx="123">
                  <c:v>18671.875236651824</c:v>
                </c:pt>
                <c:pt idx="124">
                  <c:v>18668.225533683311</c:v>
                </c:pt>
              </c:numCache>
            </c:numRef>
          </c:val>
          <c:smooth val="0"/>
          <c:extLst>
            <c:ext xmlns:c16="http://schemas.microsoft.com/office/drawing/2014/chart" uri="{C3380CC4-5D6E-409C-BE32-E72D297353CC}">
              <c16:uniqueId val="{00000001-0F74-436E-B03D-B21C4B7FEF15}"/>
            </c:ext>
          </c:extLst>
        </c:ser>
        <c:dLbls>
          <c:showLegendKey val="0"/>
          <c:showVal val="0"/>
          <c:showCatName val="0"/>
          <c:showSerName val="0"/>
          <c:showPercent val="0"/>
          <c:showBubbleSize val="0"/>
        </c:dLbls>
        <c:smooth val="0"/>
        <c:axId val="1399560911"/>
        <c:axId val="1399559951"/>
      </c:lineChart>
      <c:catAx>
        <c:axId val="1399560911"/>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399559951"/>
        <c:crosses val="autoZero"/>
        <c:auto val="1"/>
        <c:lblAlgn val="ctr"/>
        <c:lblOffset val="100"/>
        <c:noMultiLvlLbl val="0"/>
      </c:catAx>
      <c:valAx>
        <c:axId val="1399559951"/>
        <c:scaling>
          <c:orientation val="minMax"/>
        </c:scaling>
        <c:delete val="0"/>
        <c:axPos val="l"/>
        <c:numFmt formatCode="0.00" sourceLinked="0"/>
        <c:majorTickMark val="out"/>
        <c:minorTickMark val="none"/>
        <c:tickLblPos val="nextTo"/>
        <c:txPr>
          <a:bodyPr/>
          <a:lstStyle/>
          <a:p>
            <a:pPr>
              <a:defRPr sz="800" b="0"/>
            </a:pPr>
            <a:endParaRPr lang="en-US"/>
          </a:p>
        </c:txPr>
        <c:crossAx val="1399560911"/>
        <c:crosses val="autoZero"/>
        <c:crossBetween val="between"/>
      </c:valAx>
    </c:plotArea>
    <c:legend>
      <c:legendPos val="r"/>
      <c:overlay val="0"/>
      <c:spPr>
        <a:ln>
          <a:solidFill>
            <a:srgbClr val="000000"/>
          </a:solidFill>
          <a:prstDash val="solid"/>
        </a:ln>
      </c:sp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Deseasonalized Observations</a:t>
            </a:r>
          </a:p>
        </c:rich>
      </c:tx>
      <c:overlay val="0"/>
    </c:title>
    <c:autoTitleDeleted val="0"/>
    <c:plotArea>
      <c:layout/>
      <c:lineChart>
        <c:grouping val="standard"/>
        <c:varyColors val="0"/>
        <c:ser>
          <c:idx val="0"/>
          <c:order val="0"/>
          <c:tx>
            <c:v>South</c:v>
          </c:tx>
          <c:spPr>
            <a:ln>
              <a:solidFill>
                <a:srgbClr val="333399"/>
              </a:solidFill>
              <a:prstDash val="solid"/>
            </a:ln>
          </c:spPr>
          <c:marker>
            <c:symbol val="none"/>
          </c:marker>
          <c:cat>
            <c:strRef>
              <c:f>'Moving average DS(south)'!$A$146:$A$270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'Moving average DS(south)'!$D$146:$D$270</c:f>
              <c:numCache>
                <c:formatCode>0.00</c:formatCode>
                <c:ptCount val="125"/>
                <c:pt idx="0">
                  <c:v>13596.294615442752</c:v>
                </c:pt>
                <c:pt idx="1">
                  <c:v>14568.485073225871</c:v>
                </c:pt>
                <c:pt idx="2">
                  <c:v>14994.128361529874</c:v>
                </c:pt>
                <c:pt idx="3">
                  <c:v>14843.809565973152</c:v>
                </c:pt>
                <c:pt idx="4">
                  <c:v>14642.608023043873</c:v>
                </c:pt>
                <c:pt idx="5">
                  <c:v>14752.184409513646</c:v>
                </c:pt>
                <c:pt idx="6">
                  <c:v>14986.475470564148</c:v>
                </c:pt>
                <c:pt idx="7">
                  <c:v>15079.248709610283</c:v>
                </c:pt>
                <c:pt idx="8">
                  <c:v>13827.262189406702</c:v>
                </c:pt>
                <c:pt idx="9">
                  <c:v>16285.211920450787</c:v>
                </c:pt>
                <c:pt idx="10">
                  <c:v>15626.853450839242</c:v>
                </c:pt>
                <c:pt idx="11">
                  <c:v>14078.723168091548</c:v>
                </c:pt>
                <c:pt idx="12">
                  <c:v>13071.238941505484</c:v>
                </c:pt>
                <c:pt idx="13">
                  <c:v>14383.474453201534</c:v>
                </c:pt>
                <c:pt idx="14">
                  <c:v>14882.333007727233</c:v>
                </c:pt>
                <c:pt idx="15">
                  <c:v>15660.699615660315</c:v>
                </c:pt>
                <c:pt idx="16">
                  <c:v>15393.102649471382</c:v>
                </c:pt>
                <c:pt idx="17">
                  <c:v>15151.851711153766</c:v>
                </c:pt>
                <c:pt idx="18">
                  <c:v>15213.322788762554</c:v>
                </c:pt>
                <c:pt idx="19">
                  <c:v>13488.919571816245</c:v>
                </c:pt>
                <c:pt idx="20">
                  <c:v>15666.199736020541</c:v>
                </c:pt>
                <c:pt idx="21">
                  <c:v>15485.596299176856</c:v>
                </c:pt>
                <c:pt idx="22">
                  <c:v>16034.611541289047</c:v>
                </c:pt>
                <c:pt idx="23">
                  <c:v>14938.340702605379</c:v>
                </c:pt>
                <c:pt idx="24">
                  <c:v>13602.912964273894</c:v>
                </c:pt>
                <c:pt idx="25">
                  <c:v>13691.887135491515</c:v>
                </c:pt>
                <c:pt idx="26">
                  <c:v>14530.008256349216</c:v>
                </c:pt>
                <c:pt idx="27">
                  <c:v>14748.796953242159</c:v>
                </c:pt>
                <c:pt idx="28">
                  <c:v>16136.629819154869</c:v>
                </c:pt>
                <c:pt idx="29">
                  <c:v>15556.981436050924</c:v>
                </c:pt>
                <c:pt idx="30">
                  <c:v>14678.305528860652</c:v>
                </c:pt>
                <c:pt idx="31">
                  <c:v>16172.549150119332</c:v>
                </c:pt>
                <c:pt idx="32">
                  <c:v>14459.427983898346</c:v>
                </c:pt>
                <c:pt idx="33">
                  <c:v>15045.270725068744</c:v>
                </c:pt>
                <c:pt idx="34">
                  <c:v>15127.191334821737</c:v>
                </c:pt>
                <c:pt idx="35">
                  <c:v>15952.645197057431</c:v>
                </c:pt>
                <c:pt idx="36">
                  <c:v>15499.069904396081</c:v>
                </c:pt>
                <c:pt idx="37">
                  <c:v>15472.614353225754</c:v>
                </c:pt>
                <c:pt idx="38">
                  <c:v>16516.351966842591</c:v>
                </c:pt>
                <c:pt idx="39">
                  <c:v>15893.316702001714</c:v>
                </c:pt>
                <c:pt idx="40">
                  <c:v>15119.381134527663</c:v>
                </c:pt>
                <c:pt idx="41">
                  <c:v>15530.579723641897</c:v>
                </c:pt>
                <c:pt idx="42">
                  <c:v>15871.608025345855</c:v>
                </c:pt>
                <c:pt idx="43">
                  <c:v>15103.652737300217</c:v>
                </c:pt>
                <c:pt idx="44">
                  <c:v>16557.384796387098</c:v>
                </c:pt>
                <c:pt idx="45">
                  <c:v>14179.264551601127</c:v>
                </c:pt>
                <c:pt idx="46">
                  <c:v>14066.597752408257</c:v>
                </c:pt>
                <c:pt idx="47">
                  <c:v>15983.582589045074</c:v>
                </c:pt>
                <c:pt idx="48">
                  <c:v>16595.509694088611</c:v>
                </c:pt>
                <c:pt idx="49">
                  <c:v>16549.64046265314</c:v>
                </c:pt>
                <c:pt idx="50">
                  <c:v>17149.858971724221</c:v>
                </c:pt>
                <c:pt idx="51">
                  <c:v>15585.344784873665</c:v>
                </c:pt>
                <c:pt idx="52">
                  <c:v>15848.973390723106</c:v>
                </c:pt>
                <c:pt idx="53">
                  <c:v>15141.837268515857</c:v>
                </c:pt>
                <c:pt idx="54">
                  <c:v>15778.301015218962</c:v>
                </c:pt>
                <c:pt idx="55">
                  <c:v>16060.290622745635</c:v>
                </c:pt>
                <c:pt idx="56">
                  <c:v>15513.36844504454</c:v>
                </c:pt>
                <c:pt idx="57">
                  <c:v>16015.744385076421</c:v>
                </c:pt>
                <c:pt idx="58">
                  <c:v>16449.764208508666</c:v>
                </c:pt>
                <c:pt idx="59">
                  <c:v>15811.217119399627</c:v>
                </c:pt>
                <c:pt idx="60">
                  <c:v>17761.442146508129</c:v>
                </c:pt>
                <c:pt idx="61">
                  <c:v>16454.932645259731</c:v>
                </c:pt>
                <c:pt idx="62">
                  <c:v>16082.721503608109</c:v>
                </c:pt>
                <c:pt idx="63">
                  <c:v>16424.076814498989</c:v>
                </c:pt>
                <c:pt idx="64">
                  <c:v>15610.089159499496</c:v>
                </c:pt>
                <c:pt idx="65">
                  <c:v>17715.549026458037</c:v>
                </c:pt>
                <c:pt idx="66">
                  <c:v>15996.588057258938</c:v>
                </c:pt>
                <c:pt idx="67">
                  <c:v>16642.733416945393</c:v>
                </c:pt>
                <c:pt idx="68">
                  <c:v>17006.94697049183</c:v>
                </c:pt>
                <c:pt idx="69">
                  <c:v>16201.247398558775</c:v>
                </c:pt>
                <c:pt idx="70">
                  <c:v>17191.334621710121</c:v>
                </c:pt>
                <c:pt idx="71">
                  <c:v>16687.408256763982</c:v>
                </c:pt>
                <c:pt idx="72">
                  <c:v>17001.435089065319</c:v>
                </c:pt>
                <c:pt idx="73">
                  <c:v>16364.629842628803</c:v>
                </c:pt>
                <c:pt idx="74">
                  <c:v>16186.612135424704</c:v>
                </c:pt>
                <c:pt idx="75">
                  <c:v>15724.041357480977</c:v>
                </c:pt>
                <c:pt idx="76">
                  <c:v>16860.249969569722</c:v>
                </c:pt>
                <c:pt idx="77">
                  <c:v>17742.861142743241</c:v>
                </c:pt>
                <c:pt idx="78">
                  <c:v>17134.248758714341</c:v>
                </c:pt>
                <c:pt idx="79">
                  <c:v>17976.820263995127</c:v>
                </c:pt>
                <c:pt idx="80">
                  <c:v>16562.346851288916</c:v>
                </c:pt>
                <c:pt idx="81">
                  <c:v>16406.277045039271</c:v>
                </c:pt>
                <c:pt idx="82">
                  <c:v>17475.497643293016</c:v>
                </c:pt>
                <c:pt idx="83">
                  <c:v>17728.230515776871</c:v>
                </c:pt>
                <c:pt idx="84">
                  <c:v>18637.270308495921</c:v>
                </c:pt>
                <c:pt idx="85">
                  <c:v>18221.343565015894</c:v>
                </c:pt>
                <c:pt idx="86">
                  <c:v>16982.730564019264</c:v>
                </c:pt>
                <c:pt idx="87">
                  <c:v>18425.894275831299</c:v>
                </c:pt>
                <c:pt idx="88">
                  <c:v>16988.650243852411</c:v>
                </c:pt>
                <c:pt idx="89">
                  <c:v>15811.894521379474</c:v>
                </c:pt>
                <c:pt idx="90">
                  <c:v>17366.232242607806</c:v>
                </c:pt>
                <c:pt idx="91">
                  <c:v>18004.478162043717</c:v>
                </c:pt>
                <c:pt idx="92">
                  <c:v>18393.345110059843</c:v>
                </c:pt>
                <c:pt idx="93">
                  <c:v>18528.822051937354</c:v>
                </c:pt>
                <c:pt idx="94">
                  <c:v>16690.616137582641</c:v>
                </c:pt>
                <c:pt idx="95">
                  <c:v>18097.269405915198</c:v>
                </c:pt>
                <c:pt idx="96">
                  <c:v>17302.56996088228</c:v>
                </c:pt>
                <c:pt idx="97">
                  <c:v>19213.57314026546</c:v>
                </c:pt>
                <c:pt idx="98">
                  <c:v>17901.936806396527</c:v>
                </c:pt>
                <c:pt idx="99">
                  <c:v>17765.174382701978</c:v>
                </c:pt>
                <c:pt idx="100">
                  <c:v>18351.285712790421</c:v>
                </c:pt>
                <c:pt idx="101">
                  <c:v>17903.092224949756</c:v>
                </c:pt>
                <c:pt idx="102">
                  <c:v>18851.440156095487</c:v>
                </c:pt>
                <c:pt idx="103">
                  <c:v>17713.256764943839</c:v>
                </c:pt>
                <c:pt idx="104">
                  <c:v>18533.275058291118</c:v>
                </c:pt>
                <c:pt idx="105">
                  <c:v>18422.401902097477</c:v>
                </c:pt>
                <c:pt idx="106">
                  <c:v>18133.614975806559</c:v>
                </c:pt>
                <c:pt idx="107">
                  <c:v>18069.646734497659</c:v>
                </c:pt>
                <c:pt idx="108">
                  <c:v>18442.029017977231</c:v>
                </c:pt>
                <c:pt idx="109">
                  <c:v>17875.549906160886</c:v>
                </c:pt>
                <c:pt idx="110">
                  <c:v>17980.984026256981</c:v>
                </c:pt>
                <c:pt idx="111">
                  <c:v>19310.494463326755</c:v>
                </c:pt>
                <c:pt idx="112">
                  <c:v>18097.471217115337</c:v>
                </c:pt>
                <c:pt idx="113">
                  <c:v>17908.554648206798</c:v>
                </c:pt>
                <c:pt idx="114">
                  <c:v>18830.895493315253</c:v>
                </c:pt>
                <c:pt idx="115">
                  <c:v>18771.578099097314</c:v>
                </c:pt>
                <c:pt idx="116">
                  <c:v>18704.962157894031</c:v>
                </c:pt>
              </c:numCache>
            </c:numRef>
          </c:val>
          <c:smooth val="0"/>
          <c:extLst>
            <c:ext xmlns:c16="http://schemas.microsoft.com/office/drawing/2014/chart" uri="{C3380CC4-5D6E-409C-BE32-E72D297353CC}">
              <c16:uniqueId val="{00000000-84DB-4699-A38F-378BD3B3B4DC}"/>
            </c:ext>
          </c:extLst>
        </c:ser>
        <c:dLbls>
          <c:showLegendKey val="0"/>
          <c:showVal val="0"/>
          <c:showCatName val="0"/>
          <c:showSerName val="0"/>
          <c:showPercent val="0"/>
          <c:showBubbleSize val="0"/>
        </c:dLbls>
        <c:smooth val="0"/>
        <c:axId val="1399554191"/>
        <c:axId val="1399554671"/>
      </c:lineChart>
      <c:catAx>
        <c:axId val="1399554191"/>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399554671"/>
        <c:crosses val="autoZero"/>
        <c:auto val="1"/>
        <c:lblAlgn val="ctr"/>
        <c:lblOffset val="100"/>
        <c:noMultiLvlLbl val="0"/>
      </c:catAx>
      <c:valAx>
        <c:axId val="1399554671"/>
        <c:scaling>
          <c:orientation val="minMax"/>
        </c:scaling>
        <c:delete val="0"/>
        <c:axPos val="l"/>
        <c:numFmt formatCode="0.00" sourceLinked="0"/>
        <c:majorTickMark val="out"/>
        <c:minorTickMark val="none"/>
        <c:tickLblPos val="nextTo"/>
        <c:txPr>
          <a:bodyPr/>
          <a:lstStyle/>
          <a:p>
            <a:pPr>
              <a:defRPr sz="800" b="0"/>
            </a:pPr>
            <a:endParaRPr lang="en-US"/>
          </a:p>
        </c:txPr>
        <c:crossAx val="1399554191"/>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Deseasonalized Errors</a:t>
            </a:r>
          </a:p>
        </c:rich>
      </c:tx>
      <c:overlay val="0"/>
    </c:title>
    <c:autoTitleDeleted val="0"/>
    <c:plotArea>
      <c:layout/>
      <c:lineChart>
        <c:grouping val="standard"/>
        <c:varyColors val="0"/>
        <c:ser>
          <c:idx val="0"/>
          <c:order val="0"/>
          <c:tx>
            <c:v>Deseasonalized Errors</c:v>
          </c:tx>
          <c:spPr>
            <a:ln>
              <a:solidFill>
                <a:srgbClr val="333399"/>
              </a:solidFill>
              <a:prstDash val="solid"/>
            </a:ln>
          </c:spPr>
          <c:marker>
            <c:symbol val="none"/>
          </c:marker>
          <c:cat>
            <c:strRef>
              <c:f>'Moving average DS(south)'!$A$146:$A$270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'Moving average DS(south)'!$F$150:$F$270</c:f>
              <c:numCache>
                <c:formatCode>0.00</c:formatCode>
                <c:ptCount val="121"/>
                <c:pt idx="0">
                  <c:v>141.92861900096068</c:v>
                </c:pt>
                <c:pt idx="1">
                  <c:v>-10.07334642954811</c:v>
                </c:pt>
                <c:pt idx="2">
                  <c:v>178.2928805490119</c:v>
                </c:pt>
                <c:pt idx="3">
                  <c:v>272.97934233657907</c:v>
                </c:pt>
                <c:pt idx="4">
                  <c:v>-1037.8669637762869</c:v>
                </c:pt>
                <c:pt idx="5">
                  <c:v>1623.9192256770912</c:v>
                </c:pt>
                <c:pt idx="6">
                  <c:v>582.30387833126042</c:v>
                </c:pt>
                <c:pt idx="7">
                  <c:v>-1125.9208994852052</c:v>
                </c:pt>
                <c:pt idx="8">
                  <c:v>-1883.2737406915858</c:v>
                </c:pt>
                <c:pt idx="9">
                  <c:v>-382.03241702023297</c:v>
                </c:pt>
                <c:pt idx="10">
                  <c:v>592.26050431778094</c:v>
                </c:pt>
                <c:pt idx="11">
                  <c:v>1556.7572230288642</c:v>
                </c:pt>
                <c:pt idx="12">
                  <c:v>893.66614494774149</c:v>
                </c:pt>
                <c:pt idx="13">
                  <c:v>71.949279638651205</c:v>
                </c:pt>
                <c:pt idx="14">
                  <c:v>-58.67395724061862</c:v>
                </c:pt>
                <c:pt idx="15">
                  <c:v>-1865.8246194457606</c:v>
                </c:pt>
                <c:pt idx="16">
                  <c:v>854.40055571955418</c:v>
                </c:pt>
                <c:pt idx="17">
                  <c:v>605.52284723857883</c:v>
                </c:pt>
                <c:pt idx="18">
                  <c:v>1071.101942344998</c:v>
                </c:pt>
                <c:pt idx="19">
                  <c:v>-230.49108447029357</c:v>
                </c:pt>
                <c:pt idx="20">
                  <c:v>-1928.2741054990602</c:v>
                </c:pt>
                <c:pt idx="21">
                  <c:v>-1323.4782413447792</c:v>
                </c:pt>
                <c:pt idx="22">
                  <c:v>-36.929829565742693</c:v>
                </c:pt>
                <c:pt idx="23">
                  <c:v>558.00968856215695</c:v>
                </c:pt>
                <c:pt idx="24">
                  <c:v>1993.2284918156711</c:v>
                </c:pt>
                <c:pt idx="25">
                  <c:v>780.15089499148417</c:v>
                </c:pt>
                <c:pt idx="26">
                  <c:v>-564.79858733864057</c:v>
                </c:pt>
                <c:pt idx="27">
                  <c:v>892.37071579218173</c:v>
                </c:pt>
                <c:pt idx="28">
                  <c:v>-1176.6884996480985</c:v>
                </c:pt>
                <c:pt idx="29">
                  <c:v>-171.5452996635704</c:v>
                </c:pt>
                <c:pt idx="30">
                  <c:v>38.302987834968008</c:v>
                </c:pt>
                <c:pt idx="31">
                  <c:v>751.53539858039221</c:v>
                </c:pt>
                <c:pt idx="32">
                  <c:v>352.93609418451888</c:v>
                </c:pt>
                <c:pt idx="33">
                  <c:v>66.570062889755718</c:v>
                </c:pt>
                <c:pt idx="34">
                  <c:v>1003.4717694673382</c:v>
                </c:pt>
                <c:pt idx="35">
                  <c:v>33.146346621248085</c:v>
                </c:pt>
                <c:pt idx="36">
                  <c:v>-725.9570970888708</c:v>
                </c:pt>
                <c:pt idx="37">
                  <c:v>-219.83631550753307</c:v>
                </c:pt>
                <c:pt idx="38">
                  <c:v>106.70064359239041</c:v>
                </c:pt>
                <c:pt idx="39">
                  <c:v>-500.06865907906467</c:v>
                </c:pt>
                <c:pt idx="40">
                  <c:v>1151.0793911831897</c:v>
                </c:pt>
                <c:pt idx="41">
                  <c:v>-1586.5417690676386</c:v>
                </c:pt>
                <c:pt idx="42">
                  <c:v>-1361.3797752503178</c:v>
                </c:pt>
                <c:pt idx="43">
                  <c:v>1006.8576296208994</c:v>
                </c:pt>
                <c:pt idx="44">
                  <c:v>1398.802271728222</c:v>
                </c:pt>
                <c:pt idx="45">
                  <c:v>1343.4018158673716</c:v>
                </c:pt>
                <c:pt idx="46">
                  <c:v>1351.0263471754515</c:v>
                </c:pt>
                <c:pt idx="47">
                  <c:v>-984.30314450409423</c:v>
                </c:pt>
                <c:pt idx="48">
                  <c:v>-621.11508761180448</c:v>
                </c:pt>
                <c:pt idx="49">
                  <c:v>-1141.6171339776756</c:v>
                </c:pt>
                <c:pt idx="50">
                  <c:v>-153.20258874025058</c:v>
                </c:pt>
                <c:pt idx="51">
                  <c:v>471.67650791273809</c:v>
                </c:pt>
                <c:pt idx="52">
                  <c:v>-193.98212925635016</c:v>
                </c:pt>
                <c:pt idx="53">
                  <c:v>392.29504719517354</c:v>
                </c:pt>
                <c:pt idx="54">
                  <c:v>607.83809148727596</c:v>
                </c:pt>
                <c:pt idx="55">
                  <c:v>-198.57479594418874</c:v>
                </c:pt>
                <c:pt idx="56">
                  <c:v>1813.9186070008163</c:v>
                </c:pt>
                <c:pt idx="57">
                  <c:v>-54.609319613478874</c:v>
                </c:pt>
                <c:pt idx="58">
                  <c:v>-536.61752631093077</c:v>
                </c:pt>
                <c:pt idx="59">
                  <c:v>-103.50153919490913</c:v>
                </c:pt>
                <c:pt idx="60">
                  <c:v>-1070.7041179692442</c:v>
                </c:pt>
                <c:pt idx="61">
                  <c:v>1572.5939957414539</c:v>
                </c:pt>
                <c:pt idx="62">
                  <c:v>-461.52106875721802</c:v>
                </c:pt>
                <c:pt idx="63">
                  <c:v>206.1576525165292</c:v>
                </c:pt>
                <c:pt idx="64">
                  <c:v>515.70705545136298</c:v>
                </c:pt>
                <c:pt idx="65">
                  <c:v>-639.20696922977368</c:v>
                </c:pt>
                <c:pt idx="66">
                  <c:v>729.45566089638669</c:v>
                </c:pt>
                <c:pt idx="67">
                  <c:v>-73.157345162548154</c:v>
                </c:pt>
                <c:pt idx="68">
                  <c:v>229.70077718414177</c:v>
                </c:pt>
                <c:pt idx="69">
                  <c:v>-405.72649889574495</c:v>
                </c:pt>
                <c:pt idx="70">
                  <c:v>-624.58981711735032</c:v>
                </c:pt>
                <c:pt idx="71">
                  <c:v>-835.97997348972604</c:v>
                </c:pt>
                <c:pt idx="72">
                  <c:v>541.07036341977073</c:v>
                </c:pt>
                <c:pt idx="73">
                  <c:v>1458.9778164671879</c:v>
                </c:pt>
                <c:pt idx="74">
                  <c:v>505.80760740968253</c:v>
                </c:pt>
                <c:pt idx="75">
                  <c:v>1111.4699568680589</c:v>
                </c:pt>
                <c:pt idx="76">
                  <c:v>-866.19818246669456</c:v>
                </c:pt>
                <c:pt idx="77">
                  <c:v>-947.79220914613688</c:v>
                </c:pt>
                <c:pt idx="78">
                  <c:v>455.57441353360264</c:v>
                </c:pt>
                <c:pt idx="79">
                  <c:v>622.99506487278995</c:v>
                </c:pt>
                <c:pt idx="80">
                  <c:v>1594.1822946464017</c:v>
                </c:pt>
                <c:pt idx="81">
                  <c:v>659.52468686462453</c:v>
                </c:pt>
                <c:pt idx="82">
                  <c:v>-1032.8549441261603</c:v>
                </c:pt>
                <c:pt idx="83">
                  <c:v>533.50053750431107</c:v>
                </c:pt>
                <c:pt idx="84">
                  <c:v>-1078.1594344881814</c:v>
                </c:pt>
                <c:pt idx="85">
                  <c:v>-1842.7601408002429</c:v>
                </c:pt>
                <c:pt idx="86">
                  <c:v>313.93984133719277</c:v>
                </c:pt>
                <c:pt idx="87">
                  <c:v>856.31034112596899</c:v>
                </c:pt>
                <c:pt idx="88">
                  <c:v>1350.5313175889933</c:v>
                </c:pt>
                <c:pt idx="89">
                  <c:v>1134.834542914643</c:v>
                </c:pt>
                <c:pt idx="90">
                  <c:v>-1382.6032540795386</c:v>
                </c:pt>
                <c:pt idx="91">
                  <c:v>192.95404050930665</c:v>
                </c:pt>
                <c:pt idx="92">
                  <c:v>-624.94321549147935</c:v>
                </c:pt>
                <c:pt idx="93">
                  <c:v>1558.7537511860937</c:v>
                </c:pt>
                <c:pt idx="94">
                  <c:v>75.92964523513001</c:v>
                </c:pt>
                <c:pt idx="95">
                  <c:v>-363.66294566288707</c:v>
                </c:pt>
                <c:pt idx="96">
                  <c:v>305.47214022885964</c:v>
                </c:pt>
                <c:pt idx="97">
                  <c:v>-404.90028558884296</c:v>
                </c:pt>
                <c:pt idx="98">
                  <c:v>871.06787438581523</c:v>
                </c:pt>
                <c:pt idx="99">
                  <c:v>-504.49135419056984</c:v>
                </c:pt>
                <c:pt idx="100">
                  <c:v>328.50634359624019</c:v>
                </c:pt>
                <c:pt idx="101">
                  <c:v>172.13585102742582</c:v>
                </c:pt>
                <c:pt idx="102">
                  <c:v>-246.4784945504216</c:v>
                </c:pt>
                <c:pt idx="103">
                  <c:v>-130.99044078708903</c:v>
                </c:pt>
                <c:pt idx="104">
                  <c:v>152.29435030402965</c:v>
                </c:pt>
                <c:pt idx="105">
                  <c:v>-391.37325143384442</c:v>
                </c:pt>
                <c:pt idx="106">
                  <c:v>-149.22613235360041</c:v>
                </c:pt>
                <c:pt idx="107">
                  <c:v>1218.4420421035647</c:v>
                </c:pt>
                <c:pt idx="108">
                  <c:v>-304.79313631512559</c:v>
                </c:pt>
                <c:pt idx="109">
                  <c:v>-407.57025500819145</c:v>
                </c:pt>
                <c:pt idx="110">
                  <c:v>506.5194045887838</c:v>
                </c:pt>
                <c:pt idx="111">
                  <c:v>234.7241436062759</c:v>
                </c:pt>
                <c:pt idx="112">
                  <c:v>302.83729346035398</c:v>
                </c:pt>
              </c:numCache>
            </c:numRef>
          </c:val>
          <c:smooth val="0"/>
          <c:extLst>
            <c:ext xmlns:c16="http://schemas.microsoft.com/office/drawing/2014/chart" uri="{C3380CC4-5D6E-409C-BE32-E72D297353CC}">
              <c16:uniqueId val="{00000000-BE53-4B87-91C9-A5D936AFBE44}"/>
            </c:ext>
          </c:extLst>
        </c:ser>
        <c:dLbls>
          <c:showLegendKey val="0"/>
          <c:showVal val="0"/>
          <c:showCatName val="0"/>
          <c:showSerName val="0"/>
          <c:showPercent val="0"/>
          <c:showBubbleSize val="0"/>
        </c:dLbls>
        <c:smooth val="0"/>
        <c:axId val="1399558031"/>
        <c:axId val="1399555631"/>
      </c:lineChart>
      <c:catAx>
        <c:axId val="1399558031"/>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399555631"/>
        <c:crosses val="autoZero"/>
        <c:auto val="1"/>
        <c:lblAlgn val="ctr"/>
        <c:lblOffset val="100"/>
        <c:noMultiLvlLbl val="0"/>
      </c:catAx>
      <c:valAx>
        <c:axId val="1399555631"/>
        <c:scaling>
          <c:orientation val="minMax"/>
        </c:scaling>
        <c:delete val="0"/>
        <c:axPos val="l"/>
        <c:numFmt formatCode="0.00" sourceLinked="0"/>
        <c:majorTickMark val="out"/>
        <c:minorTickMark val="none"/>
        <c:tickLblPos val="nextTo"/>
        <c:txPr>
          <a:bodyPr/>
          <a:lstStyle/>
          <a:p>
            <a:pPr>
              <a:defRPr sz="800" b="0"/>
            </a:pPr>
            <a:endParaRPr lang="en-US"/>
          </a:p>
        </c:txPr>
        <c:crossAx val="1399558031"/>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Forecast and Original Observations</a:t>
            </a:r>
          </a:p>
        </c:rich>
      </c:tx>
      <c:layout/>
      <c:overlay val="0"/>
    </c:title>
    <c:autoTitleDeleted val="0"/>
    <c:plotArea>
      <c:layout/>
      <c:lineChart>
        <c:grouping val="standard"/>
        <c:varyColors val="0"/>
        <c:ser>
          <c:idx val="0"/>
          <c:order val="0"/>
          <c:tx>
            <c:v>South</c:v>
          </c:tx>
          <c:spPr>
            <a:ln>
              <a:solidFill>
                <a:srgbClr val="333399"/>
              </a:solidFill>
              <a:prstDash val="solid"/>
            </a:ln>
          </c:spPr>
          <c:marker>
            <c:symbol val="none"/>
          </c:marker>
          <c:cat>
            <c:strRef>
              <c:f>'Holt''s EXpo DS(South)'!$A$147:$A$271</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'Holt''s EXpo DS(South)'!$B$147:$B$271</c:f>
              <c:numCache>
                <c:formatCode>0.00</c:formatCode>
                <c:ptCount val="125"/>
                <c:pt idx="0">
                  <c:v>12326</c:v>
                </c:pt>
                <c:pt idx="1">
                  <c:v>13229</c:v>
                </c:pt>
                <c:pt idx="2">
                  <c:v>13278</c:v>
                </c:pt>
                <c:pt idx="3">
                  <c:v>13592</c:v>
                </c:pt>
                <c:pt idx="4">
                  <c:v>14711</c:v>
                </c:pt>
                <c:pt idx="5">
                  <c:v>16204</c:v>
                </c:pt>
                <c:pt idx="6">
                  <c:v>17507</c:v>
                </c:pt>
                <c:pt idx="7">
                  <c:v>18537</c:v>
                </c:pt>
                <c:pt idx="8">
                  <c:v>13933</c:v>
                </c:pt>
                <c:pt idx="9">
                  <c:v>16680</c:v>
                </c:pt>
                <c:pt idx="10">
                  <c:v>14793</c:v>
                </c:pt>
                <c:pt idx="11">
                  <c:v>12742</c:v>
                </c:pt>
                <c:pt idx="12">
                  <c:v>11850</c:v>
                </c:pt>
                <c:pt idx="13">
                  <c:v>13061</c:v>
                </c:pt>
                <c:pt idx="14">
                  <c:v>13179</c:v>
                </c:pt>
                <c:pt idx="15">
                  <c:v>14340</c:v>
                </c:pt>
                <c:pt idx="16">
                  <c:v>15465</c:v>
                </c:pt>
                <c:pt idx="17">
                  <c:v>16643</c:v>
                </c:pt>
                <c:pt idx="18">
                  <c:v>17772</c:v>
                </c:pt>
                <c:pt idx="19">
                  <c:v>16582</c:v>
                </c:pt>
                <c:pt idx="20">
                  <c:v>15786</c:v>
                </c:pt>
                <c:pt idx="21">
                  <c:v>15861</c:v>
                </c:pt>
                <c:pt idx="22">
                  <c:v>15179</c:v>
                </c:pt>
                <c:pt idx="23">
                  <c:v>13520</c:v>
                </c:pt>
                <c:pt idx="24">
                  <c:v>12332</c:v>
                </c:pt>
                <c:pt idx="25">
                  <c:v>12433</c:v>
                </c:pt>
                <c:pt idx="26">
                  <c:v>12867</c:v>
                </c:pt>
                <c:pt idx="27">
                  <c:v>13505</c:v>
                </c:pt>
                <c:pt idx="28">
                  <c:v>16212</c:v>
                </c:pt>
                <c:pt idx="29">
                  <c:v>17088</c:v>
                </c:pt>
                <c:pt idx="30">
                  <c:v>17147</c:v>
                </c:pt>
                <c:pt idx="31">
                  <c:v>19881</c:v>
                </c:pt>
                <c:pt idx="32">
                  <c:v>14570</c:v>
                </c:pt>
                <c:pt idx="33">
                  <c:v>15410</c:v>
                </c:pt>
                <c:pt idx="34">
                  <c:v>14320</c:v>
                </c:pt>
                <c:pt idx="35">
                  <c:v>14438</c:v>
                </c:pt>
                <c:pt idx="36">
                  <c:v>14051</c:v>
                </c:pt>
                <c:pt idx="37">
                  <c:v>14050</c:v>
                </c:pt>
                <c:pt idx="38">
                  <c:v>14626</c:v>
                </c:pt>
                <c:pt idx="39">
                  <c:v>14553</c:v>
                </c:pt>
                <c:pt idx="40">
                  <c:v>15190</c:v>
                </c:pt>
                <c:pt idx="41">
                  <c:v>17059</c:v>
                </c:pt>
                <c:pt idx="42">
                  <c:v>18541</c:v>
                </c:pt>
                <c:pt idx="43">
                  <c:v>18567</c:v>
                </c:pt>
                <c:pt idx="44">
                  <c:v>16684</c:v>
                </c:pt>
                <c:pt idx="45">
                  <c:v>14523</c:v>
                </c:pt>
                <c:pt idx="46">
                  <c:v>13316</c:v>
                </c:pt>
                <c:pt idx="47">
                  <c:v>14466</c:v>
                </c:pt>
                <c:pt idx="48">
                  <c:v>15045</c:v>
                </c:pt>
                <c:pt idx="49">
                  <c:v>15028</c:v>
                </c:pt>
                <c:pt idx="50">
                  <c:v>15187</c:v>
                </c:pt>
                <c:pt idx="51">
                  <c:v>14271</c:v>
                </c:pt>
                <c:pt idx="52">
                  <c:v>15923</c:v>
                </c:pt>
                <c:pt idx="53">
                  <c:v>16632</c:v>
                </c:pt>
                <c:pt idx="54">
                  <c:v>18432</c:v>
                </c:pt>
                <c:pt idx="55">
                  <c:v>19743</c:v>
                </c:pt>
                <c:pt idx="56">
                  <c:v>15632</c:v>
                </c:pt>
                <c:pt idx="57">
                  <c:v>16404</c:v>
                </c:pt>
                <c:pt idx="58">
                  <c:v>15572</c:v>
                </c:pt>
                <c:pt idx="59">
                  <c:v>14310</c:v>
                </c:pt>
                <c:pt idx="60">
                  <c:v>16102</c:v>
                </c:pt>
                <c:pt idx="61">
                  <c:v>14942</c:v>
                </c:pt>
                <c:pt idx="62">
                  <c:v>14242</c:v>
                </c:pt>
                <c:pt idx="63">
                  <c:v>15039</c:v>
                </c:pt>
                <c:pt idx="64">
                  <c:v>15683</c:v>
                </c:pt>
                <c:pt idx="65">
                  <c:v>19459</c:v>
                </c:pt>
                <c:pt idx="66">
                  <c:v>18687</c:v>
                </c:pt>
                <c:pt idx="67">
                  <c:v>20459</c:v>
                </c:pt>
                <c:pt idx="68">
                  <c:v>17137</c:v>
                </c:pt>
                <c:pt idx="69">
                  <c:v>16594</c:v>
                </c:pt>
                <c:pt idx="70">
                  <c:v>16274</c:v>
                </c:pt>
                <c:pt idx="71">
                  <c:v>15103</c:v>
                </c:pt>
                <c:pt idx="72">
                  <c:v>15413</c:v>
                </c:pt>
                <c:pt idx="73">
                  <c:v>14860</c:v>
                </c:pt>
                <c:pt idx="74">
                  <c:v>14334</c:v>
                </c:pt>
                <c:pt idx="75">
                  <c:v>14398</c:v>
                </c:pt>
                <c:pt idx="76">
                  <c:v>16939</c:v>
                </c:pt>
                <c:pt idx="77">
                  <c:v>19489</c:v>
                </c:pt>
                <c:pt idx="78">
                  <c:v>20016</c:v>
                </c:pt>
                <c:pt idx="79">
                  <c:v>22099</c:v>
                </c:pt>
                <c:pt idx="80">
                  <c:v>16689</c:v>
                </c:pt>
                <c:pt idx="81">
                  <c:v>16804</c:v>
                </c:pt>
                <c:pt idx="82">
                  <c:v>16543</c:v>
                </c:pt>
                <c:pt idx="83">
                  <c:v>16045</c:v>
                </c:pt>
                <c:pt idx="84">
                  <c:v>16896</c:v>
                </c:pt>
                <c:pt idx="85">
                  <c:v>16546</c:v>
                </c:pt>
                <c:pt idx="86">
                  <c:v>15039</c:v>
                </c:pt>
                <c:pt idx="87">
                  <c:v>16872</c:v>
                </c:pt>
                <c:pt idx="88">
                  <c:v>17068</c:v>
                </c:pt>
                <c:pt idx="89">
                  <c:v>17368</c:v>
                </c:pt>
                <c:pt idx="90">
                  <c:v>20287</c:v>
                </c:pt>
                <c:pt idx="91">
                  <c:v>22133</c:v>
                </c:pt>
                <c:pt idx="92">
                  <c:v>18534</c:v>
                </c:pt>
                <c:pt idx="93">
                  <c:v>18978</c:v>
                </c:pt>
                <c:pt idx="94">
                  <c:v>15800</c:v>
                </c:pt>
                <c:pt idx="95">
                  <c:v>16379</c:v>
                </c:pt>
                <c:pt idx="96">
                  <c:v>15686</c:v>
                </c:pt>
                <c:pt idx="97">
                  <c:v>17447</c:v>
                </c:pt>
                <c:pt idx="98">
                  <c:v>15853</c:v>
                </c:pt>
                <c:pt idx="99">
                  <c:v>16267</c:v>
                </c:pt>
                <c:pt idx="100">
                  <c:v>18437</c:v>
                </c:pt>
                <c:pt idx="101">
                  <c:v>19665</c:v>
                </c:pt>
                <c:pt idx="102">
                  <c:v>22022</c:v>
                </c:pt>
                <c:pt idx="103">
                  <c:v>21775</c:v>
                </c:pt>
                <c:pt idx="104">
                  <c:v>18675</c:v>
                </c:pt>
                <c:pt idx="105">
                  <c:v>18869</c:v>
                </c:pt>
                <c:pt idx="106">
                  <c:v>17166</c:v>
                </c:pt>
                <c:pt idx="107">
                  <c:v>16354</c:v>
                </c:pt>
                <c:pt idx="108">
                  <c:v>16719</c:v>
                </c:pt>
                <c:pt idx="109">
                  <c:v>16232</c:v>
                </c:pt>
                <c:pt idx="110">
                  <c:v>15923</c:v>
                </c:pt>
                <c:pt idx="111">
                  <c:v>17682</c:v>
                </c:pt>
                <c:pt idx="112">
                  <c:v>18182</c:v>
                </c:pt>
                <c:pt idx="113">
                  <c:v>19671</c:v>
                </c:pt>
                <c:pt idx="114">
                  <c:v>21998</c:v>
                </c:pt>
                <c:pt idx="115">
                  <c:v>23076</c:v>
                </c:pt>
                <c:pt idx="116">
                  <c:v>18848</c:v>
                </c:pt>
              </c:numCache>
            </c:numRef>
          </c:val>
          <c:smooth val="0"/>
          <c:extLst>
            <c:ext xmlns:c16="http://schemas.microsoft.com/office/drawing/2014/chart" uri="{C3380CC4-5D6E-409C-BE32-E72D297353CC}">
              <c16:uniqueId val="{00000000-617F-4D3A-BE50-863220B4DD0A}"/>
            </c:ext>
          </c:extLst>
        </c:ser>
        <c:ser>
          <c:idx val="1"/>
          <c:order val="1"/>
          <c:tx>
            <c:v>Forecast</c:v>
          </c:tx>
          <c:spPr>
            <a:ln>
              <a:solidFill>
                <a:srgbClr val="993366"/>
              </a:solidFill>
              <a:prstDash val="solid"/>
            </a:ln>
          </c:spPr>
          <c:marker>
            <c:symbol val="none"/>
          </c:marker>
          <c:cat>
            <c:strRef>
              <c:f>'Holt''s EXpo DS(South)'!$A$147:$A$271</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'Holt''s EXpo DS(South)'!$I$147:$I$271</c:f>
              <c:numCache>
                <c:formatCode>0.00</c:formatCode>
                <c:ptCount val="125"/>
                <c:pt idx="1">
                  <c:v>12385.845838028183</c:v>
                </c:pt>
                <c:pt idx="2">
                  <c:v>12176.033470613986</c:v>
                </c:pt>
                <c:pt idx="3">
                  <c:v>12711.307820918608</c:v>
                </c:pt>
                <c:pt idx="4">
                  <c:v>14059.517773981079</c:v>
                </c:pt>
                <c:pt idx="5">
                  <c:v>15470.047118946877</c:v>
                </c:pt>
                <c:pt idx="6">
                  <c:v>16559.317097060084</c:v>
                </c:pt>
                <c:pt idx="7">
                  <c:v>17550.373809698347</c:v>
                </c:pt>
                <c:pt idx="8">
                  <c:v>14487.416896890034</c:v>
                </c:pt>
                <c:pt idx="9">
                  <c:v>14730.607499464017</c:v>
                </c:pt>
                <c:pt idx="10">
                  <c:v>13784.154656724057</c:v>
                </c:pt>
                <c:pt idx="11">
                  <c:v>13286.810639427533</c:v>
                </c:pt>
                <c:pt idx="12">
                  <c:v>13309.805875154088</c:v>
                </c:pt>
                <c:pt idx="13">
                  <c:v>13267.14939653548</c:v>
                </c:pt>
                <c:pt idx="14">
                  <c:v>12962.628302035702</c:v>
                </c:pt>
                <c:pt idx="15">
                  <c:v>13459.455380151185</c:v>
                </c:pt>
                <c:pt idx="16">
                  <c:v>14880.373687645362</c:v>
                </c:pt>
                <c:pt idx="17">
                  <c:v>16362.290077439871</c:v>
                </c:pt>
                <c:pt idx="18">
                  <c:v>17473.914050627634</c:v>
                </c:pt>
                <c:pt idx="19">
                  <c:v>18464.147937556521</c:v>
                </c:pt>
                <c:pt idx="20">
                  <c:v>15068.990573244053</c:v>
                </c:pt>
                <c:pt idx="21">
                  <c:v>15413.780776600568</c:v>
                </c:pt>
                <c:pt idx="22">
                  <c:v>14316.710058782885</c:v>
                </c:pt>
                <c:pt idx="23">
                  <c:v>13785.993888006815</c:v>
                </c:pt>
                <c:pt idx="24">
                  <c:v>13829.711890467312</c:v>
                </c:pt>
                <c:pt idx="25">
                  <c:v>13785.203816388186</c:v>
                </c:pt>
                <c:pt idx="26">
                  <c:v>13388.260115406772</c:v>
                </c:pt>
                <c:pt idx="27">
                  <c:v>13845.255928218538</c:v>
                </c:pt>
                <c:pt idx="28">
                  <c:v>15208.298958198393</c:v>
                </c:pt>
                <c:pt idx="29">
                  <c:v>16753.437139220699</c:v>
                </c:pt>
                <c:pt idx="30">
                  <c:v>17893.985527774679</c:v>
                </c:pt>
                <c:pt idx="31">
                  <c:v>18827.890737768532</c:v>
                </c:pt>
                <c:pt idx="32">
                  <c:v>15538.462762597426</c:v>
                </c:pt>
                <c:pt idx="33">
                  <c:v>15768.995917056891</c:v>
                </c:pt>
                <c:pt idx="34">
                  <c:v>14591.955727774062</c:v>
                </c:pt>
                <c:pt idx="35">
                  <c:v>13971.933073142129</c:v>
                </c:pt>
                <c:pt idx="36">
                  <c:v>14068.175722808593</c:v>
                </c:pt>
                <c:pt idx="37">
                  <c:v>14129.651201016231</c:v>
                </c:pt>
                <c:pt idx="38">
                  <c:v>13812.533888022988</c:v>
                </c:pt>
                <c:pt idx="39">
                  <c:v>14382.23156537244</c:v>
                </c:pt>
                <c:pt idx="40">
                  <c:v>15837.392369453135</c:v>
                </c:pt>
                <c:pt idx="41">
                  <c:v>17312.695361116981</c:v>
                </c:pt>
                <c:pt idx="42">
                  <c:v>18444.221716321474</c:v>
                </c:pt>
                <c:pt idx="43">
                  <c:v>19470.137537955467</c:v>
                </c:pt>
                <c:pt idx="44">
                  <c:v>15950.728411329337</c:v>
                </c:pt>
                <c:pt idx="45">
                  <c:v>16311.217068542597</c:v>
                </c:pt>
                <c:pt idx="46">
                  <c:v>14999.039258396111</c:v>
                </c:pt>
                <c:pt idx="47">
                  <c:v>14265.072449181491</c:v>
                </c:pt>
                <c:pt idx="48">
                  <c:v>14342.895775560781</c:v>
                </c:pt>
                <c:pt idx="49">
                  <c:v>14456.120915599504</c:v>
                </c:pt>
                <c:pt idx="50">
                  <c:v>14176.152490264181</c:v>
                </c:pt>
                <c:pt idx="51">
                  <c:v>14772.750798164252</c:v>
                </c:pt>
                <c:pt idx="52">
                  <c:v>16213.329465849451</c:v>
                </c:pt>
                <c:pt idx="53">
                  <c:v>17751.506604137867</c:v>
                </c:pt>
                <c:pt idx="54">
                  <c:v>18845.341685542422</c:v>
                </c:pt>
                <c:pt idx="55">
                  <c:v>19854.020860464021</c:v>
                </c:pt>
                <c:pt idx="56">
                  <c:v>16311.624996298955</c:v>
                </c:pt>
                <c:pt idx="57">
                  <c:v>16575.796570767037</c:v>
                </c:pt>
                <c:pt idx="58">
                  <c:v>15349.948006223718</c:v>
                </c:pt>
                <c:pt idx="59">
                  <c:v>14730.256685244894</c:v>
                </c:pt>
                <c:pt idx="60">
                  <c:v>14764.554729694953</c:v>
                </c:pt>
                <c:pt idx="61">
                  <c:v>14923.783718762104</c:v>
                </c:pt>
                <c:pt idx="62">
                  <c:v>14593.776872192644</c:v>
                </c:pt>
                <c:pt idx="63">
                  <c:v>15104.255877934471</c:v>
                </c:pt>
                <c:pt idx="64">
                  <c:v>16611.15798435636</c:v>
                </c:pt>
                <c:pt idx="65">
                  <c:v>18136.801759659018</c:v>
                </c:pt>
                <c:pt idx="66">
                  <c:v>19440.014358015098</c:v>
                </c:pt>
                <c:pt idx="67">
                  <c:v>20454.35492344611</c:v>
                </c:pt>
                <c:pt idx="68">
                  <c:v>16810.462606454752</c:v>
                </c:pt>
                <c:pt idx="69">
                  <c:v>17155.67227354215</c:v>
                </c:pt>
                <c:pt idx="70">
                  <c:v>15860.231628376467</c:v>
                </c:pt>
                <c:pt idx="71">
                  <c:v>15231.174742670164</c:v>
                </c:pt>
                <c:pt idx="72">
                  <c:v>15287.14457897546</c:v>
                </c:pt>
                <c:pt idx="73">
                  <c:v>15360.818461946479</c:v>
                </c:pt>
                <c:pt idx="74">
                  <c:v>14983.936953807672</c:v>
                </c:pt>
                <c:pt idx="75">
                  <c:v>15485.734669831752</c:v>
                </c:pt>
                <c:pt idx="76">
                  <c:v>16949.835314333071</c:v>
                </c:pt>
                <c:pt idx="77">
                  <c:v>18578.49164214349</c:v>
                </c:pt>
                <c:pt idx="78">
                  <c:v>19878.585063742332</c:v>
                </c:pt>
                <c:pt idx="79">
                  <c:v>20982.590598314633</c:v>
                </c:pt>
                <c:pt idx="80">
                  <c:v>17308.339372454764</c:v>
                </c:pt>
                <c:pt idx="81">
                  <c:v>17593.289235149656</c:v>
                </c:pt>
                <c:pt idx="82">
                  <c:v>16249.712954620214</c:v>
                </c:pt>
                <c:pt idx="83">
                  <c:v>15595.344202470142</c:v>
                </c:pt>
                <c:pt idx="84">
                  <c:v>15693.137182124705</c:v>
                </c:pt>
                <c:pt idx="85">
                  <c:v>15844.289180791659</c:v>
                </c:pt>
                <c:pt idx="86">
                  <c:v>15538.92553465116</c:v>
                </c:pt>
                <c:pt idx="87">
                  <c:v>16070.645540755972</c:v>
                </c:pt>
                <c:pt idx="88">
                  <c:v>17739.184589152712</c:v>
                </c:pt>
                <c:pt idx="89">
                  <c:v>19390.086003389268</c:v>
                </c:pt>
                <c:pt idx="90">
                  <c:v>20519.656685476606</c:v>
                </c:pt>
                <c:pt idx="91">
                  <c:v>21629.473396504211</c:v>
                </c:pt>
                <c:pt idx="92">
                  <c:v>17802.810632312667</c:v>
                </c:pt>
                <c:pt idx="93">
                  <c:v>18193.650763625825</c:v>
                </c:pt>
                <c:pt idx="94">
                  <c:v>16908.147521649389</c:v>
                </c:pt>
                <c:pt idx="95">
                  <c:v>16129.449583733796</c:v>
                </c:pt>
                <c:pt idx="96">
                  <c:v>16213.865538545875</c:v>
                </c:pt>
                <c:pt idx="97">
                  <c:v>16242.434078905097</c:v>
                </c:pt>
                <c:pt idx="98">
                  <c:v>15962.118751665847</c:v>
                </c:pt>
                <c:pt idx="99">
                  <c:v>16537.0069052375</c:v>
                </c:pt>
                <c:pt idx="100">
                  <c:v>18167.176119272463</c:v>
                </c:pt>
                <c:pt idx="101">
                  <c:v>19931.267617308011</c:v>
                </c:pt>
                <c:pt idx="102">
                  <c:v>21228.177863450699</c:v>
                </c:pt>
                <c:pt idx="103">
                  <c:v>22451.977254087</c:v>
                </c:pt>
                <c:pt idx="104">
                  <c:v>18408.107161054504</c:v>
                </c:pt>
                <c:pt idx="105">
                  <c:v>18775.311766461531</c:v>
                </c:pt>
                <c:pt idx="106">
                  <c:v>17400.286747838178</c:v>
                </c:pt>
                <c:pt idx="107">
                  <c:v>16659.457985382494</c:v>
                </c:pt>
                <c:pt idx="108">
                  <c:v>16705.177183950724</c:v>
                </c:pt>
                <c:pt idx="109">
                  <c:v>16773.184330084492</c:v>
                </c:pt>
                <c:pt idx="110">
                  <c:v>16358.489435847972</c:v>
                </c:pt>
                <c:pt idx="111">
                  <c:v>16922.830516782989</c:v>
                </c:pt>
                <c:pt idx="112">
                  <c:v>18670.906174375461</c:v>
                </c:pt>
                <c:pt idx="113">
                  <c:v>20422.933746250947</c:v>
                </c:pt>
                <c:pt idx="114">
                  <c:v>21714.297389673971</c:v>
                </c:pt>
                <c:pt idx="115">
                  <c:v>22925.307281116726</c:v>
                </c:pt>
                <c:pt idx="116">
                  <c:v>18844.397226697034</c:v>
                </c:pt>
                <c:pt idx="117">
                  <c:v>19199.73109348202</c:v>
                </c:pt>
                <c:pt idx="118">
                  <c:v>17786.384106096641</c:v>
                </c:pt>
                <c:pt idx="119">
                  <c:v>17044.543322674926</c:v>
                </c:pt>
                <c:pt idx="120">
                  <c:v>17112.694202124123</c:v>
                </c:pt>
                <c:pt idx="121">
                  <c:v>17180.383228681039</c:v>
                </c:pt>
                <c:pt idx="122">
                  <c:v>16793.173759744008</c:v>
                </c:pt>
                <c:pt idx="123">
                  <c:v>17404.363652912496</c:v>
                </c:pt>
                <c:pt idx="124">
                  <c:v>19139.93416616966</c:v>
                </c:pt>
              </c:numCache>
            </c:numRef>
          </c:val>
          <c:smooth val="0"/>
          <c:extLst>
            <c:ext xmlns:c16="http://schemas.microsoft.com/office/drawing/2014/chart" uri="{C3380CC4-5D6E-409C-BE32-E72D297353CC}">
              <c16:uniqueId val="{00000001-617F-4D3A-BE50-863220B4DD0A}"/>
            </c:ext>
          </c:extLst>
        </c:ser>
        <c:dLbls>
          <c:showLegendKey val="0"/>
          <c:showVal val="0"/>
          <c:showCatName val="0"/>
          <c:showSerName val="0"/>
          <c:showPercent val="0"/>
          <c:showBubbleSize val="0"/>
        </c:dLbls>
        <c:smooth val="0"/>
        <c:axId val="1259132623"/>
        <c:axId val="1259124463"/>
      </c:lineChart>
      <c:catAx>
        <c:axId val="1259132623"/>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259124463"/>
        <c:crosses val="autoZero"/>
        <c:auto val="1"/>
        <c:lblAlgn val="ctr"/>
        <c:lblOffset val="100"/>
        <c:noMultiLvlLbl val="0"/>
      </c:catAx>
      <c:valAx>
        <c:axId val="1259124463"/>
        <c:scaling>
          <c:orientation val="minMax"/>
        </c:scaling>
        <c:delete val="0"/>
        <c:axPos val="l"/>
        <c:numFmt formatCode="0.00" sourceLinked="0"/>
        <c:majorTickMark val="out"/>
        <c:minorTickMark val="none"/>
        <c:tickLblPos val="nextTo"/>
        <c:txPr>
          <a:bodyPr/>
          <a:lstStyle/>
          <a:p>
            <a:pPr>
              <a:defRPr sz="800" b="0"/>
            </a:pPr>
            <a:endParaRPr lang="en-US"/>
          </a:p>
        </c:txPr>
        <c:crossAx val="1259132623"/>
        <c:crosses val="autoZero"/>
        <c:crossBetween val="between"/>
      </c:valAx>
    </c:plotArea>
    <c:legend>
      <c:legendPos val="r"/>
      <c:layout/>
      <c:overlay val="0"/>
      <c:spPr>
        <a:ln>
          <a:solidFill>
            <a:srgbClr val="000000"/>
          </a:solidFill>
          <a:prstDash val="solid"/>
        </a:ln>
      </c:sp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Original Observations</a:t>
            </a:r>
          </a:p>
        </c:rich>
      </c:tx>
      <c:overlay val="0"/>
    </c:title>
    <c:autoTitleDeleted val="0"/>
    <c:plotArea>
      <c:layout/>
      <c:lineChart>
        <c:grouping val="standard"/>
        <c:varyColors val="0"/>
        <c:ser>
          <c:idx val="0"/>
          <c:order val="0"/>
          <c:tx>
            <c:v>South</c:v>
          </c:tx>
          <c:spPr>
            <a:ln>
              <a:solidFill>
                <a:srgbClr val="333399"/>
              </a:solidFill>
              <a:prstDash val="solid"/>
            </a:ln>
          </c:spPr>
          <c:marker>
            <c:symbol val="none"/>
          </c:marker>
          <c:cat>
            <c:strRef>
              <c:f>'Holt''s EXpo DS(South)'!$A$147:$A$263</c:f>
              <c:strCache>
                <c:ptCount val="117"/>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strCache>
            </c:strRef>
          </c:cat>
          <c:val>
            <c:numRef>
              <c:f>'Holt''s EXpo DS(South)'!$B$147:$B$263</c:f>
              <c:numCache>
                <c:formatCode>0.00</c:formatCode>
                <c:ptCount val="117"/>
                <c:pt idx="0">
                  <c:v>12326</c:v>
                </c:pt>
                <c:pt idx="1">
                  <c:v>13229</c:v>
                </c:pt>
                <c:pt idx="2">
                  <c:v>13278</c:v>
                </c:pt>
                <c:pt idx="3">
                  <c:v>13592</c:v>
                </c:pt>
                <c:pt idx="4">
                  <c:v>14711</c:v>
                </c:pt>
                <c:pt idx="5">
                  <c:v>16204</c:v>
                </c:pt>
                <c:pt idx="6">
                  <c:v>17507</c:v>
                </c:pt>
                <c:pt idx="7">
                  <c:v>18537</c:v>
                </c:pt>
                <c:pt idx="8">
                  <c:v>13933</c:v>
                </c:pt>
                <c:pt idx="9">
                  <c:v>16680</c:v>
                </c:pt>
                <c:pt idx="10">
                  <c:v>14793</c:v>
                </c:pt>
                <c:pt idx="11">
                  <c:v>12742</c:v>
                </c:pt>
                <c:pt idx="12">
                  <c:v>11850</c:v>
                </c:pt>
                <c:pt idx="13">
                  <c:v>13061</c:v>
                </c:pt>
                <c:pt idx="14">
                  <c:v>13179</c:v>
                </c:pt>
                <c:pt idx="15">
                  <c:v>14340</c:v>
                </c:pt>
                <c:pt idx="16">
                  <c:v>15465</c:v>
                </c:pt>
                <c:pt idx="17">
                  <c:v>16643</c:v>
                </c:pt>
                <c:pt idx="18">
                  <c:v>17772</c:v>
                </c:pt>
                <c:pt idx="19">
                  <c:v>16582</c:v>
                </c:pt>
                <c:pt idx="20">
                  <c:v>15786</c:v>
                </c:pt>
                <c:pt idx="21">
                  <c:v>15861</c:v>
                </c:pt>
                <c:pt idx="22">
                  <c:v>15179</c:v>
                </c:pt>
                <c:pt idx="23">
                  <c:v>13520</c:v>
                </c:pt>
                <c:pt idx="24">
                  <c:v>12332</c:v>
                </c:pt>
                <c:pt idx="25">
                  <c:v>12433</c:v>
                </c:pt>
                <c:pt idx="26">
                  <c:v>12867</c:v>
                </c:pt>
                <c:pt idx="27">
                  <c:v>13505</c:v>
                </c:pt>
                <c:pt idx="28">
                  <c:v>16212</c:v>
                </c:pt>
                <c:pt idx="29">
                  <c:v>17088</c:v>
                </c:pt>
                <c:pt idx="30">
                  <c:v>17147</c:v>
                </c:pt>
                <c:pt idx="31">
                  <c:v>19881</c:v>
                </c:pt>
                <c:pt idx="32">
                  <c:v>14570</c:v>
                </c:pt>
                <c:pt idx="33">
                  <c:v>15410</c:v>
                </c:pt>
                <c:pt idx="34">
                  <c:v>14320</c:v>
                </c:pt>
                <c:pt idx="35">
                  <c:v>14438</c:v>
                </c:pt>
                <c:pt idx="36">
                  <c:v>14051</c:v>
                </c:pt>
                <c:pt idx="37">
                  <c:v>14050</c:v>
                </c:pt>
                <c:pt idx="38">
                  <c:v>14626</c:v>
                </c:pt>
                <c:pt idx="39">
                  <c:v>14553</c:v>
                </c:pt>
                <c:pt idx="40">
                  <c:v>15190</c:v>
                </c:pt>
                <c:pt idx="41">
                  <c:v>17059</c:v>
                </c:pt>
                <c:pt idx="42">
                  <c:v>18541</c:v>
                </c:pt>
                <c:pt idx="43">
                  <c:v>18567</c:v>
                </c:pt>
                <c:pt idx="44">
                  <c:v>16684</c:v>
                </c:pt>
                <c:pt idx="45">
                  <c:v>14523</c:v>
                </c:pt>
                <c:pt idx="46">
                  <c:v>13316</c:v>
                </c:pt>
                <c:pt idx="47">
                  <c:v>14466</c:v>
                </c:pt>
                <c:pt idx="48">
                  <c:v>15045</c:v>
                </c:pt>
                <c:pt idx="49">
                  <c:v>15028</c:v>
                </c:pt>
                <c:pt idx="50">
                  <c:v>15187</c:v>
                </c:pt>
                <c:pt idx="51">
                  <c:v>14271</c:v>
                </c:pt>
                <c:pt idx="52">
                  <c:v>15923</c:v>
                </c:pt>
                <c:pt idx="53">
                  <c:v>16632</c:v>
                </c:pt>
                <c:pt idx="54">
                  <c:v>18432</c:v>
                </c:pt>
                <c:pt idx="55">
                  <c:v>19743</c:v>
                </c:pt>
                <c:pt idx="56">
                  <c:v>15632</c:v>
                </c:pt>
                <c:pt idx="57">
                  <c:v>16404</c:v>
                </c:pt>
                <c:pt idx="58">
                  <c:v>15572</c:v>
                </c:pt>
                <c:pt idx="59">
                  <c:v>14310</c:v>
                </c:pt>
                <c:pt idx="60">
                  <c:v>16102</c:v>
                </c:pt>
                <c:pt idx="61">
                  <c:v>14942</c:v>
                </c:pt>
                <c:pt idx="62">
                  <c:v>14242</c:v>
                </c:pt>
                <c:pt idx="63">
                  <c:v>15039</c:v>
                </c:pt>
                <c:pt idx="64">
                  <c:v>15683</c:v>
                </c:pt>
                <c:pt idx="65">
                  <c:v>19459</c:v>
                </c:pt>
                <c:pt idx="66">
                  <c:v>18687</c:v>
                </c:pt>
                <c:pt idx="67">
                  <c:v>20459</c:v>
                </c:pt>
                <c:pt idx="68">
                  <c:v>17137</c:v>
                </c:pt>
                <c:pt idx="69">
                  <c:v>16594</c:v>
                </c:pt>
                <c:pt idx="70">
                  <c:v>16274</c:v>
                </c:pt>
                <c:pt idx="71">
                  <c:v>15103</c:v>
                </c:pt>
                <c:pt idx="72">
                  <c:v>15413</c:v>
                </c:pt>
                <c:pt idx="73">
                  <c:v>14860</c:v>
                </c:pt>
                <c:pt idx="74">
                  <c:v>14334</c:v>
                </c:pt>
                <c:pt idx="75">
                  <c:v>14398</c:v>
                </c:pt>
                <c:pt idx="76">
                  <c:v>16939</c:v>
                </c:pt>
                <c:pt idx="77">
                  <c:v>19489</c:v>
                </c:pt>
                <c:pt idx="78">
                  <c:v>20016</c:v>
                </c:pt>
                <c:pt idx="79">
                  <c:v>22099</c:v>
                </c:pt>
                <c:pt idx="80">
                  <c:v>16689</c:v>
                </c:pt>
                <c:pt idx="81">
                  <c:v>16804</c:v>
                </c:pt>
                <c:pt idx="82">
                  <c:v>16543</c:v>
                </c:pt>
                <c:pt idx="83">
                  <c:v>16045</c:v>
                </c:pt>
                <c:pt idx="84">
                  <c:v>16896</c:v>
                </c:pt>
                <c:pt idx="85">
                  <c:v>16546</c:v>
                </c:pt>
                <c:pt idx="86">
                  <c:v>15039</c:v>
                </c:pt>
                <c:pt idx="87">
                  <c:v>16872</c:v>
                </c:pt>
                <c:pt idx="88">
                  <c:v>17068</c:v>
                </c:pt>
                <c:pt idx="89">
                  <c:v>17368</c:v>
                </c:pt>
                <c:pt idx="90">
                  <c:v>20287</c:v>
                </c:pt>
                <c:pt idx="91">
                  <c:v>22133</c:v>
                </c:pt>
                <c:pt idx="92">
                  <c:v>18534</c:v>
                </c:pt>
                <c:pt idx="93">
                  <c:v>18978</c:v>
                </c:pt>
                <c:pt idx="94">
                  <c:v>15800</c:v>
                </c:pt>
                <c:pt idx="95">
                  <c:v>16379</c:v>
                </c:pt>
                <c:pt idx="96">
                  <c:v>15686</c:v>
                </c:pt>
                <c:pt idx="97">
                  <c:v>17447</c:v>
                </c:pt>
                <c:pt idx="98">
                  <c:v>15853</c:v>
                </c:pt>
                <c:pt idx="99">
                  <c:v>16267</c:v>
                </c:pt>
                <c:pt idx="100">
                  <c:v>18437</c:v>
                </c:pt>
                <c:pt idx="101">
                  <c:v>19665</c:v>
                </c:pt>
                <c:pt idx="102">
                  <c:v>22022</c:v>
                </c:pt>
                <c:pt idx="103">
                  <c:v>21775</c:v>
                </c:pt>
                <c:pt idx="104">
                  <c:v>18675</c:v>
                </c:pt>
                <c:pt idx="105">
                  <c:v>18869</c:v>
                </c:pt>
                <c:pt idx="106">
                  <c:v>17166</c:v>
                </c:pt>
                <c:pt idx="107">
                  <c:v>16354</c:v>
                </c:pt>
                <c:pt idx="108">
                  <c:v>16719</c:v>
                </c:pt>
                <c:pt idx="109">
                  <c:v>16232</c:v>
                </c:pt>
                <c:pt idx="110">
                  <c:v>15923</c:v>
                </c:pt>
                <c:pt idx="111">
                  <c:v>17682</c:v>
                </c:pt>
                <c:pt idx="112">
                  <c:v>18182</c:v>
                </c:pt>
                <c:pt idx="113">
                  <c:v>19671</c:v>
                </c:pt>
                <c:pt idx="114">
                  <c:v>21998</c:v>
                </c:pt>
                <c:pt idx="115">
                  <c:v>23076</c:v>
                </c:pt>
                <c:pt idx="116">
                  <c:v>18848</c:v>
                </c:pt>
              </c:numCache>
            </c:numRef>
          </c:val>
          <c:smooth val="0"/>
          <c:extLst>
            <c:ext xmlns:c16="http://schemas.microsoft.com/office/drawing/2014/chart" uri="{C3380CC4-5D6E-409C-BE32-E72D297353CC}">
              <c16:uniqueId val="{00000000-CD0E-4FCF-ABF7-ACF82CEFF507}"/>
            </c:ext>
          </c:extLst>
        </c:ser>
        <c:dLbls>
          <c:showLegendKey val="0"/>
          <c:showVal val="0"/>
          <c:showCatName val="0"/>
          <c:showSerName val="0"/>
          <c:showPercent val="0"/>
          <c:showBubbleSize val="0"/>
        </c:dLbls>
        <c:smooth val="0"/>
        <c:axId val="1259122543"/>
        <c:axId val="1259127343"/>
      </c:lineChart>
      <c:catAx>
        <c:axId val="1259122543"/>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259127343"/>
        <c:crosses val="autoZero"/>
        <c:auto val="1"/>
        <c:lblAlgn val="ctr"/>
        <c:lblOffset val="100"/>
        <c:noMultiLvlLbl val="0"/>
      </c:catAx>
      <c:valAx>
        <c:axId val="1259127343"/>
        <c:scaling>
          <c:orientation val="minMax"/>
        </c:scaling>
        <c:delete val="0"/>
        <c:axPos val="l"/>
        <c:numFmt formatCode="0.00" sourceLinked="0"/>
        <c:majorTickMark val="out"/>
        <c:minorTickMark val="none"/>
        <c:tickLblPos val="nextTo"/>
        <c:txPr>
          <a:bodyPr/>
          <a:lstStyle/>
          <a:p>
            <a:pPr>
              <a:defRPr sz="800" b="0"/>
            </a:pPr>
            <a:endParaRPr lang="en-US"/>
          </a:p>
        </c:txPr>
        <c:crossAx val="1259122543"/>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Forecast Errors</a:t>
            </a:r>
          </a:p>
        </c:rich>
      </c:tx>
      <c:overlay val="0"/>
    </c:title>
    <c:autoTitleDeleted val="0"/>
    <c:plotArea>
      <c:layout/>
      <c:lineChart>
        <c:grouping val="standard"/>
        <c:varyColors val="0"/>
        <c:ser>
          <c:idx val="0"/>
          <c:order val="0"/>
          <c:tx>
            <c:v>Errors</c:v>
          </c:tx>
          <c:spPr>
            <a:ln>
              <a:solidFill>
                <a:srgbClr val="333399"/>
              </a:solidFill>
              <a:prstDash val="solid"/>
            </a:ln>
          </c:spPr>
          <c:marker>
            <c:symbol val="none"/>
          </c:marker>
          <c:cat>
            <c:strRef>
              <c:f>'Holt''s EXpo DS(South)'!$A$147:$A$263</c:f>
              <c:strCache>
                <c:ptCount val="117"/>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strCache>
            </c:strRef>
          </c:cat>
          <c:val>
            <c:numRef>
              <c:f>'Holt''s EXpo DS(South)'!$J$148:$J$271</c:f>
              <c:numCache>
                <c:formatCode>0.00</c:formatCode>
                <c:ptCount val="124"/>
                <c:pt idx="0">
                  <c:v>843.1541619718173</c:v>
                </c:pt>
                <c:pt idx="1">
                  <c:v>1101.9665293860144</c:v>
                </c:pt>
                <c:pt idx="2">
                  <c:v>880.69217908139217</c:v>
                </c:pt>
                <c:pt idx="3">
                  <c:v>651.48222601892121</c:v>
                </c:pt>
                <c:pt idx="4">
                  <c:v>733.95288105312284</c:v>
                </c:pt>
                <c:pt idx="5">
                  <c:v>947.68290293991595</c:v>
                </c:pt>
                <c:pt idx="6">
                  <c:v>986.62619030165297</c:v>
                </c:pt>
                <c:pt idx="7">
                  <c:v>-554.41689689003397</c:v>
                </c:pt>
                <c:pt idx="8">
                  <c:v>1949.3925005359833</c:v>
                </c:pt>
                <c:pt idx="9">
                  <c:v>1008.8453432759434</c:v>
                </c:pt>
                <c:pt idx="10">
                  <c:v>-544.81063942753281</c:v>
                </c:pt>
                <c:pt idx="11">
                  <c:v>-1459.8058751540884</c:v>
                </c:pt>
                <c:pt idx="12">
                  <c:v>-206.14939653548026</c:v>
                </c:pt>
                <c:pt idx="13">
                  <c:v>216.37169796429771</c:v>
                </c:pt>
                <c:pt idx="14">
                  <c:v>880.54461984881527</c:v>
                </c:pt>
                <c:pt idx="15">
                  <c:v>584.62631235463778</c:v>
                </c:pt>
                <c:pt idx="16">
                  <c:v>280.70992256012869</c:v>
                </c:pt>
                <c:pt idx="17">
                  <c:v>298.08594937236558</c:v>
                </c:pt>
                <c:pt idx="18">
                  <c:v>-1882.1479375565214</c:v>
                </c:pt>
                <c:pt idx="19">
                  <c:v>717.00942675594706</c:v>
                </c:pt>
                <c:pt idx="20">
                  <c:v>447.21922339943194</c:v>
                </c:pt>
                <c:pt idx="21">
                  <c:v>862.28994121711548</c:v>
                </c:pt>
                <c:pt idx="22">
                  <c:v>-265.99388800681481</c:v>
                </c:pt>
                <c:pt idx="23">
                  <c:v>-1497.7118904673116</c:v>
                </c:pt>
                <c:pt idx="24">
                  <c:v>-1352.2038163881862</c:v>
                </c:pt>
                <c:pt idx="25">
                  <c:v>-521.26011540677246</c:v>
                </c:pt>
                <c:pt idx="26">
                  <c:v>-340.25592821853752</c:v>
                </c:pt>
                <c:pt idx="27">
                  <c:v>1003.7010418016071</c:v>
                </c:pt>
                <c:pt idx="28">
                  <c:v>334.56286077930054</c:v>
                </c:pt>
                <c:pt idx="29">
                  <c:v>-746.98552777467921</c:v>
                </c:pt>
                <c:pt idx="30">
                  <c:v>1053.1092622314682</c:v>
                </c:pt>
                <c:pt idx="31">
                  <c:v>-968.46276259742626</c:v>
                </c:pt>
                <c:pt idx="32">
                  <c:v>-358.9959170568909</c:v>
                </c:pt>
                <c:pt idx="33">
                  <c:v>-271.95572777406232</c:v>
                </c:pt>
                <c:pt idx="34">
                  <c:v>466.06692685787129</c:v>
                </c:pt>
                <c:pt idx="35">
                  <c:v>-17.175722808593491</c:v>
                </c:pt>
                <c:pt idx="36">
                  <c:v>-79.651201016231425</c:v>
                </c:pt>
                <c:pt idx="37">
                  <c:v>813.46611197701168</c:v>
                </c:pt>
                <c:pt idx="38">
                  <c:v>170.76843462756005</c:v>
                </c:pt>
                <c:pt idx="39">
                  <c:v>-647.39236945313496</c:v>
                </c:pt>
                <c:pt idx="40">
                  <c:v>-253.69536111698108</c:v>
                </c:pt>
                <c:pt idx="41">
                  <c:v>96.77828367852635</c:v>
                </c:pt>
                <c:pt idx="42">
                  <c:v>-903.13753795546654</c:v>
                </c:pt>
                <c:pt idx="43">
                  <c:v>733.27158867066282</c:v>
                </c:pt>
                <c:pt idx="44">
                  <c:v>-1788.2170685425972</c:v>
                </c:pt>
                <c:pt idx="45">
                  <c:v>-1683.0392583961111</c:v>
                </c:pt>
                <c:pt idx="46">
                  <c:v>200.92755081850919</c:v>
                </c:pt>
                <c:pt idx="47">
                  <c:v>702.10422443921925</c:v>
                </c:pt>
                <c:pt idx="48">
                  <c:v>571.87908440049614</c:v>
                </c:pt>
                <c:pt idx="49">
                  <c:v>1010.8475097358187</c:v>
                </c:pt>
                <c:pt idx="50">
                  <c:v>-501.75079816425205</c:v>
                </c:pt>
                <c:pt idx="51">
                  <c:v>-290.32946584945057</c:v>
                </c:pt>
                <c:pt idx="52">
                  <c:v>-1119.5066041378668</c:v>
                </c:pt>
                <c:pt idx="53">
                  <c:v>-413.34168554242206</c:v>
                </c:pt>
                <c:pt idx="54">
                  <c:v>-111.0208604640211</c:v>
                </c:pt>
                <c:pt idx="55">
                  <c:v>-679.62499629895501</c:v>
                </c:pt>
                <c:pt idx="56">
                  <c:v>-171.79657076703734</c:v>
                </c:pt>
                <c:pt idx="57">
                  <c:v>222.05199377628196</c:v>
                </c:pt>
                <c:pt idx="58">
                  <c:v>-420.25668524489447</c:v>
                </c:pt>
                <c:pt idx="59">
                  <c:v>1337.4452703050465</c:v>
                </c:pt>
                <c:pt idx="60">
                  <c:v>18.2162812378956</c:v>
                </c:pt>
                <c:pt idx="61">
                  <c:v>-351.77687219264408</c:v>
                </c:pt>
                <c:pt idx="62">
                  <c:v>-65.255877934470846</c:v>
                </c:pt>
                <c:pt idx="63">
                  <c:v>-928.15798435635952</c:v>
                </c:pt>
                <c:pt idx="64">
                  <c:v>1322.198240340982</c:v>
                </c:pt>
                <c:pt idx="65">
                  <c:v>-753.01435801509797</c:v>
                </c:pt>
                <c:pt idx="66">
                  <c:v>4.6450765538902488</c:v>
                </c:pt>
                <c:pt idx="67">
                  <c:v>326.53739354524805</c:v>
                </c:pt>
                <c:pt idx="68">
                  <c:v>-561.67227354214992</c:v>
                </c:pt>
                <c:pt idx="69">
                  <c:v>413.76837162353331</c:v>
                </c:pt>
                <c:pt idx="70">
                  <c:v>-128.17474267016405</c:v>
                </c:pt>
                <c:pt idx="71">
                  <c:v>125.85542102454019</c:v>
                </c:pt>
                <c:pt idx="72">
                  <c:v>-500.81846194647915</c:v>
                </c:pt>
                <c:pt idx="73">
                  <c:v>-649.93695380767167</c:v>
                </c:pt>
                <c:pt idx="74">
                  <c:v>-1087.7346698317524</c:v>
                </c:pt>
                <c:pt idx="75">
                  <c:v>-10.835314333071437</c:v>
                </c:pt>
                <c:pt idx="76">
                  <c:v>910.50835785650997</c:v>
                </c:pt>
                <c:pt idx="77">
                  <c:v>137.41493625766816</c:v>
                </c:pt>
                <c:pt idx="78">
                  <c:v>1116.4094016853669</c:v>
                </c:pt>
                <c:pt idx="79">
                  <c:v>-619.33937245476409</c:v>
                </c:pt>
                <c:pt idx="80">
                  <c:v>-789.28923514965572</c:v>
                </c:pt>
                <c:pt idx="81">
                  <c:v>293.28704537978592</c:v>
                </c:pt>
                <c:pt idx="82">
                  <c:v>449.65579752985832</c:v>
                </c:pt>
                <c:pt idx="83">
                  <c:v>1202.8628178752951</c:v>
                </c:pt>
                <c:pt idx="84">
                  <c:v>701.71081920834149</c:v>
                </c:pt>
                <c:pt idx="85">
                  <c:v>-499.92553465115998</c:v>
                </c:pt>
                <c:pt idx="86">
                  <c:v>801.35445924402848</c:v>
                </c:pt>
                <c:pt idx="87">
                  <c:v>-671.18458915271185</c:v>
                </c:pt>
                <c:pt idx="88">
                  <c:v>-2022.0860033892677</c:v>
                </c:pt>
                <c:pt idx="89">
                  <c:v>-232.65668547660607</c:v>
                </c:pt>
                <c:pt idx="90">
                  <c:v>503.52660349578946</c:v>
                </c:pt>
                <c:pt idx="91">
                  <c:v>731.18936768733329</c:v>
                </c:pt>
                <c:pt idx="92">
                  <c:v>784.34923637417523</c:v>
                </c:pt>
                <c:pt idx="93">
                  <c:v>-1108.1475216493891</c:v>
                </c:pt>
                <c:pt idx="94">
                  <c:v>249.55041626620368</c:v>
                </c:pt>
                <c:pt idx="95">
                  <c:v>-527.8655385458751</c:v>
                </c:pt>
                <c:pt idx="96">
                  <c:v>1204.5659210949034</c:v>
                </c:pt>
                <c:pt idx="97">
                  <c:v>-109.1187516658465</c:v>
                </c:pt>
                <c:pt idx="98">
                  <c:v>-270.00690523750018</c:v>
                </c:pt>
                <c:pt idx="99">
                  <c:v>269.82388072753747</c:v>
                </c:pt>
                <c:pt idx="100">
                  <c:v>-266.26761730801081</c:v>
                </c:pt>
                <c:pt idx="101">
                  <c:v>793.82213654930092</c:v>
                </c:pt>
                <c:pt idx="102">
                  <c:v>-676.97725408699989</c:v>
                </c:pt>
                <c:pt idx="103">
                  <c:v>266.8928389454959</c:v>
                </c:pt>
                <c:pt idx="104">
                  <c:v>93.688233538468921</c:v>
                </c:pt>
                <c:pt idx="105">
                  <c:v>-234.28674783817769</c:v>
                </c:pt>
                <c:pt idx="106">
                  <c:v>-305.45798538249437</c:v>
                </c:pt>
                <c:pt idx="107">
                  <c:v>13.822816049276298</c:v>
                </c:pt>
                <c:pt idx="108">
                  <c:v>-541.1843300844921</c:v>
                </c:pt>
                <c:pt idx="109">
                  <c:v>-435.48943584797235</c:v>
                </c:pt>
                <c:pt idx="110">
                  <c:v>759.16948321701057</c:v>
                </c:pt>
                <c:pt idx="111">
                  <c:v>-488.90617437546098</c:v>
                </c:pt>
                <c:pt idx="112">
                  <c:v>-751.93374625094657</c:v>
                </c:pt>
                <c:pt idx="113">
                  <c:v>283.70261032602866</c:v>
                </c:pt>
                <c:pt idx="114">
                  <c:v>150.69271888327421</c:v>
                </c:pt>
                <c:pt idx="115">
                  <c:v>3.602773302965943</c:v>
                </c:pt>
              </c:numCache>
            </c:numRef>
          </c:val>
          <c:smooth val="0"/>
          <c:extLst>
            <c:ext xmlns:c16="http://schemas.microsoft.com/office/drawing/2014/chart" uri="{C3380CC4-5D6E-409C-BE32-E72D297353CC}">
              <c16:uniqueId val="{00000000-AFE5-4DF8-8B93-FD61BC3777A2}"/>
            </c:ext>
          </c:extLst>
        </c:ser>
        <c:dLbls>
          <c:showLegendKey val="0"/>
          <c:showVal val="0"/>
          <c:showCatName val="0"/>
          <c:showSerName val="0"/>
          <c:showPercent val="0"/>
          <c:showBubbleSize val="0"/>
        </c:dLbls>
        <c:smooth val="0"/>
        <c:axId val="1413326543"/>
        <c:axId val="1413328943"/>
      </c:lineChart>
      <c:catAx>
        <c:axId val="1413326543"/>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413328943"/>
        <c:crosses val="autoZero"/>
        <c:auto val="1"/>
        <c:lblAlgn val="ctr"/>
        <c:lblOffset val="100"/>
        <c:noMultiLvlLbl val="0"/>
      </c:catAx>
      <c:valAx>
        <c:axId val="1413328943"/>
        <c:scaling>
          <c:orientation val="minMax"/>
        </c:scaling>
        <c:delete val="0"/>
        <c:axPos val="l"/>
        <c:numFmt formatCode="0.00" sourceLinked="0"/>
        <c:majorTickMark val="out"/>
        <c:minorTickMark val="none"/>
        <c:tickLblPos val="nextTo"/>
        <c:txPr>
          <a:bodyPr/>
          <a:lstStyle/>
          <a:p>
            <a:pPr>
              <a:defRPr sz="800" b="0"/>
            </a:pPr>
            <a:endParaRPr lang="en-US"/>
          </a:p>
        </c:txPr>
        <c:crossAx val="1413326543"/>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Forecast and Original Observations</a:t>
            </a:r>
          </a:p>
        </c:rich>
      </c:tx>
      <c:layout/>
      <c:overlay val="0"/>
    </c:title>
    <c:autoTitleDeleted val="0"/>
    <c:plotArea>
      <c:layout/>
      <c:lineChart>
        <c:grouping val="standard"/>
        <c:varyColors val="0"/>
        <c:ser>
          <c:idx val="0"/>
          <c:order val="0"/>
          <c:tx>
            <c:v>East</c:v>
          </c:tx>
          <c:spPr>
            <a:ln>
              <a:solidFill>
                <a:srgbClr val="333399"/>
              </a:solidFill>
              <a:prstDash val="solid"/>
            </a:ln>
          </c:spPr>
          <c:marker>
            <c:symbol val="none"/>
          </c:marker>
          <c:cat>
            <c:strRef>
              <c:f>'Moving Averages Ds(East) a(3)'!$A$146:$A$270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'Moving Averages Ds(East) a(3)'!$B$146:$B$270</c:f>
              <c:numCache>
                <c:formatCode>0.00</c:formatCode>
                <c:ptCount val="125"/>
                <c:pt idx="0">
                  <c:v>7419</c:v>
                </c:pt>
                <c:pt idx="1">
                  <c:v>8824</c:v>
                </c:pt>
                <c:pt idx="2">
                  <c:v>11583</c:v>
                </c:pt>
                <c:pt idx="3">
                  <c:v>7958</c:v>
                </c:pt>
                <c:pt idx="4">
                  <c:v>11933</c:v>
                </c:pt>
                <c:pt idx="5">
                  <c:v>11227</c:v>
                </c:pt>
                <c:pt idx="6">
                  <c:v>11258</c:v>
                </c:pt>
                <c:pt idx="7">
                  <c:v>15904</c:v>
                </c:pt>
                <c:pt idx="8">
                  <c:v>14470</c:v>
                </c:pt>
                <c:pt idx="9">
                  <c:v>10916</c:v>
                </c:pt>
                <c:pt idx="10">
                  <c:v>10391</c:v>
                </c:pt>
                <c:pt idx="11">
                  <c:v>8481</c:v>
                </c:pt>
                <c:pt idx="12">
                  <c:v>10120</c:v>
                </c:pt>
                <c:pt idx="13">
                  <c:v>8910</c:v>
                </c:pt>
                <c:pt idx="14">
                  <c:v>9375</c:v>
                </c:pt>
                <c:pt idx="15">
                  <c:v>12366</c:v>
                </c:pt>
                <c:pt idx="16">
                  <c:v>10808</c:v>
                </c:pt>
                <c:pt idx="17">
                  <c:v>11982</c:v>
                </c:pt>
                <c:pt idx="18">
                  <c:v>13330</c:v>
                </c:pt>
                <c:pt idx="19">
                  <c:v>12233</c:v>
                </c:pt>
                <c:pt idx="20">
                  <c:v>12302</c:v>
                </c:pt>
                <c:pt idx="21">
                  <c:v>7227</c:v>
                </c:pt>
                <c:pt idx="22">
                  <c:v>12660</c:v>
                </c:pt>
                <c:pt idx="23">
                  <c:v>9800</c:v>
                </c:pt>
                <c:pt idx="24">
                  <c:v>12004</c:v>
                </c:pt>
                <c:pt idx="25">
                  <c:v>10006</c:v>
                </c:pt>
                <c:pt idx="26">
                  <c:v>8394</c:v>
                </c:pt>
                <c:pt idx="27">
                  <c:v>9953</c:v>
                </c:pt>
                <c:pt idx="28">
                  <c:v>10461</c:v>
                </c:pt>
                <c:pt idx="29">
                  <c:v>10893</c:v>
                </c:pt>
                <c:pt idx="30">
                  <c:v>9212</c:v>
                </c:pt>
                <c:pt idx="31">
                  <c:v>13209</c:v>
                </c:pt>
                <c:pt idx="32">
                  <c:v>10294</c:v>
                </c:pt>
                <c:pt idx="33">
                  <c:v>11540</c:v>
                </c:pt>
                <c:pt idx="34">
                  <c:v>10219</c:v>
                </c:pt>
                <c:pt idx="35">
                  <c:v>10230</c:v>
                </c:pt>
                <c:pt idx="36">
                  <c:v>9985</c:v>
                </c:pt>
                <c:pt idx="37">
                  <c:v>6832</c:v>
                </c:pt>
                <c:pt idx="38">
                  <c:v>9050</c:v>
                </c:pt>
                <c:pt idx="39">
                  <c:v>10082</c:v>
                </c:pt>
                <c:pt idx="40">
                  <c:v>10659</c:v>
                </c:pt>
                <c:pt idx="41">
                  <c:v>11458</c:v>
                </c:pt>
                <c:pt idx="42">
                  <c:v>10867</c:v>
                </c:pt>
                <c:pt idx="43">
                  <c:v>12409</c:v>
                </c:pt>
                <c:pt idx="44">
                  <c:v>11869</c:v>
                </c:pt>
                <c:pt idx="45">
                  <c:v>8729</c:v>
                </c:pt>
                <c:pt idx="46">
                  <c:v>10665</c:v>
                </c:pt>
                <c:pt idx="47">
                  <c:v>8003</c:v>
                </c:pt>
                <c:pt idx="48">
                  <c:v>9224</c:v>
                </c:pt>
                <c:pt idx="49">
                  <c:v>9140</c:v>
                </c:pt>
                <c:pt idx="50">
                  <c:v>11616</c:v>
                </c:pt>
                <c:pt idx="51">
                  <c:v>9428</c:v>
                </c:pt>
                <c:pt idx="52">
                  <c:v>14249</c:v>
                </c:pt>
                <c:pt idx="53">
                  <c:v>9511</c:v>
                </c:pt>
                <c:pt idx="54">
                  <c:v>12094</c:v>
                </c:pt>
                <c:pt idx="55">
                  <c:v>13273</c:v>
                </c:pt>
                <c:pt idx="56">
                  <c:v>11184</c:v>
                </c:pt>
                <c:pt idx="57">
                  <c:v>10793</c:v>
                </c:pt>
                <c:pt idx="58">
                  <c:v>8693</c:v>
                </c:pt>
                <c:pt idx="59">
                  <c:v>8479</c:v>
                </c:pt>
                <c:pt idx="60">
                  <c:v>8120</c:v>
                </c:pt>
                <c:pt idx="61">
                  <c:v>9239</c:v>
                </c:pt>
                <c:pt idx="62">
                  <c:v>9266</c:v>
                </c:pt>
                <c:pt idx="63">
                  <c:v>8652</c:v>
                </c:pt>
                <c:pt idx="64">
                  <c:v>12405</c:v>
                </c:pt>
                <c:pt idx="65">
                  <c:v>8964</c:v>
                </c:pt>
                <c:pt idx="66">
                  <c:v>11521</c:v>
                </c:pt>
                <c:pt idx="67">
                  <c:v>12368</c:v>
                </c:pt>
                <c:pt idx="68">
                  <c:v>12729</c:v>
                </c:pt>
                <c:pt idx="69">
                  <c:v>10956</c:v>
                </c:pt>
                <c:pt idx="70">
                  <c:v>12069</c:v>
                </c:pt>
                <c:pt idx="71">
                  <c:v>9902</c:v>
                </c:pt>
                <c:pt idx="72">
                  <c:v>10091</c:v>
                </c:pt>
                <c:pt idx="73">
                  <c:v>9769</c:v>
                </c:pt>
                <c:pt idx="74">
                  <c:v>8578</c:v>
                </c:pt>
                <c:pt idx="75">
                  <c:v>9763</c:v>
                </c:pt>
                <c:pt idx="76">
                  <c:v>8348</c:v>
                </c:pt>
                <c:pt idx="77">
                  <c:v>9237</c:v>
                </c:pt>
                <c:pt idx="78">
                  <c:v>11204</c:v>
                </c:pt>
                <c:pt idx="79">
                  <c:v>10737</c:v>
                </c:pt>
                <c:pt idx="80">
                  <c:v>12276</c:v>
                </c:pt>
                <c:pt idx="81">
                  <c:v>9230</c:v>
                </c:pt>
                <c:pt idx="82">
                  <c:v>9405</c:v>
                </c:pt>
                <c:pt idx="83">
                  <c:v>10378</c:v>
                </c:pt>
                <c:pt idx="84">
                  <c:v>8827</c:v>
                </c:pt>
                <c:pt idx="85">
                  <c:v>8559</c:v>
                </c:pt>
                <c:pt idx="86">
                  <c:v>9143</c:v>
                </c:pt>
                <c:pt idx="87">
                  <c:v>9989</c:v>
                </c:pt>
                <c:pt idx="88">
                  <c:v>9299</c:v>
                </c:pt>
                <c:pt idx="89">
                  <c:v>10524</c:v>
                </c:pt>
                <c:pt idx="90">
                  <c:v>12887</c:v>
                </c:pt>
                <c:pt idx="91">
                  <c:v>11145</c:v>
                </c:pt>
                <c:pt idx="92">
                  <c:v>11882</c:v>
                </c:pt>
                <c:pt idx="93">
                  <c:v>9448</c:v>
                </c:pt>
                <c:pt idx="94">
                  <c:v>7857</c:v>
                </c:pt>
                <c:pt idx="95">
                  <c:v>8482</c:v>
                </c:pt>
                <c:pt idx="96">
                  <c:v>9064</c:v>
                </c:pt>
                <c:pt idx="97">
                  <c:v>7591</c:v>
                </c:pt>
                <c:pt idx="98">
                  <c:v>8801</c:v>
                </c:pt>
                <c:pt idx="99">
                  <c:v>10634</c:v>
                </c:pt>
                <c:pt idx="100">
                  <c:v>9951</c:v>
                </c:pt>
                <c:pt idx="101">
                  <c:v>11214</c:v>
                </c:pt>
                <c:pt idx="102">
                  <c:v>10990</c:v>
                </c:pt>
                <c:pt idx="103">
                  <c:v>11975</c:v>
                </c:pt>
                <c:pt idx="104">
                  <c:v>12137</c:v>
                </c:pt>
                <c:pt idx="105">
                  <c:v>10892</c:v>
                </c:pt>
                <c:pt idx="106">
                  <c:v>11249</c:v>
                </c:pt>
                <c:pt idx="107">
                  <c:v>7531</c:v>
                </c:pt>
                <c:pt idx="108">
                  <c:v>7992</c:v>
                </c:pt>
                <c:pt idx="109">
                  <c:v>9230</c:v>
                </c:pt>
                <c:pt idx="110">
                  <c:v>10123</c:v>
                </c:pt>
                <c:pt idx="111">
                  <c:v>11419</c:v>
                </c:pt>
                <c:pt idx="112">
                  <c:v>12102</c:v>
                </c:pt>
                <c:pt idx="113">
                  <c:v>10903</c:v>
                </c:pt>
                <c:pt idx="114">
                  <c:v>12513</c:v>
                </c:pt>
                <c:pt idx="115">
                  <c:v>10696</c:v>
                </c:pt>
                <c:pt idx="116">
                  <c:v>13758</c:v>
                </c:pt>
              </c:numCache>
            </c:numRef>
          </c:val>
          <c:smooth val="0"/>
          <c:extLst>
            <c:ext xmlns:c16="http://schemas.microsoft.com/office/drawing/2014/chart" uri="{C3380CC4-5D6E-409C-BE32-E72D297353CC}">
              <c16:uniqueId val="{00000000-105C-448C-BE30-64CDB7A9C81D}"/>
            </c:ext>
          </c:extLst>
        </c:ser>
        <c:ser>
          <c:idx val="1"/>
          <c:order val="1"/>
          <c:tx>
            <c:v>Forecast</c:v>
          </c:tx>
          <c:spPr>
            <a:ln>
              <a:solidFill>
                <a:srgbClr val="993366"/>
              </a:solidFill>
              <a:prstDash val="solid"/>
            </a:ln>
          </c:spPr>
          <c:marker>
            <c:symbol val="none"/>
          </c:marker>
          <c:cat>
            <c:strRef>
              <c:f>'Moving Averages Ds(East) a(3)'!$A$146:$A$270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'Moving Averages Ds(East) a(3)'!$G$146:$G$270</c:f>
              <c:numCache>
                <c:formatCode>0.00</c:formatCode>
                <c:ptCount val="125"/>
                <c:pt idx="4">
                  <c:v>10280.03453032823</c:v>
                </c:pt>
                <c:pt idx="5">
                  <c:v>10859.724376850489</c:v>
                </c:pt>
                <c:pt idx="6">
                  <c:v>12033.6627283708</c:v>
                </c:pt>
                <c:pt idx="7">
                  <c:v>12345.573878347617</c:v>
                </c:pt>
                <c:pt idx="8">
                  <c:v>13387.472654163874</c:v>
                </c:pt>
                <c:pt idx="9">
                  <c:v>11240.888562823167</c:v>
                </c:pt>
                <c:pt idx="10">
                  <c:v>11678.149778284445</c:v>
                </c:pt>
                <c:pt idx="11">
                  <c:v>10301.02485437629</c:v>
                </c:pt>
                <c:pt idx="12">
                  <c:v>10014.87904628389</c:v>
                </c:pt>
                <c:pt idx="13">
                  <c:v>9042.4494358840075</c:v>
                </c:pt>
                <c:pt idx="14">
                  <c:v>9451.5548677807874</c:v>
                </c:pt>
                <c:pt idx="15">
                  <c:v>10215.974038346558</c:v>
                </c:pt>
                <c:pt idx="16">
                  <c:v>11613.806226528459</c:v>
                </c:pt>
                <c:pt idx="17">
                  <c:v>11133.65262108125</c:v>
                </c:pt>
                <c:pt idx="18">
                  <c:v>12510.539354301138</c:v>
                </c:pt>
                <c:pt idx="19">
                  <c:v>14171.288534113228</c:v>
                </c:pt>
                <c:pt idx="20">
                  <c:v>12949.480531790341</c:v>
                </c:pt>
                <c:pt idx="21">
                  <c:v>10694.03361566996</c:v>
                </c:pt>
                <c:pt idx="22">
                  <c:v>9976.5548143303167</c:v>
                </c:pt>
                <c:pt idx="23">
                  <c:v>8899.740409242193</c:v>
                </c:pt>
                <c:pt idx="24">
                  <c:v>9583.9498582123761</c:v>
                </c:pt>
                <c:pt idx="25">
                  <c:v>9472.9938948486433</c:v>
                </c:pt>
                <c:pt idx="26">
                  <c:v>11069.764703689028</c:v>
                </c:pt>
                <c:pt idx="27">
                  <c:v>11143.858734910213</c:v>
                </c:pt>
                <c:pt idx="28">
                  <c:v>11564.440250831114</c:v>
                </c:pt>
                <c:pt idx="29">
                  <c:v>10476.682885381255</c:v>
                </c:pt>
                <c:pt idx="30">
                  <c:v>11138.455916643894</c:v>
                </c:pt>
                <c:pt idx="31">
                  <c:v>11875.849428249636</c:v>
                </c:pt>
                <c:pt idx="32">
                  <c:v>11688.212951421077</c:v>
                </c:pt>
                <c:pt idx="33">
                  <c:v>9322.908755786857</c:v>
                </c:pt>
                <c:pt idx="34">
                  <c:v>9940.537764603052</c:v>
                </c:pt>
                <c:pt idx="35">
                  <c:v>9142.2759726290315</c:v>
                </c:pt>
                <c:pt idx="36">
                  <c:v>9766.7589359552312</c:v>
                </c:pt>
                <c:pt idx="37">
                  <c:v>9537.8265815415507</c:v>
                </c:pt>
                <c:pt idx="38">
                  <c:v>9279.184516387746</c:v>
                </c:pt>
                <c:pt idx="39">
                  <c:v>9983.6321258325333</c:v>
                </c:pt>
                <c:pt idx="40">
                  <c:v>10236.341388663684</c:v>
                </c:pt>
                <c:pt idx="41">
                  <c:v>9792.6469257006083</c:v>
                </c:pt>
                <c:pt idx="42">
                  <c:v>11582.654831604897</c:v>
                </c:pt>
                <c:pt idx="43">
                  <c:v>12593.639695594233</c:v>
                </c:pt>
                <c:pt idx="44">
                  <c:v>12149.74604572492</c:v>
                </c:pt>
                <c:pt idx="45">
                  <c:v>9981.127641605508</c:v>
                </c:pt>
                <c:pt idx="46">
                  <c:v>9756.349041192505</c:v>
                </c:pt>
                <c:pt idx="47">
                  <c:v>8753.4404253134726</c:v>
                </c:pt>
                <c:pt idx="48">
                  <c:v>8927.006799408211</c:v>
                </c:pt>
                <c:pt idx="49">
                  <c:v>8294.1708249044914</c:v>
                </c:pt>
                <c:pt idx="50">
                  <c:v>9228.9637790528395</c:v>
                </c:pt>
                <c:pt idx="51">
                  <c:v>10514.206361638224</c:v>
                </c:pt>
                <c:pt idx="52">
                  <c:v>11292.881219496254</c:v>
                </c:pt>
                <c:pt idx="53">
                  <c:v>11908.56425364642</c:v>
                </c:pt>
                <c:pt idx="54">
                  <c:v>12606.948969862957</c:v>
                </c:pt>
                <c:pt idx="55">
                  <c:v>13189.167944810415</c:v>
                </c:pt>
                <c:pt idx="56">
                  <c:v>13128.476739112968</c:v>
                </c:pt>
                <c:pt idx="57">
                  <c:v>9816.9384327234711</c:v>
                </c:pt>
                <c:pt idx="58">
                  <c:v>10595.876860513908</c:v>
                </c:pt>
                <c:pt idx="59">
                  <c:v>8816.1238600664456</c:v>
                </c:pt>
                <c:pt idx="60">
                  <c:v>8954.5745415786914</c:v>
                </c:pt>
                <c:pt idx="61">
                  <c:v>8187.3768236012947</c:v>
                </c:pt>
                <c:pt idx="62">
                  <c:v>8656.4133333295213</c:v>
                </c:pt>
                <c:pt idx="63">
                  <c:v>9743.7390433171331</c:v>
                </c:pt>
                <c:pt idx="64">
                  <c:v>10124.893759555132</c:v>
                </c:pt>
                <c:pt idx="65">
                  <c:v>10628.439002538347</c:v>
                </c:pt>
                <c:pt idx="66">
                  <c:v>11028.250792109691</c:v>
                </c:pt>
                <c:pt idx="67">
                  <c:v>12094.306232855839</c:v>
                </c:pt>
                <c:pt idx="68">
                  <c:v>12084.188497159079</c:v>
                </c:pt>
                <c:pt idx="69">
                  <c:v>9701.0487742002206</c:v>
                </c:pt>
                <c:pt idx="70">
                  <c:v>10652.097656581765</c:v>
                </c:pt>
                <c:pt idx="71">
                  <c:v>9717.7226812642275</c:v>
                </c:pt>
                <c:pt idx="72">
                  <c:v>10442.007397085965</c:v>
                </c:pt>
                <c:pt idx="73">
                  <c:v>9748.7743688618975</c:v>
                </c:pt>
                <c:pt idx="74">
                  <c:v>10424.281583873131</c:v>
                </c:pt>
                <c:pt idx="75">
                  <c:v>10640.1500160179</c:v>
                </c:pt>
                <c:pt idx="76">
                  <c:v>10947.784001383799</c:v>
                </c:pt>
                <c:pt idx="77">
                  <c:v>9893.4239146708951</c:v>
                </c:pt>
                <c:pt idx="78">
                  <c:v>10127.457124328366</c:v>
                </c:pt>
                <c:pt idx="79">
                  <c:v>11253.836858472305</c:v>
                </c:pt>
                <c:pt idx="80">
                  <c:v>10547.452219728515</c:v>
                </c:pt>
                <c:pt idx="81">
                  <c:v>9279.6358235253883</c:v>
                </c:pt>
                <c:pt idx="82">
                  <c:v>9704.6507567165972</c:v>
                </c:pt>
                <c:pt idx="83">
                  <c:v>8365.8300301587296</c:v>
                </c:pt>
                <c:pt idx="84">
                  <c:v>9457.839187408812</c:v>
                </c:pt>
                <c:pt idx="85">
                  <c:v>8621.7323177835478</c:v>
                </c:pt>
                <c:pt idx="86">
                  <c:v>9305.6177082618997</c:v>
                </c:pt>
                <c:pt idx="87">
                  <c:v>10238.164521032948</c:v>
                </c:pt>
                <c:pt idx="88">
                  <c:v>10438.008187772683</c:v>
                </c:pt>
                <c:pt idx="89">
                  <c:v>9980.1270408393684</c:v>
                </c:pt>
                <c:pt idx="90">
                  <c:v>10968.411244375295</c:v>
                </c:pt>
                <c:pt idx="91">
                  <c:v>12443.173620887383</c:v>
                </c:pt>
                <c:pt idx="92">
                  <c:v>11727.036985384208</c:v>
                </c:pt>
                <c:pt idx="93">
                  <c:v>9949.8626369802059</c:v>
                </c:pt>
                <c:pt idx="94">
                  <c:v>10138.13792964294</c:v>
                </c:pt>
                <c:pt idx="95">
                  <c:v>8075.9501595070506</c:v>
                </c:pt>
                <c:pt idx="96">
                  <c:v>8580.8866336117244</c:v>
                </c:pt>
                <c:pt idx="97">
                  <c:v>7932.7030012074692</c:v>
                </c:pt>
                <c:pt idx="98">
                  <c:v>8261.6432621638087</c:v>
                </c:pt>
                <c:pt idx="99">
                  <c:v>9396.2743341148798</c:v>
                </c:pt>
                <c:pt idx="100">
                  <c:v>10281.41378726093</c:v>
                </c:pt>
                <c:pt idx="101">
                  <c:v>9920.4102133455945</c:v>
                </c:pt>
                <c:pt idx="102">
                  <c:v>11407.639269170579</c:v>
                </c:pt>
                <c:pt idx="103">
                  <c:v>12519.350416535037</c:v>
                </c:pt>
                <c:pt idx="104">
                  <c:v>11808.587918950099</c:v>
                </c:pt>
                <c:pt idx="105">
                  <c:v>9918.9320888606744</c:v>
                </c:pt>
                <c:pt idx="106">
                  <c:v>10310.16203759354</c:v>
                </c:pt>
                <c:pt idx="107">
                  <c:v>9342.6549659920402</c:v>
                </c:pt>
                <c:pt idx="108">
                  <c:v>9502.3113987264096</c:v>
                </c:pt>
                <c:pt idx="109">
                  <c:v>8494.16107494676</c:v>
                </c:pt>
                <c:pt idx="110">
                  <c:v>8957.8669114455861</c:v>
                </c:pt>
                <c:pt idx="111">
                  <c:v>9672.1737894199887</c:v>
                </c:pt>
                <c:pt idx="112">
                  <c:v>11067.976263712068</c:v>
                </c:pt>
                <c:pt idx="113">
                  <c:v>11509.23956306551</c:v>
                </c:pt>
                <c:pt idx="114">
                  <c:v>12521.540686308588</c:v>
                </c:pt>
                <c:pt idx="115">
                  <c:v>13709.876337720098</c:v>
                </c:pt>
                <c:pt idx="116">
                  <c:v>12415.319851928383</c:v>
                </c:pt>
                <c:pt idx="117">
                  <c:v>10255.257091190475</c:v>
                </c:pt>
                <c:pt idx="118">
                  <c:v>10569.141242823061</c:v>
                </c:pt>
                <c:pt idx="119">
                  <c:v>9121.4818114334648</c:v>
                </c:pt>
                <c:pt idx="120">
                  <c:v>9928.0228508434211</c:v>
                </c:pt>
                <c:pt idx="121">
                  <c:v>9046.1895585220318</c:v>
                </c:pt>
                <c:pt idx="122">
                  <c:v>9647.1307089244874</c:v>
                </c:pt>
                <c:pt idx="123">
                  <c:v>10457.622085054309</c:v>
                </c:pt>
                <c:pt idx="124">
                  <c:v>11171.839230883284</c:v>
                </c:pt>
              </c:numCache>
            </c:numRef>
          </c:val>
          <c:smooth val="0"/>
          <c:extLst>
            <c:ext xmlns:c16="http://schemas.microsoft.com/office/drawing/2014/chart" uri="{C3380CC4-5D6E-409C-BE32-E72D297353CC}">
              <c16:uniqueId val="{00000001-105C-448C-BE30-64CDB7A9C81D}"/>
            </c:ext>
          </c:extLst>
        </c:ser>
        <c:dLbls>
          <c:showLegendKey val="0"/>
          <c:showVal val="0"/>
          <c:showCatName val="0"/>
          <c:showSerName val="0"/>
          <c:showPercent val="0"/>
          <c:showBubbleSize val="0"/>
        </c:dLbls>
        <c:smooth val="0"/>
        <c:axId val="562934079"/>
        <c:axId val="562938879"/>
      </c:lineChart>
      <c:catAx>
        <c:axId val="562934079"/>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562938879"/>
        <c:crosses val="autoZero"/>
        <c:auto val="1"/>
        <c:lblAlgn val="ctr"/>
        <c:lblOffset val="100"/>
        <c:noMultiLvlLbl val="0"/>
      </c:catAx>
      <c:valAx>
        <c:axId val="562938879"/>
        <c:scaling>
          <c:orientation val="minMax"/>
        </c:scaling>
        <c:delete val="0"/>
        <c:axPos val="l"/>
        <c:numFmt formatCode="0.00" sourceLinked="0"/>
        <c:majorTickMark val="out"/>
        <c:minorTickMark val="none"/>
        <c:tickLblPos val="nextTo"/>
        <c:txPr>
          <a:bodyPr/>
          <a:lstStyle/>
          <a:p>
            <a:pPr>
              <a:defRPr sz="800" b="0"/>
            </a:pPr>
            <a:endParaRPr lang="en-US"/>
          </a:p>
        </c:txPr>
        <c:crossAx val="562934079"/>
        <c:crosses val="autoZero"/>
        <c:crossBetween val="between"/>
      </c:valAx>
    </c:plotArea>
    <c:legend>
      <c:legendPos val="r"/>
      <c:layout/>
      <c:overlay val="0"/>
      <c:spPr>
        <a:ln>
          <a:solidFill>
            <a:srgbClr val="000000"/>
          </a:solidFill>
          <a:prstDash val="solid"/>
        </a:ln>
      </c:sp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Deseasonalized Forecast and Original Observations</a:t>
            </a:r>
          </a:p>
        </c:rich>
      </c:tx>
      <c:overlay val="0"/>
    </c:title>
    <c:autoTitleDeleted val="0"/>
    <c:plotArea>
      <c:layout/>
      <c:lineChart>
        <c:grouping val="standard"/>
        <c:varyColors val="0"/>
        <c:ser>
          <c:idx val="0"/>
          <c:order val="0"/>
          <c:tx>
            <c:v>South</c:v>
          </c:tx>
          <c:spPr>
            <a:ln>
              <a:solidFill>
                <a:srgbClr val="333399"/>
              </a:solidFill>
              <a:prstDash val="solid"/>
            </a:ln>
          </c:spPr>
          <c:marker>
            <c:symbol val="none"/>
          </c:marker>
          <c:cat>
            <c:strRef>
              <c:f>'Holt''s EXpo DS(South)'!$A$147:$A$271</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'Holt''s EXpo DS(South)'!$D$147:$D$271</c:f>
              <c:numCache>
                <c:formatCode>0.00</c:formatCode>
                <c:ptCount val="125"/>
                <c:pt idx="0">
                  <c:v>13596.294615442752</c:v>
                </c:pt>
                <c:pt idx="1">
                  <c:v>14568.485073225871</c:v>
                </c:pt>
                <c:pt idx="2">
                  <c:v>14994.128361529874</c:v>
                </c:pt>
                <c:pt idx="3">
                  <c:v>14843.809565973152</c:v>
                </c:pt>
                <c:pt idx="4">
                  <c:v>14642.608023043873</c:v>
                </c:pt>
                <c:pt idx="5">
                  <c:v>14752.184409513646</c:v>
                </c:pt>
                <c:pt idx="6">
                  <c:v>14986.475470564148</c:v>
                </c:pt>
                <c:pt idx="7">
                  <c:v>15079.248709610283</c:v>
                </c:pt>
                <c:pt idx="8">
                  <c:v>13827.262189406702</c:v>
                </c:pt>
                <c:pt idx="9">
                  <c:v>16285.211920450787</c:v>
                </c:pt>
                <c:pt idx="10">
                  <c:v>15626.853450839242</c:v>
                </c:pt>
                <c:pt idx="11">
                  <c:v>14078.723168091548</c:v>
                </c:pt>
                <c:pt idx="12">
                  <c:v>13071.238941505484</c:v>
                </c:pt>
                <c:pt idx="13">
                  <c:v>14383.474453201534</c:v>
                </c:pt>
                <c:pt idx="14">
                  <c:v>14882.333007727233</c:v>
                </c:pt>
                <c:pt idx="15">
                  <c:v>15660.699615660315</c:v>
                </c:pt>
                <c:pt idx="16">
                  <c:v>15393.102649471382</c:v>
                </c:pt>
                <c:pt idx="17">
                  <c:v>15151.851711153766</c:v>
                </c:pt>
                <c:pt idx="18">
                  <c:v>15213.322788762554</c:v>
                </c:pt>
                <c:pt idx="19">
                  <c:v>13488.919571816245</c:v>
                </c:pt>
                <c:pt idx="20">
                  <c:v>15666.199736020541</c:v>
                </c:pt>
                <c:pt idx="21">
                  <c:v>15485.596299176856</c:v>
                </c:pt>
                <c:pt idx="22">
                  <c:v>16034.611541289047</c:v>
                </c:pt>
                <c:pt idx="23">
                  <c:v>14938.340702605379</c:v>
                </c:pt>
                <c:pt idx="24">
                  <c:v>13602.912964273894</c:v>
                </c:pt>
                <c:pt idx="25">
                  <c:v>13691.887135491515</c:v>
                </c:pt>
                <c:pt idx="26">
                  <c:v>14530.008256349216</c:v>
                </c:pt>
                <c:pt idx="27">
                  <c:v>14748.796953242159</c:v>
                </c:pt>
                <c:pt idx="28">
                  <c:v>16136.629819154869</c:v>
                </c:pt>
                <c:pt idx="29">
                  <c:v>15556.981436050924</c:v>
                </c:pt>
                <c:pt idx="30">
                  <c:v>14678.305528860652</c:v>
                </c:pt>
                <c:pt idx="31">
                  <c:v>16172.549150119332</c:v>
                </c:pt>
                <c:pt idx="32">
                  <c:v>14459.427983898346</c:v>
                </c:pt>
                <c:pt idx="33">
                  <c:v>15045.270725068744</c:v>
                </c:pt>
                <c:pt idx="34">
                  <c:v>15127.191334821737</c:v>
                </c:pt>
                <c:pt idx="35">
                  <c:v>15952.645197057431</c:v>
                </c:pt>
                <c:pt idx="36">
                  <c:v>15499.069904396081</c:v>
                </c:pt>
                <c:pt idx="37">
                  <c:v>15472.614353225754</c:v>
                </c:pt>
                <c:pt idx="38">
                  <c:v>16516.351966842591</c:v>
                </c:pt>
                <c:pt idx="39">
                  <c:v>15893.316702001714</c:v>
                </c:pt>
                <c:pt idx="40">
                  <c:v>15119.381134527663</c:v>
                </c:pt>
                <c:pt idx="41">
                  <c:v>15530.579723641897</c:v>
                </c:pt>
                <c:pt idx="42">
                  <c:v>15871.608025345855</c:v>
                </c:pt>
                <c:pt idx="43">
                  <c:v>15103.652737300217</c:v>
                </c:pt>
                <c:pt idx="44">
                  <c:v>16557.384796387098</c:v>
                </c:pt>
                <c:pt idx="45">
                  <c:v>14179.264551601127</c:v>
                </c:pt>
                <c:pt idx="46">
                  <c:v>14066.597752408257</c:v>
                </c:pt>
                <c:pt idx="47">
                  <c:v>15983.582589045074</c:v>
                </c:pt>
                <c:pt idx="48">
                  <c:v>16595.509694088611</c:v>
                </c:pt>
                <c:pt idx="49">
                  <c:v>16549.64046265314</c:v>
                </c:pt>
                <c:pt idx="50">
                  <c:v>17149.858971724221</c:v>
                </c:pt>
                <c:pt idx="51">
                  <c:v>15585.344784873665</c:v>
                </c:pt>
                <c:pt idx="52">
                  <c:v>15848.973390723106</c:v>
                </c:pt>
                <c:pt idx="53">
                  <c:v>15141.837268515857</c:v>
                </c:pt>
                <c:pt idx="54">
                  <c:v>15778.301015218962</c:v>
                </c:pt>
                <c:pt idx="55">
                  <c:v>16060.290622745635</c:v>
                </c:pt>
                <c:pt idx="56">
                  <c:v>15513.36844504454</c:v>
                </c:pt>
                <c:pt idx="57">
                  <c:v>16015.744385076421</c:v>
                </c:pt>
                <c:pt idx="58">
                  <c:v>16449.764208508666</c:v>
                </c:pt>
                <c:pt idx="59">
                  <c:v>15811.217119399627</c:v>
                </c:pt>
                <c:pt idx="60">
                  <c:v>17761.442146508129</c:v>
                </c:pt>
                <c:pt idx="61">
                  <c:v>16454.932645259731</c:v>
                </c:pt>
                <c:pt idx="62">
                  <c:v>16082.721503608109</c:v>
                </c:pt>
                <c:pt idx="63">
                  <c:v>16424.076814498989</c:v>
                </c:pt>
                <c:pt idx="64">
                  <c:v>15610.089159499496</c:v>
                </c:pt>
                <c:pt idx="65">
                  <c:v>17715.549026458037</c:v>
                </c:pt>
                <c:pt idx="66">
                  <c:v>15996.588057258938</c:v>
                </c:pt>
                <c:pt idx="67">
                  <c:v>16642.733416945393</c:v>
                </c:pt>
                <c:pt idx="68">
                  <c:v>17006.94697049183</c:v>
                </c:pt>
                <c:pt idx="69">
                  <c:v>16201.247398558775</c:v>
                </c:pt>
                <c:pt idx="70">
                  <c:v>17191.334621710121</c:v>
                </c:pt>
                <c:pt idx="71">
                  <c:v>16687.408256763982</c:v>
                </c:pt>
                <c:pt idx="72">
                  <c:v>17001.435089065319</c:v>
                </c:pt>
                <c:pt idx="73">
                  <c:v>16364.629842628803</c:v>
                </c:pt>
                <c:pt idx="74">
                  <c:v>16186.612135424704</c:v>
                </c:pt>
                <c:pt idx="75">
                  <c:v>15724.041357480977</c:v>
                </c:pt>
                <c:pt idx="76">
                  <c:v>16860.249969569722</c:v>
                </c:pt>
                <c:pt idx="77">
                  <c:v>17742.861142743241</c:v>
                </c:pt>
                <c:pt idx="78">
                  <c:v>17134.248758714341</c:v>
                </c:pt>
                <c:pt idx="79">
                  <c:v>17976.820263995127</c:v>
                </c:pt>
                <c:pt idx="80">
                  <c:v>16562.346851288916</c:v>
                </c:pt>
                <c:pt idx="81">
                  <c:v>16406.277045039271</c:v>
                </c:pt>
                <c:pt idx="82">
                  <c:v>17475.497643293016</c:v>
                </c:pt>
                <c:pt idx="83">
                  <c:v>17728.230515776871</c:v>
                </c:pt>
                <c:pt idx="84">
                  <c:v>18637.270308495921</c:v>
                </c:pt>
                <c:pt idx="85">
                  <c:v>18221.343565015894</c:v>
                </c:pt>
                <c:pt idx="86">
                  <c:v>16982.730564019264</c:v>
                </c:pt>
                <c:pt idx="87">
                  <c:v>18425.894275831299</c:v>
                </c:pt>
                <c:pt idx="88">
                  <c:v>16988.650243852411</c:v>
                </c:pt>
                <c:pt idx="89">
                  <c:v>15811.894521379474</c:v>
                </c:pt>
                <c:pt idx="90">
                  <c:v>17366.232242607806</c:v>
                </c:pt>
                <c:pt idx="91">
                  <c:v>18004.478162043717</c:v>
                </c:pt>
                <c:pt idx="92">
                  <c:v>18393.345110059843</c:v>
                </c:pt>
                <c:pt idx="93">
                  <c:v>18528.822051937354</c:v>
                </c:pt>
                <c:pt idx="94">
                  <c:v>16690.616137582641</c:v>
                </c:pt>
                <c:pt idx="95">
                  <c:v>18097.269405915198</c:v>
                </c:pt>
                <c:pt idx="96">
                  <c:v>17302.56996088228</c:v>
                </c:pt>
                <c:pt idx="97">
                  <c:v>19213.57314026546</c:v>
                </c:pt>
                <c:pt idx="98">
                  <c:v>17901.936806396527</c:v>
                </c:pt>
                <c:pt idx="99">
                  <c:v>17765.174382701978</c:v>
                </c:pt>
                <c:pt idx="100">
                  <c:v>18351.285712790421</c:v>
                </c:pt>
                <c:pt idx="101">
                  <c:v>17903.092224949756</c:v>
                </c:pt>
                <c:pt idx="102">
                  <c:v>18851.440156095487</c:v>
                </c:pt>
                <c:pt idx="103">
                  <c:v>17713.256764943839</c:v>
                </c:pt>
                <c:pt idx="104">
                  <c:v>18533.275058291118</c:v>
                </c:pt>
                <c:pt idx="105">
                  <c:v>18422.401902097477</c:v>
                </c:pt>
                <c:pt idx="106">
                  <c:v>18133.614975806559</c:v>
                </c:pt>
                <c:pt idx="107">
                  <c:v>18069.646734497659</c:v>
                </c:pt>
                <c:pt idx="108">
                  <c:v>18442.029017977231</c:v>
                </c:pt>
                <c:pt idx="109">
                  <c:v>17875.549906160886</c:v>
                </c:pt>
                <c:pt idx="110">
                  <c:v>17980.984026256981</c:v>
                </c:pt>
                <c:pt idx="111">
                  <c:v>19310.494463326755</c:v>
                </c:pt>
                <c:pt idx="112">
                  <c:v>18097.471217115337</c:v>
                </c:pt>
                <c:pt idx="113">
                  <c:v>17908.554648206798</c:v>
                </c:pt>
                <c:pt idx="114">
                  <c:v>18830.895493315253</c:v>
                </c:pt>
                <c:pt idx="115">
                  <c:v>18771.578099097314</c:v>
                </c:pt>
                <c:pt idx="116">
                  <c:v>18704.962157894031</c:v>
                </c:pt>
              </c:numCache>
            </c:numRef>
          </c:val>
          <c:smooth val="0"/>
          <c:extLst>
            <c:ext xmlns:c16="http://schemas.microsoft.com/office/drawing/2014/chart" uri="{C3380CC4-5D6E-409C-BE32-E72D297353CC}">
              <c16:uniqueId val="{00000000-8DB9-47B0-B797-41239B052C0C}"/>
            </c:ext>
          </c:extLst>
        </c:ser>
        <c:ser>
          <c:idx val="1"/>
          <c:order val="1"/>
          <c:tx>
            <c:v>Deseasonalized Forecast</c:v>
          </c:tx>
          <c:spPr>
            <a:ln>
              <a:solidFill>
                <a:srgbClr val="993366"/>
              </a:solidFill>
              <a:prstDash val="solid"/>
            </a:ln>
          </c:spPr>
          <c:marker>
            <c:symbol val="none"/>
          </c:marker>
          <c:cat>
            <c:strRef>
              <c:f>'Holt''s EXpo DS(South)'!$A$147:$A$271</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'Holt''s EXpo DS(South)'!$G$147:$G$271</c:f>
              <c:numCache>
                <c:formatCode>0.00</c:formatCode>
                <c:ptCount val="125"/>
                <c:pt idx="1">
                  <c:v>13639.958440591909</c:v>
                </c:pt>
                <c:pt idx="2">
                  <c:v>13749.737068283641</c:v>
                </c:pt>
                <c:pt idx="3">
                  <c:v>13882.006520613668</c:v>
                </c:pt>
                <c:pt idx="4">
                  <c:v>13994.154561717305</c:v>
                </c:pt>
                <c:pt idx="5">
                  <c:v>14083.990861674254</c:v>
                </c:pt>
                <c:pt idx="6">
                  <c:v>14175.232734585277</c:v>
                </c:pt>
                <c:pt idx="7">
                  <c:v>14276.660280685759</c:v>
                </c:pt>
                <c:pt idx="8">
                  <c:v>14377.471605579512</c:v>
                </c:pt>
                <c:pt idx="9">
                  <c:v>14381.958324085921</c:v>
                </c:pt>
                <c:pt idx="10">
                  <c:v>14561.141402307181</c:v>
                </c:pt>
                <c:pt idx="11">
                  <c:v>14680.688179199002</c:v>
                </c:pt>
                <c:pt idx="12">
                  <c:v>14681.489692758871</c:v>
                </c:pt>
                <c:pt idx="13">
                  <c:v>14610.497236955534</c:v>
                </c:pt>
                <c:pt idx="14">
                  <c:v>14637.996133719187</c:v>
                </c:pt>
                <c:pt idx="15">
                  <c:v>14699.057719590712</c:v>
                </c:pt>
                <c:pt idx="16">
                  <c:v>14811.194286221666</c:v>
                </c:pt>
                <c:pt idx="17">
                  <c:v>14896.292309574692</c:v>
                </c:pt>
                <c:pt idx="18">
                  <c:v>14958.152984205019</c:v>
                </c:pt>
                <c:pt idx="19">
                  <c:v>15019.985917972301</c:v>
                </c:pt>
                <c:pt idx="20">
                  <c:v>14954.631707883695</c:v>
                </c:pt>
                <c:pt idx="21">
                  <c:v>15048.962016925107</c:v>
                </c:pt>
                <c:pt idx="22">
                  <c:v>15123.715945836288</c:v>
                </c:pt>
                <c:pt idx="23">
                  <c:v>15232.239173304821</c:v>
                </c:pt>
                <c:pt idx="24">
                  <c:v>15254.976254217532</c:v>
                </c:pt>
                <c:pt idx="25">
                  <c:v>15181.006578760875</c:v>
                </c:pt>
                <c:pt idx="26">
                  <c:v>15118.639155592704</c:v>
                </c:pt>
                <c:pt idx="27">
                  <c:v>15120.390111141614</c:v>
                </c:pt>
                <c:pt idx="28">
                  <c:v>15137.59502020023</c:v>
                </c:pt>
                <c:pt idx="29">
                  <c:v>15252.394110773792</c:v>
                </c:pt>
                <c:pt idx="30">
                  <c:v>15317.745769270867</c:v>
                </c:pt>
                <c:pt idx="31">
                  <c:v>15315.878896918572</c:v>
                </c:pt>
                <c:pt idx="32">
                  <c:v>15420.541063573344</c:v>
                </c:pt>
                <c:pt idx="33">
                  <c:v>15395.769801078817</c:v>
                </c:pt>
                <c:pt idx="34">
                  <c:v>15414.476692966915</c:v>
                </c:pt>
                <c:pt idx="35">
                  <c:v>15437.684653890334</c:v>
                </c:pt>
                <c:pt idx="36">
                  <c:v>15518.015725225127</c:v>
                </c:pt>
                <c:pt idx="37">
                  <c:v>15560.330532307276</c:v>
                </c:pt>
                <c:pt idx="38">
                  <c:v>15597.74861537867</c:v>
                </c:pt>
                <c:pt idx="39">
                  <c:v>15706.820665841411</c:v>
                </c:pt>
                <c:pt idx="40">
                  <c:v>15763.763753181178</c:v>
                </c:pt>
                <c:pt idx="41">
                  <c:v>15761.544963770004</c:v>
                </c:pt>
                <c:pt idx="42">
                  <c:v>15788.763141903144</c:v>
                </c:pt>
                <c:pt idx="43">
                  <c:v>15838.325853436356</c:v>
                </c:pt>
                <c:pt idx="44">
                  <c:v>15829.678020201634</c:v>
                </c:pt>
                <c:pt idx="45">
                  <c:v>15925.157472523397</c:v>
                </c:pt>
                <c:pt idx="46">
                  <c:v>15844.506752811501</c:v>
                </c:pt>
                <c:pt idx="47">
                  <c:v>15761.576360445448</c:v>
                </c:pt>
                <c:pt idx="48">
                  <c:v>15821.047915229079</c:v>
                </c:pt>
                <c:pt idx="49">
                  <c:v>15919.856510368107</c:v>
                </c:pt>
                <c:pt idx="50">
                  <c:v>16008.363466760244</c:v>
                </c:pt>
                <c:pt idx="51">
                  <c:v>16133.306328246619</c:v>
                </c:pt>
                <c:pt idx="52">
                  <c:v>16137.953104268969</c:v>
                </c:pt>
                <c:pt idx="53">
                  <c:v>16161.040420324684</c:v>
                </c:pt>
                <c:pt idx="54">
                  <c:v>16132.132912822388</c:v>
                </c:pt>
                <c:pt idx="55">
                  <c:v>16150.602494509778</c:v>
                </c:pt>
                <c:pt idx="56">
                  <c:v>16187.835753901225</c:v>
                </c:pt>
                <c:pt idx="57">
                  <c:v>16183.47481446179</c:v>
                </c:pt>
                <c:pt idx="58">
                  <c:v>16215.195563527348</c:v>
                </c:pt>
                <c:pt idx="59">
                  <c:v>16275.561612501389</c:v>
                </c:pt>
                <c:pt idx="60">
                  <c:v>16286.162256268157</c:v>
                </c:pt>
                <c:pt idx="61">
                  <c:v>16434.871898317106</c:v>
                </c:pt>
                <c:pt idx="62">
                  <c:v>16479.964128722884</c:v>
                </c:pt>
                <c:pt idx="63">
                  <c:v>16495.342693333572</c:v>
                </c:pt>
                <c:pt idx="64">
                  <c:v>16533.93210344543</c:v>
                </c:pt>
                <c:pt idx="65">
                  <c:v>16511.814623381968</c:v>
                </c:pt>
                <c:pt idx="66">
                  <c:v>16641.189142846182</c:v>
                </c:pt>
                <c:pt idx="67">
                  <c:v>16638.954797717295</c:v>
                </c:pt>
                <c:pt idx="68">
                  <c:v>16682.887675638198</c:v>
                </c:pt>
                <c:pt idx="69">
                  <c:v>16749.625816093267</c:v>
                </c:pt>
                <c:pt idx="70">
                  <c:v>16754.242909011322</c:v>
                </c:pt>
                <c:pt idx="71">
                  <c:v>16829.029408796207</c:v>
                </c:pt>
                <c:pt idx="72">
                  <c:v>16862.609242626877</c:v>
                </c:pt>
                <c:pt idx="73">
                  <c:v>16916.158022178523</c:v>
                </c:pt>
                <c:pt idx="74">
                  <c:v>16920.550839468531</c:v>
                </c:pt>
                <c:pt idx="75">
                  <c:v>16911.955299306257</c:v>
                </c:pt>
                <c:pt idx="76">
                  <c:v>16871.034910130231</c:v>
                </c:pt>
                <c:pt idx="77">
                  <c:v>16913.930804462401</c:v>
                </c:pt>
                <c:pt idx="78">
                  <c:v>17016.617778448468</c:v>
                </c:pt>
                <c:pt idx="79">
                  <c:v>17068.657398927378</c:v>
                </c:pt>
                <c:pt idx="80">
                  <c:v>17176.986045084555</c:v>
                </c:pt>
                <c:pt idx="81">
                  <c:v>17176.885106246864</c:v>
                </c:pt>
                <c:pt idx="82">
                  <c:v>17165.678561485434</c:v>
                </c:pt>
                <c:pt idx="83">
                  <c:v>17231.402741930513</c:v>
                </c:pt>
                <c:pt idx="84">
                  <c:v>17310.442687711064</c:v>
                </c:pt>
                <c:pt idx="85">
                  <c:v>17448.581935613987</c:v>
                </c:pt>
                <c:pt idx="86">
                  <c:v>17547.26947332533</c:v>
                </c:pt>
                <c:pt idx="87">
                  <c:v>17550.735874723166</c:v>
                </c:pt>
                <c:pt idx="88">
                  <c:v>17656.714471306081</c:v>
                </c:pt>
                <c:pt idx="89">
                  <c:v>17652.809456821025</c:v>
                </c:pt>
                <c:pt idx="90">
                  <c:v>17565.39279038629</c:v>
                </c:pt>
                <c:pt idx="91">
                  <c:v>17594.875589566062</c:v>
                </c:pt>
                <c:pt idx="92">
                  <c:v>17667.704752841782</c:v>
                </c:pt>
                <c:pt idx="93">
                  <c:v>17763.037067884765</c:v>
                </c:pt>
                <c:pt idx="94">
                  <c:v>17861.22784059932</c:v>
                </c:pt>
                <c:pt idx="95">
                  <c:v>17821.539439889937</c:v>
                </c:pt>
                <c:pt idx="96">
                  <c:v>17884.836339221489</c:v>
                </c:pt>
                <c:pt idx="97">
                  <c:v>17887.040474063353</c:v>
                </c:pt>
                <c:pt idx="98">
                  <c:v>18025.158720022646</c:v>
                </c:pt>
                <c:pt idx="99">
                  <c:v>18060.048653070076</c:v>
                </c:pt>
                <c:pt idx="100">
                  <c:v>18082.716253151386</c:v>
                </c:pt>
                <c:pt idx="101">
                  <c:v>18145.503295846422</c:v>
                </c:pt>
                <c:pt idx="102">
                  <c:v>18171.906485141757</c:v>
                </c:pt>
                <c:pt idx="103">
                  <c:v>18263.955820083662</c:v>
                </c:pt>
                <c:pt idx="104">
                  <c:v>18268.407674341182</c:v>
                </c:pt>
                <c:pt idx="105">
                  <c:v>18330.931114469979</c:v>
                </c:pt>
                <c:pt idx="106">
                  <c:v>18381.108024812234</c:v>
                </c:pt>
                <c:pt idx="107">
                  <c:v>18407.14935698103</c:v>
                </c:pt>
                <c:pt idx="108">
                  <c:v>18426.781648236763</c:v>
                </c:pt>
                <c:pt idx="109">
                  <c:v>18471.531146972713</c:v>
                </c:pt>
                <c:pt idx="110">
                  <c:v>18472.758728862398</c:v>
                </c:pt>
                <c:pt idx="111">
                  <c:v>18481.406232222314</c:v>
                </c:pt>
                <c:pt idx="112">
                  <c:v>18584.104448807662</c:v>
                </c:pt>
                <c:pt idx="113">
                  <c:v>18593.11804541924</c:v>
                </c:pt>
                <c:pt idx="114">
                  <c:v>18588.038224189415</c:v>
                </c:pt>
                <c:pt idx="115">
                  <c:v>18648.99445628735</c:v>
                </c:pt>
                <c:pt idx="116">
                  <c:v>18701.386726108405</c:v>
                </c:pt>
                <c:pt idx="117">
                  <c:v>18745.305136272364</c:v>
                </c:pt>
                <c:pt idx="118">
                  <c:v>18788.96896142152</c:v>
                </c:pt>
                <c:pt idx="119">
                  <c:v>18832.632786570677</c:v>
                </c:pt>
                <c:pt idx="120">
                  <c:v>18876.29661171983</c:v>
                </c:pt>
                <c:pt idx="121">
                  <c:v>18919.960436868987</c:v>
                </c:pt>
                <c:pt idx="122">
                  <c:v>18963.624262018144</c:v>
                </c:pt>
                <c:pt idx="123">
                  <c:v>19007.288087167301</c:v>
                </c:pt>
                <c:pt idx="124">
                  <c:v>19050.951912316457</c:v>
                </c:pt>
              </c:numCache>
            </c:numRef>
          </c:val>
          <c:smooth val="0"/>
          <c:extLst>
            <c:ext xmlns:c16="http://schemas.microsoft.com/office/drawing/2014/chart" uri="{C3380CC4-5D6E-409C-BE32-E72D297353CC}">
              <c16:uniqueId val="{00000001-8DB9-47B0-B797-41239B052C0C}"/>
            </c:ext>
          </c:extLst>
        </c:ser>
        <c:dLbls>
          <c:showLegendKey val="0"/>
          <c:showVal val="0"/>
          <c:showCatName val="0"/>
          <c:showSerName val="0"/>
          <c:showPercent val="0"/>
          <c:showBubbleSize val="0"/>
        </c:dLbls>
        <c:smooth val="0"/>
        <c:axId val="875164527"/>
        <c:axId val="883097775"/>
      </c:lineChart>
      <c:catAx>
        <c:axId val="875164527"/>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883097775"/>
        <c:crosses val="autoZero"/>
        <c:auto val="1"/>
        <c:lblAlgn val="ctr"/>
        <c:lblOffset val="100"/>
        <c:noMultiLvlLbl val="0"/>
      </c:catAx>
      <c:valAx>
        <c:axId val="883097775"/>
        <c:scaling>
          <c:orientation val="minMax"/>
        </c:scaling>
        <c:delete val="0"/>
        <c:axPos val="l"/>
        <c:numFmt formatCode="0.00" sourceLinked="0"/>
        <c:majorTickMark val="out"/>
        <c:minorTickMark val="none"/>
        <c:tickLblPos val="nextTo"/>
        <c:txPr>
          <a:bodyPr/>
          <a:lstStyle/>
          <a:p>
            <a:pPr>
              <a:defRPr sz="800" b="0"/>
            </a:pPr>
            <a:endParaRPr lang="en-US"/>
          </a:p>
        </c:txPr>
        <c:crossAx val="875164527"/>
        <c:crosses val="autoZero"/>
        <c:crossBetween val="between"/>
      </c:valAx>
    </c:plotArea>
    <c:legend>
      <c:legendPos val="r"/>
      <c:overlay val="0"/>
      <c:spPr>
        <a:ln>
          <a:solidFill>
            <a:srgbClr val="000000"/>
          </a:solidFill>
          <a:prstDash val="solid"/>
        </a:ln>
      </c:sp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Deseasonalized Observations</a:t>
            </a:r>
          </a:p>
        </c:rich>
      </c:tx>
      <c:overlay val="0"/>
    </c:title>
    <c:autoTitleDeleted val="0"/>
    <c:plotArea>
      <c:layout/>
      <c:lineChart>
        <c:grouping val="standard"/>
        <c:varyColors val="0"/>
        <c:ser>
          <c:idx val="0"/>
          <c:order val="0"/>
          <c:tx>
            <c:v>South</c:v>
          </c:tx>
          <c:spPr>
            <a:ln>
              <a:solidFill>
                <a:srgbClr val="333399"/>
              </a:solidFill>
              <a:prstDash val="solid"/>
            </a:ln>
          </c:spPr>
          <c:marker>
            <c:symbol val="none"/>
          </c:marker>
          <c:cat>
            <c:strRef>
              <c:f>'Holt''s EXpo DS(South)'!$A$147:$A$271</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'Holt''s EXpo DS(South)'!$D$147:$D$271</c:f>
              <c:numCache>
                <c:formatCode>0.00</c:formatCode>
                <c:ptCount val="125"/>
                <c:pt idx="0">
                  <c:v>13596.294615442752</c:v>
                </c:pt>
                <c:pt idx="1">
                  <c:v>14568.485073225871</c:v>
                </c:pt>
                <c:pt idx="2">
                  <c:v>14994.128361529874</c:v>
                </c:pt>
                <c:pt idx="3">
                  <c:v>14843.809565973152</c:v>
                </c:pt>
                <c:pt idx="4">
                  <c:v>14642.608023043873</c:v>
                </c:pt>
                <c:pt idx="5">
                  <c:v>14752.184409513646</c:v>
                </c:pt>
                <c:pt idx="6">
                  <c:v>14986.475470564148</c:v>
                </c:pt>
                <c:pt idx="7">
                  <c:v>15079.248709610283</c:v>
                </c:pt>
                <c:pt idx="8">
                  <c:v>13827.262189406702</c:v>
                </c:pt>
                <c:pt idx="9">
                  <c:v>16285.211920450787</c:v>
                </c:pt>
                <c:pt idx="10">
                  <c:v>15626.853450839242</c:v>
                </c:pt>
                <c:pt idx="11">
                  <c:v>14078.723168091548</c:v>
                </c:pt>
                <c:pt idx="12">
                  <c:v>13071.238941505484</c:v>
                </c:pt>
                <c:pt idx="13">
                  <c:v>14383.474453201534</c:v>
                </c:pt>
                <c:pt idx="14">
                  <c:v>14882.333007727233</c:v>
                </c:pt>
                <c:pt idx="15">
                  <c:v>15660.699615660315</c:v>
                </c:pt>
                <c:pt idx="16">
                  <c:v>15393.102649471382</c:v>
                </c:pt>
                <c:pt idx="17">
                  <c:v>15151.851711153766</c:v>
                </c:pt>
                <c:pt idx="18">
                  <c:v>15213.322788762554</c:v>
                </c:pt>
                <c:pt idx="19">
                  <c:v>13488.919571816245</c:v>
                </c:pt>
                <c:pt idx="20">
                  <c:v>15666.199736020541</c:v>
                </c:pt>
                <c:pt idx="21">
                  <c:v>15485.596299176856</c:v>
                </c:pt>
                <c:pt idx="22">
                  <c:v>16034.611541289047</c:v>
                </c:pt>
                <c:pt idx="23">
                  <c:v>14938.340702605379</c:v>
                </c:pt>
                <c:pt idx="24">
                  <c:v>13602.912964273894</c:v>
                </c:pt>
                <c:pt idx="25">
                  <c:v>13691.887135491515</c:v>
                </c:pt>
                <c:pt idx="26">
                  <c:v>14530.008256349216</c:v>
                </c:pt>
                <c:pt idx="27">
                  <c:v>14748.796953242159</c:v>
                </c:pt>
                <c:pt idx="28">
                  <c:v>16136.629819154869</c:v>
                </c:pt>
                <c:pt idx="29">
                  <c:v>15556.981436050924</c:v>
                </c:pt>
                <c:pt idx="30">
                  <c:v>14678.305528860652</c:v>
                </c:pt>
                <c:pt idx="31">
                  <c:v>16172.549150119332</c:v>
                </c:pt>
                <c:pt idx="32">
                  <c:v>14459.427983898346</c:v>
                </c:pt>
                <c:pt idx="33">
                  <c:v>15045.270725068744</c:v>
                </c:pt>
                <c:pt idx="34">
                  <c:v>15127.191334821737</c:v>
                </c:pt>
                <c:pt idx="35">
                  <c:v>15952.645197057431</c:v>
                </c:pt>
                <c:pt idx="36">
                  <c:v>15499.069904396081</c:v>
                </c:pt>
                <c:pt idx="37">
                  <c:v>15472.614353225754</c:v>
                </c:pt>
                <c:pt idx="38">
                  <c:v>16516.351966842591</c:v>
                </c:pt>
                <c:pt idx="39">
                  <c:v>15893.316702001714</c:v>
                </c:pt>
                <c:pt idx="40">
                  <c:v>15119.381134527663</c:v>
                </c:pt>
                <c:pt idx="41">
                  <c:v>15530.579723641897</c:v>
                </c:pt>
                <c:pt idx="42">
                  <c:v>15871.608025345855</c:v>
                </c:pt>
                <c:pt idx="43">
                  <c:v>15103.652737300217</c:v>
                </c:pt>
                <c:pt idx="44">
                  <c:v>16557.384796387098</c:v>
                </c:pt>
                <c:pt idx="45">
                  <c:v>14179.264551601127</c:v>
                </c:pt>
                <c:pt idx="46">
                  <c:v>14066.597752408257</c:v>
                </c:pt>
                <c:pt idx="47">
                  <c:v>15983.582589045074</c:v>
                </c:pt>
                <c:pt idx="48">
                  <c:v>16595.509694088611</c:v>
                </c:pt>
                <c:pt idx="49">
                  <c:v>16549.64046265314</c:v>
                </c:pt>
                <c:pt idx="50">
                  <c:v>17149.858971724221</c:v>
                </c:pt>
                <c:pt idx="51">
                  <c:v>15585.344784873665</c:v>
                </c:pt>
                <c:pt idx="52">
                  <c:v>15848.973390723106</c:v>
                </c:pt>
                <c:pt idx="53">
                  <c:v>15141.837268515857</c:v>
                </c:pt>
                <c:pt idx="54">
                  <c:v>15778.301015218962</c:v>
                </c:pt>
                <c:pt idx="55">
                  <c:v>16060.290622745635</c:v>
                </c:pt>
                <c:pt idx="56">
                  <c:v>15513.36844504454</c:v>
                </c:pt>
                <c:pt idx="57">
                  <c:v>16015.744385076421</c:v>
                </c:pt>
                <c:pt idx="58">
                  <c:v>16449.764208508666</c:v>
                </c:pt>
                <c:pt idx="59">
                  <c:v>15811.217119399627</c:v>
                </c:pt>
                <c:pt idx="60">
                  <c:v>17761.442146508129</c:v>
                </c:pt>
                <c:pt idx="61">
                  <c:v>16454.932645259731</c:v>
                </c:pt>
                <c:pt idx="62">
                  <c:v>16082.721503608109</c:v>
                </c:pt>
                <c:pt idx="63">
                  <c:v>16424.076814498989</c:v>
                </c:pt>
                <c:pt idx="64">
                  <c:v>15610.089159499496</c:v>
                </c:pt>
                <c:pt idx="65">
                  <c:v>17715.549026458037</c:v>
                </c:pt>
                <c:pt idx="66">
                  <c:v>15996.588057258938</c:v>
                </c:pt>
                <c:pt idx="67">
                  <c:v>16642.733416945393</c:v>
                </c:pt>
                <c:pt idx="68">
                  <c:v>17006.94697049183</c:v>
                </c:pt>
                <c:pt idx="69">
                  <c:v>16201.247398558775</c:v>
                </c:pt>
                <c:pt idx="70">
                  <c:v>17191.334621710121</c:v>
                </c:pt>
                <c:pt idx="71">
                  <c:v>16687.408256763982</c:v>
                </c:pt>
                <c:pt idx="72">
                  <c:v>17001.435089065319</c:v>
                </c:pt>
                <c:pt idx="73">
                  <c:v>16364.629842628803</c:v>
                </c:pt>
                <c:pt idx="74">
                  <c:v>16186.612135424704</c:v>
                </c:pt>
                <c:pt idx="75">
                  <c:v>15724.041357480977</c:v>
                </c:pt>
                <c:pt idx="76">
                  <c:v>16860.249969569722</c:v>
                </c:pt>
                <c:pt idx="77">
                  <c:v>17742.861142743241</c:v>
                </c:pt>
                <c:pt idx="78">
                  <c:v>17134.248758714341</c:v>
                </c:pt>
                <c:pt idx="79">
                  <c:v>17976.820263995127</c:v>
                </c:pt>
                <c:pt idx="80">
                  <c:v>16562.346851288916</c:v>
                </c:pt>
                <c:pt idx="81">
                  <c:v>16406.277045039271</c:v>
                </c:pt>
                <c:pt idx="82">
                  <c:v>17475.497643293016</c:v>
                </c:pt>
                <c:pt idx="83">
                  <c:v>17728.230515776871</c:v>
                </c:pt>
                <c:pt idx="84">
                  <c:v>18637.270308495921</c:v>
                </c:pt>
                <c:pt idx="85">
                  <c:v>18221.343565015894</c:v>
                </c:pt>
                <c:pt idx="86">
                  <c:v>16982.730564019264</c:v>
                </c:pt>
                <c:pt idx="87">
                  <c:v>18425.894275831299</c:v>
                </c:pt>
                <c:pt idx="88">
                  <c:v>16988.650243852411</c:v>
                </c:pt>
                <c:pt idx="89">
                  <c:v>15811.894521379474</c:v>
                </c:pt>
                <c:pt idx="90">
                  <c:v>17366.232242607806</c:v>
                </c:pt>
                <c:pt idx="91">
                  <c:v>18004.478162043717</c:v>
                </c:pt>
                <c:pt idx="92">
                  <c:v>18393.345110059843</c:v>
                </c:pt>
                <c:pt idx="93">
                  <c:v>18528.822051937354</c:v>
                </c:pt>
                <c:pt idx="94">
                  <c:v>16690.616137582641</c:v>
                </c:pt>
                <c:pt idx="95">
                  <c:v>18097.269405915198</c:v>
                </c:pt>
                <c:pt idx="96">
                  <c:v>17302.56996088228</c:v>
                </c:pt>
                <c:pt idx="97">
                  <c:v>19213.57314026546</c:v>
                </c:pt>
                <c:pt idx="98">
                  <c:v>17901.936806396527</c:v>
                </c:pt>
                <c:pt idx="99">
                  <c:v>17765.174382701978</c:v>
                </c:pt>
                <c:pt idx="100">
                  <c:v>18351.285712790421</c:v>
                </c:pt>
                <c:pt idx="101">
                  <c:v>17903.092224949756</c:v>
                </c:pt>
                <c:pt idx="102">
                  <c:v>18851.440156095487</c:v>
                </c:pt>
                <c:pt idx="103">
                  <c:v>17713.256764943839</c:v>
                </c:pt>
                <c:pt idx="104">
                  <c:v>18533.275058291118</c:v>
                </c:pt>
                <c:pt idx="105">
                  <c:v>18422.401902097477</c:v>
                </c:pt>
                <c:pt idx="106">
                  <c:v>18133.614975806559</c:v>
                </c:pt>
                <c:pt idx="107">
                  <c:v>18069.646734497659</c:v>
                </c:pt>
                <c:pt idx="108">
                  <c:v>18442.029017977231</c:v>
                </c:pt>
                <c:pt idx="109">
                  <c:v>17875.549906160886</c:v>
                </c:pt>
                <c:pt idx="110">
                  <c:v>17980.984026256981</c:v>
                </c:pt>
                <c:pt idx="111">
                  <c:v>19310.494463326755</c:v>
                </c:pt>
                <c:pt idx="112">
                  <c:v>18097.471217115337</c:v>
                </c:pt>
                <c:pt idx="113">
                  <c:v>17908.554648206798</c:v>
                </c:pt>
                <c:pt idx="114">
                  <c:v>18830.895493315253</c:v>
                </c:pt>
                <c:pt idx="115">
                  <c:v>18771.578099097314</c:v>
                </c:pt>
                <c:pt idx="116">
                  <c:v>18704.962157894031</c:v>
                </c:pt>
              </c:numCache>
            </c:numRef>
          </c:val>
          <c:smooth val="0"/>
          <c:extLst>
            <c:ext xmlns:c16="http://schemas.microsoft.com/office/drawing/2014/chart" uri="{C3380CC4-5D6E-409C-BE32-E72D297353CC}">
              <c16:uniqueId val="{00000000-1DA5-4BAF-A05D-3FB9D1FEE2C8}"/>
            </c:ext>
          </c:extLst>
        </c:ser>
        <c:dLbls>
          <c:showLegendKey val="0"/>
          <c:showVal val="0"/>
          <c:showCatName val="0"/>
          <c:showSerName val="0"/>
          <c:showPercent val="0"/>
          <c:showBubbleSize val="0"/>
        </c:dLbls>
        <c:smooth val="0"/>
        <c:axId val="883096335"/>
        <c:axId val="1415824879"/>
      </c:lineChart>
      <c:catAx>
        <c:axId val="883096335"/>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415824879"/>
        <c:crosses val="autoZero"/>
        <c:auto val="1"/>
        <c:lblAlgn val="ctr"/>
        <c:lblOffset val="100"/>
        <c:noMultiLvlLbl val="0"/>
      </c:catAx>
      <c:valAx>
        <c:axId val="1415824879"/>
        <c:scaling>
          <c:orientation val="minMax"/>
        </c:scaling>
        <c:delete val="0"/>
        <c:axPos val="l"/>
        <c:numFmt formatCode="0.00" sourceLinked="0"/>
        <c:majorTickMark val="out"/>
        <c:minorTickMark val="none"/>
        <c:tickLblPos val="nextTo"/>
        <c:txPr>
          <a:bodyPr/>
          <a:lstStyle/>
          <a:p>
            <a:pPr>
              <a:defRPr sz="800" b="0"/>
            </a:pPr>
            <a:endParaRPr lang="en-US"/>
          </a:p>
        </c:txPr>
        <c:crossAx val="883096335"/>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Deseasonalized Errors</a:t>
            </a:r>
          </a:p>
        </c:rich>
      </c:tx>
      <c:overlay val="0"/>
    </c:title>
    <c:autoTitleDeleted val="0"/>
    <c:plotArea>
      <c:layout/>
      <c:lineChart>
        <c:grouping val="standard"/>
        <c:varyColors val="0"/>
        <c:ser>
          <c:idx val="0"/>
          <c:order val="0"/>
          <c:tx>
            <c:v>Deseasonalized Errors</c:v>
          </c:tx>
          <c:spPr>
            <a:ln>
              <a:solidFill>
                <a:srgbClr val="333399"/>
              </a:solidFill>
              <a:prstDash val="solid"/>
            </a:ln>
          </c:spPr>
          <c:marker>
            <c:symbol val="none"/>
          </c:marker>
          <c:cat>
            <c:strRef>
              <c:f>'Holt''s EXpo DS(South)'!$A$147:$A$271</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'Holt''s EXpo DS(South)'!$H$148:$H$271</c:f>
              <c:numCache>
                <c:formatCode>0.00</c:formatCode>
                <c:ptCount val="124"/>
                <c:pt idx="0">
                  <c:v>928.52663263396244</c:v>
                </c:pt>
                <c:pt idx="1">
                  <c:v>1244.3912932462335</c:v>
                </c:pt>
                <c:pt idx="2">
                  <c:v>961.8030453594838</c:v>
                </c:pt>
                <c:pt idx="3">
                  <c:v>648.45346132656778</c:v>
                </c:pt>
                <c:pt idx="4">
                  <c:v>668.19354783939161</c:v>
                </c:pt>
                <c:pt idx="5">
                  <c:v>811.24273597887077</c:v>
                </c:pt>
                <c:pt idx="6">
                  <c:v>802.58842892452412</c:v>
                </c:pt>
                <c:pt idx="7">
                  <c:v>-550.20941617281096</c:v>
                </c:pt>
                <c:pt idx="8">
                  <c:v>1903.2535963648661</c:v>
                </c:pt>
                <c:pt idx="9">
                  <c:v>1065.7120485320611</c:v>
                </c:pt>
                <c:pt idx="10">
                  <c:v>-601.96501110745339</c:v>
                </c:pt>
                <c:pt idx="11">
                  <c:v>-1610.2507512533866</c:v>
                </c:pt>
                <c:pt idx="12">
                  <c:v>-227.02278375400056</c:v>
                </c:pt>
                <c:pt idx="13">
                  <c:v>244.33687400804592</c:v>
                </c:pt>
                <c:pt idx="14">
                  <c:v>961.64189606960281</c:v>
                </c:pt>
                <c:pt idx="15">
                  <c:v>581.90836324971679</c:v>
                </c:pt>
                <c:pt idx="16">
                  <c:v>255.55940157907389</c:v>
                </c:pt>
                <c:pt idx="17">
                  <c:v>255.16980455753583</c:v>
                </c:pt>
                <c:pt idx="18">
                  <c:v>-1531.0663461560562</c:v>
                </c:pt>
                <c:pt idx="19">
                  <c:v>711.5680281368459</c:v>
                </c:pt>
                <c:pt idx="20">
                  <c:v>436.63428225174903</c:v>
                </c:pt>
                <c:pt idx="21">
                  <c:v>910.89559545275915</c:v>
                </c:pt>
                <c:pt idx="22">
                  <c:v>-293.89847069944153</c:v>
                </c:pt>
                <c:pt idx="23">
                  <c:v>-1652.0632899436387</c:v>
                </c:pt>
                <c:pt idx="24">
                  <c:v>-1489.1194432693592</c:v>
                </c:pt>
                <c:pt idx="25">
                  <c:v>-588.63089924348787</c:v>
                </c:pt>
                <c:pt idx="26">
                  <c:v>-371.59315789945504</c:v>
                </c:pt>
                <c:pt idx="27">
                  <c:v>999.03479895463897</c:v>
                </c:pt>
                <c:pt idx="28">
                  <c:v>304.58732527713255</c:v>
                </c:pt>
                <c:pt idx="29">
                  <c:v>-639.44024041021476</c:v>
                </c:pt>
                <c:pt idx="30">
                  <c:v>856.67025320076027</c:v>
                </c:pt>
                <c:pt idx="31">
                  <c:v>-961.11307967499852</c:v>
                </c:pt>
                <c:pt idx="32">
                  <c:v>-350.49907601007362</c:v>
                </c:pt>
                <c:pt idx="33">
                  <c:v>-287.28535814517818</c:v>
                </c:pt>
                <c:pt idx="34">
                  <c:v>514.96054316709706</c:v>
                </c:pt>
                <c:pt idx="35">
                  <c:v>-18.94582082904526</c:v>
                </c:pt>
                <c:pt idx="36">
                  <c:v>-87.716179081522569</c:v>
                </c:pt>
                <c:pt idx="37">
                  <c:v>918.60335146392026</c:v>
                </c:pt>
                <c:pt idx="38">
                  <c:v>186.49603616030254</c:v>
                </c:pt>
                <c:pt idx="39">
                  <c:v>-644.38261865351524</c:v>
                </c:pt>
                <c:pt idx="40">
                  <c:v>-230.96524012810733</c:v>
                </c:pt>
                <c:pt idx="41">
                  <c:v>82.844883442710852</c:v>
                </c:pt>
                <c:pt idx="42">
                  <c:v>-734.67311613613856</c:v>
                </c:pt>
                <c:pt idx="43">
                  <c:v>727.70677618546324</c:v>
                </c:pt>
                <c:pt idx="44">
                  <c:v>-1745.8929209222697</c:v>
                </c:pt>
                <c:pt idx="45">
                  <c:v>-1777.9090004032441</c:v>
                </c:pt>
                <c:pt idx="46">
                  <c:v>222.00622859962641</c:v>
                </c:pt>
                <c:pt idx="47">
                  <c:v>774.46177885953148</c:v>
                </c:pt>
                <c:pt idx="48">
                  <c:v>629.78395228503359</c:v>
                </c:pt>
                <c:pt idx="49">
                  <c:v>1141.4955049639775</c:v>
                </c:pt>
                <c:pt idx="50">
                  <c:v>-547.96154337295411</c:v>
                </c:pt>
                <c:pt idx="51">
                  <c:v>-288.97971354586298</c:v>
                </c:pt>
                <c:pt idx="52">
                  <c:v>-1019.2031518088261</c:v>
                </c:pt>
                <c:pt idx="53">
                  <c:v>-353.83189760342611</c:v>
                </c:pt>
                <c:pt idx="54">
                  <c:v>-90.311871764142779</c:v>
                </c:pt>
                <c:pt idx="55">
                  <c:v>-674.46730885668512</c:v>
                </c:pt>
                <c:pt idx="56">
                  <c:v>-167.73042938536855</c:v>
                </c:pt>
                <c:pt idx="57">
                  <c:v>234.56864498131836</c:v>
                </c:pt>
                <c:pt idx="58">
                  <c:v>-464.34449310176205</c:v>
                </c:pt>
                <c:pt idx="59">
                  <c:v>1475.2798902399718</c:v>
                </c:pt>
                <c:pt idx="60">
                  <c:v>20.060746942624974</c:v>
                </c:pt>
                <c:pt idx="61">
                  <c:v>-397.24262511477536</c:v>
                </c:pt>
                <c:pt idx="62">
                  <c:v>-71.265878834583418</c:v>
                </c:pt>
                <c:pt idx="63">
                  <c:v>-923.84294394593417</c:v>
                </c:pt>
                <c:pt idx="64">
                  <c:v>1203.7344030760687</c:v>
                </c:pt>
                <c:pt idx="65">
                  <c:v>-644.6010855872446</c:v>
                </c:pt>
                <c:pt idx="66">
                  <c:v>3.7786192280982505</c:v>
                </c:pt>
                <c:pt idx="67">
                  <c:v>324.05929485363231</c:v>
                </c:pt>
                <c:pt idx="68">
                  <c:v>-548.37841753449175</c:v>
                </c:pt>
                <c:pt idx="69">
                  <c:v>437.0917126987988</c:v>
                </c:pt>
                <c:pt idx="70">
                  <c:v>-141.62115203222493</c:v>
                </c:pt>
                <c:pt idx="71">
                  <c:v>138.82584643844166</c:v>
                </c:pt>
                <c:pt idx="72">
                  <c:v>-551.52817954971943</c:v>
                </c:pt>
                <c:pt idx="73">
                  <c:v>-733.93870404382687</c:v>
                </c:pt>
                <c:pt idx="74">
                  <c:v>-1187.9139418252798</c:v>
                </c:pt>
                <c:pt idx="75">
                  <c:v>-10.784940560508403</c:v>
                </c:pt>
                <c:pt idx="76">
                  <c:v>828.93033828083935</c:v>
                </c:pt>
                <c:pt idx="77">
                  <c:v>117.63098026587249</c:v>
                </c:pt>
                <c:pt idx="78">
                  <c:v>908.1628650677485</c:v>
                </c:pt>
                <c:pt idx="79">
                  <c:v>-614.63919379563959</c:v>
                </c:pt>
                <c:pt idx="80">
                  <c:v>-770.60806120759298</c:v>
                </c:pt>
                <c:pt idx="81">
                  <c:v>309.81908180758182</c:v>
                </c:pt>
                <c:pt idx="82">
                  <c:v>496.82777384635847</c:v>
                </c:pt>
                <c:pt idx="83">
                  <c:v>1326.8276207848576</c:v>
                </c:pt>
                <c:pt idx="84">
                  <c:v>772.76162940190625</c:v>
                </c:pt>
                <c:pt idx="85">
                  <c:v>-564.53890930606576</c:v>
                </c:pt>
                <c:pt idx="86">
                  <c:v>875.15840110813224</c:v>
                </c:pt>
                <c:pt idx="87">
                  <c:v>-668.06422745366945</c:v>
                </c:pt>
                <c:pt idx="88">
                  <c:v>-1840.9149354415513</c:v>
                </c:pt>
                <c:pt idx="89">
                  <c:v>-199.16054777848331</c:v>
                </c:pt>
                <c:pt idx="90">
                  <c:v>409.60257247765549</c:v>
                </c:pt>
                <c:pt idx="91">
                  <c:v>725.64035721806067</c:v>
                </c:pt>
                <c:pt idx="92">
                  <c:v>765.7849840525887</c:v>
                </c:pt>
                <c:pt idx="93">
                  <c:v>-1170.6117030166788</c:v>
                </c:pt>
                <c:pt idx="94">
                  <c:v>275.72996602526109</c:v>
                </c:pt>
                <c:pt idx="95">
                  <c:v>-582.26637833920904</c:v>
                </c:pt>
                <c:pt idx="96">
                  <c:v>1326.5326662021071</c:v>
                </c:pt>
                <c:pt idx="97">
                  <c:v>-123.2219136261192</c:v>
                </c:pt>
                <c:pt idx="98">
                  <c:v>-294.87427036809822</c:v>
                </c:pt>
                <c:pt idx="99">
                  <c:v>268.5694596390349</c:v>
                </c:pt>
                <c:pt idx="100">
                  <c:v>-242.41107089666548</c:v>
                </c:pt>
                <c:pt idx="101">
                  <c:v>679.5336709537296</c:v>
                </c:pt>
                <c:pt idx="102">
                  <c:v>-550.69905513982303</c:v>
                </c:pt>
                <c:pt idx="103">
                  <c:v>264.86738394993517</c:v>
                </c:pt>
                <c:pt idx="104">
                  <c:v>91.470787627498794</c:v>
                </c:pt>
                <c:pt idx="105">
                  <c:v>-247.49304900567586</c:v>
                </c:pt>
                <c:pt idx="106">
                  <c:v>-337.50262248337094</c:v>
                </c:pt>
                <c:pt idx="107">
                  <c:v>15.247369740467548</c:v>
                </c:pt>
                <c:pt idx="108">
                  <c:v>-595.98124081182686</c:v>
                </c:pt>
                <c:pt idx="109">
                  <c:v>-491.77470260541668</c:v>
                </c:pt>
                <c:pt idx="110">
                  <c:v>829.08823110444064</c:v>
                </c:pt>
                <c:pt idx="111">
                  <c:v>-486.63323169232535</c:v>
                </c:pt>
                <c:pt idx="112">
                  <c:v>-684.56339721244149</c:v>
                </c:pt>
                <c:pt idx="113">
                  <c:v>242.85726912583777</c:v>
                </c:pt>
                <c:pt idx="114">
                  <c:v>122.58364280996466</c:v>
                </c:pt>
                <c:pt idx="115">
                  <c:v>3.5754317856262787</c:v>
                </c:pt>
              </c:numCache>
            </c:numRef>
          </c:val>
          <c:smooth val="0"/>
          <c:extLst>
            <c:ext xmlns:c16="http://schemas.microsoft.com/office/drawing/2014/chart" uri="{C3380CC4-5D6E-409C-BE32-E72D297353CC}">
              <c16:uniqueId val="{00000000-E134-47B9-8655-C9B84317042E}"/>
            </c:ext>
          </c:extLst>
        </c:ser>
        <c:dLbls>
          <c:showLegendKey val="0"/>
          <c:showVal val="0"/>
          <c:showCatName val="0"/>
          <c:showSerName val="0"/>
          <c:showPercent val="0"/>
          <c:showBubbleSize val="0"/>
        </c:dLbls>
        <c:smooth val="0"/>
        <c:axId val="1551505407"/>
        <c:axId val="1352984303"/>
      </c:lineChart>
      <c:catAx>
        <c:axId val="1551505407"/>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352984303"/>
        <c:crosses val="autoZero"/>
        <c:auto val="1"/>
        <c:lblAlgn val="ctr"/>
        <c:lblOffset val="100"/>
        <c:noMultiLvlLbl val="0"/>
      </c:catAx>
      <c:valAx>
        <c:axId val="1352984303"/>
        <c:scaling>
          <c:orientation val="minMax"/>
        </c:scaling>
        <c:delete val="0"/>
        <c:axPos val="l"/>
        <c:numFmt formatCode="0.00" sourceLinked="0"/>
        <c:majorTickMark val="out"/>
        <c:minorTickMark val="none"/>
        <c:tickLblPos val="nextTo"/>
        <c:txPr>
          <a:bodyPr/>
          <a:lstStyle/>
          <a:p>
            <a:pPr>
              <a:defRPr sz="800" b="0"/>
            </a:pPr>
            <a:endParaRPr lang="en-US"/>
          </a:p>
        </c:txPr>
        <c:crossAx val="1551505407"/>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Forecast and Original Observations</a:t>
            </a:r>
          </a:p>
        </c:rich>
      </c:tx>
      <c:overlay val="0"/>
    </c:title>
    <c:autoTitleDeleted val="0"/>
    <c:plotArea>
      <c:layout/>
      <c:lineChart>
        <c:grouping val="standard"/>
        <c:varyColors val="0"/>
        <c:ser>
          <c:idx val="0"/>
          <c:order val="0"/>
          <c:tx>
            <c:v>South</c:v>
          </c:tx>
          <c:spPr>
            <a:ln>
              <a:solidFill>
                <a:srgbClr val="333399"/>
              </a:solidFill>
              <a:prstDash val="solid"/>
            </a:ln>
          </c:spPr>
          <c:marker>
            <c:symbol val="none"/>
          </c:marker>
          <c:cat>
            <c:strRef>
              <c:f>'Winter''s Forecast(South) a(3)'!$A$85:$A$209</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'Winter''s Forecast(South) a(3)'!$B$85:$B$209</c:f>
              <c:numCache>
                <c:formatCode>0.00</c:formatCode>
                <c:ptCount val="125"/>
                <c:pt idx="0">
                  <c:v>12326</c:v>
                </c:pt>
                <c:pt idx="1">
                  <c:v>13229</c:v>
                </c:pt>
                <c:pt idx="2">
                  <c:v>13278</c:v>
                </c:pt>
                <c:pt idx="3">
                  <c:v>13592</c:v>
                </c:pt>
                <c:pt idx="4">
                  <c:v>14711</c:v>
                </c:pt>
                <c:pt idx="5">
                  <c:v>16204</c:v>
                </c:pt>
                <c:pt idx="6">
                  <c:v>17507</c:v>
                </c:pt>
                <c:pt idx="7">
                  <c:v>18537</c:v>
                </c:pt>
                <c:pt idx="8">
                  <c:v>13933</c:v>
                </c:pt>
                <c:pt idx="9">
                  <c:v>16680</c:v>
                </c:pt>
                <c:pt idx="10">
                  <c:v>14793</c:v>
                </c:pt>
                <c:pt idx="11">
                  <c:v>12742</c:v>
                </c:pt>
                <c:pt idx="12">
                  <c:v>11850</c:v>
                </c:pt>
                <c:pt idx="13">
                  <c:v>13061</c:v>
                </c:pt>
                <c:pt idx="14">
                  <c:v>13179</c:v>
                </c:pt>
                <c:pt idx="15">
                  <c:v>14340</c:v>
                </c:pt>
                <c:pt idx="16">
                  <c:v>15465</c:v>
                </c:pt>
                <c:pt idx="17">
                  <c:v>16643</c:v>
                </c:pt>
                <c:pt idx="18">
                  <c:v>17772</c:v>
                </c:pt>
                <c:pt idx="19">
                  <c:v>16582</c:v>
                </c:pt>
                <c:pt idx="20">
                  <c:v>15786</c:v>
                </c:pt>
                <c:pt idx="21">
                  <c:v>15861</c:v>
                </c:pt>
                <c:pt idx="22">
                  <c:v>15179</c:v>
                </c:pt>
                <c:pt idx="23">
                  <c:v>13520</c:v>
                </c:pt>
                <c:pt idx="24">
                  <c:v>12332</c:v>
                </c:pt>
                <c:pt idx="25">
                  <c:v>12433</c:v>
                </c:pt>
                <c:pt idx="26">
                  <c:v>12867</c:v>
                </c:pt>
                <c:pt idx="27">
                  <c:v>13505</c:v>
                </c:pt>
                <c:pt idx="28">
                  <c:v>16212</c:v>
                </c:pt>
                <c:pt idx="29">
                  <c:v>17088</c:v>
                </c:pt>
                <c:pt idx="30">
                  <c:v>17147</c:v>
                </c:pt>
                <c:pt idx="31">
                  <c:v>19881</c:v>
                </c:pt>
                <c:pt idx="32">
                  <c:v>14570</c:v>
                </c:pt>
                <c:pt idx="33">
                  <c:v>15410</c:v>
                </c:pt>
                <c:pt idx="34">
                  <c:v>14320</c:v>
                </c:pt>
                <c:pt idx="35">
                  <c:v>14438</c:v>
                </c:pt>
                <c:pt idx="36">
                  <c:v>14051</c:v>
                </c:pt>
                <c:pt idx="37">
                  <c:v>14050</c:v>
                </c:pt>
                <c:pt idx="38">
                  <c:v>14626</c:v>
                </c:pt>
                <c:pt idx="39">
                  <c:v>14553</c:v>
                </c:pt>
                <c:pt idx="40">
                  <c:v>15190</c:v>
                </c:pt>
                <c:pt idx="41">
                  <c:v>17059</c:v>
                </c:pt>
                <c:pt idx="42">
                  <c:v>18541</c:v>
                </c:pt>
                <c:pt idx="43">
                  <c:v>18567</c:v>
                </c:pt>
                <c:pt idx="44">
                  <c:v>16684</c:v>
                </c:pt>
                <c:pt idx="45">
                  <c:v>14523</c:v>
                </c:pt>
                <c:pt idx="46">
                  <c:v>13316</c:v>
                </c:pt>
                <c:pt idx="47">
                  <c:v>14466</c:v>
                </c:pt>
                <c:pt idx="48">
                  <c:v>15045</c:v>
                </c:pt>
                <c:pt idx="49">
                  <c:v>15028</c:v>
                </c:pt>
                <c:pt idx="50">
                  <c:v>15187</c:v>
                </c:pt>
                <c:pt idx="51">
                  <c:v>14271</c:v>
                </c:pt>
                <c:pt idx="52">
                  <c:v>15923</c:v>
                </c:pt>
                <c:pt idx="53">
                  <c:v>16632</c:v>
                </c:pt>
                <c:pt idx="54">
                  <c:v>18432</c:v>
                </c:pt>
                <c:pt idx="55">
                  <c:v>19743</c:v>
                </c:pt>
                <c:pt idx="56">
                  <c:v>15632</c:v>
                </c:pt>
                <c:pt idx="57">
                  <c:v>16404</c:v>
                </c:pt>
                <c:pt idx="58">
                  <c:v>15572</c:v>
                </c:pt>
                <c:pt idx="59">
                  <c:v>14310</c:v>
                </c:pt>
                <c:pt idx="60">
                  <c:v>16102</c:v>
                </c:pt>
                <c:pt idx="61">
                  <c:v>14942</c:v>
                </c:pt>
                <c:pt idx="62">
                  <c:v>14242</c:v>
                </c:pt>
                <c:pt idx="63">
                  <c:v>15039</c:v>
                </c:pt>
                <c:pt idx="64">
                  <c:v>15683</c:v>
                </c:pt>
                <c:pt idx="65">
                  <c:v>19459</c:v>
                </c:pt>
                <c:pt idx="66">
                  <c:v>18687</c:v>
                </c:pt>
                <c:pt idx="67">
                  <c:v>20459</c:v>
                </c:pt>
                <c:pt idx="68">
                  <c:v>17137</c:v>
                </c:pt>
                <c:pt idx="69">
                  <c:v>16594</c:v>
                </c:pt>
                <c:pt idx="70">
                  <c:v>16274</c:v>
                </c:pt>
                <c:pt idx="71">
                  <c:v>15103</c:v>
                </c:pt>
                <c:pt idx="72">
                  <c:v>15413</c:v>
                </c:pt>
                <c:pt idx="73">
                  <c:v>14860</c:v>
                </c:pt>
                <c:pt idx="74">
                  <c:v>14334</c:v>
                </c:pt>
                <c:pt idx="75">
                  <c:v>14398</c:v>
                </c:pt>
                <c:pt idx="76">
                  <c:v>16939</c:v>
                </c:pt>
                <c:pt idx="77">
                  <c:v>19489</c:v>
                </c:pt>
                <c:pt idx="78">
                  <c:v>20016</c:v>
                </c:pt>
                <c:pt idx="79">
                  <c:v>22099</c:v>
                </c:pt>
                <c:pt idx="80">
                  <c:v>16689</c:v>
                </c:pt>
                <c:pt idx="81">
                  <c:v>16804</c:v>
                </c:pt>
                <c:pt idx="82">
                  <c:v>16543</c:v>
                </c:pt>
                <c:pt idx="83">
                  <c:v>16045</c:v>
                </c:pt>
                <c:pt idx="84">
                  <c:v>16896</c:v>
                </c:pt>
                <c:pt idx="85">
                  <c:v>16546</c:v>
                </c:pt>
                <c:pt idx="86">
                  <c:v>15039</c:v>
                </c:pt>
                <c:pt idx="87">
                  <c:v>16872</c:v>
                </c:pt>
                <c:pt idx="88">
                  <c:v>17068</c:v>
                </c:pt>
                <c:pt idx="89">
                  <c:v>17368</c:v>
                </c:pt>
                <c:pt idx="90">
                  <c:v>20287</c:v>
                </c:pt>
                <c:pt idx="91">
                  <c:v>22133</c:v>
                </c:pt>
                <c:pt idx="92">
                  <c:v>18534</c:v>
                </c:pt>
                <c:pt idx="93">
                  <c:v>18978</c:v>
                </c:pt>
                <c:pt idx="94">
                  <c:v>15800</c:v>
                </c:pt>
                <c:pt idx="95">
                  <c:v>16379</c:v>
                </c:pt>
                <c:pt idx="96">
                  <c:v>15686</c:v>
                </c:pt>
                <c:pt idx="97">
                  <c:v>17447</c:v>
                </c:pt>
                <c:pt idx="98">
                  <c:v>15853</c:v>
                </c:pt>
                <c:pt idx="99">
                  <c:v>16267</c:v>
                </c:pt>
                <c:pt idx="100">
                  <c:v>18437</c:v>
                </c:pt>
                <c:pt idx="101">
                  <c:v>19665</c:v>
                </c:pt>
                <c:pt idx="102">
                  <c:v>22022</c:v>
                </c:pt>
                <c:pt idx="103">
                  <c:v>21775</c:v>
                </c:pt>
                <c:pt idx="104">
                  <c:v>18675</c:v>
                </c:pt>
                <c:pt idx="105">
                  <c:v>18869</c:v>
                </c:pt>
                <c:pt idx="106">
                  <c:v>17166</c:v>
                </c:pt>
                <c:pt idx="107">
                  <c:v>16354</c:v>
                </c:pt>
                <c:pt idx="108">
                  <c:v>16719</c:v>
                </c:pt>
                <c:pt idx="109">
                  <c:v>16232</c:v>
                </c:pt>
                <c:pt idx="110">
                  <c:v>15923</c:v>
                </c:pt>
                <c:pt idx="111">
                  <c:v>17682</c:v>
                </c:pt>
                <c:pt idx="112">
                  <c:v>18182</c:v>
                </c:pt>
                <c:pt idx="113">
                  <c:v>19671</c:v>
                </c:pt>
                <c:pt idx="114">
                  <c:v>21998</c:v>
                </c:pt>
                <c:pt idx="115">
                  <c:v>23076</c:v>
                </c:pt>
                <c:pt idx="116">
                  <c:v>18848</c:v>
                </c:pt>
              </c:numCache>
            </c:numRef>
          </c:val>
          <c:smooth val="0"/>
          <c:extLst>
            <c:ext xmlns:c16="http://schemas.microsoft.com/office/drawing/2014/chart" uri="{C3380CC4-5D6E-409C-BE32-E72D297353CC}">
              <c16:uniqueId val="{00000000-97F0-4BD6-AB1B-0167B02A5475}"/>
            </c:ext>
          </c:extLst>
        </c:ser>
        <c:ser>
          <c:idx val="1"/>
          <c:order val="1"/>
          <c:tx>
            <c:v>Forecast</c:v>
          </c:tx>
          <c:spPr>
            <a:ln>
              <a:solidFill>
                <a:srgbClr val="993366"/>
              </a:solidFill>
              <a:prstDash val="solid"/>
            </a:ln>
          </c:spPr>
          <c:marker>
            <c:symbol val="none"/>
          </c:marker>
          <c:cat>
            <c:strRef>
              <c:f>'Winter''s Forecast(South) a(3)'!$A$85:$A$209</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'Winter''s Forecast(South) a(3)'!$F$85:$F$209</c:f>
              <c:numCache>
                <c:formatCode>0.00</c:formatCode>
                <c:ptCount val="125"/>
                <c:pt idx="1">
                  <c:v>12385.845838028177</c:v>
                </c:pt>
                <c:pt idx="2">
                  <c:v>12175.90610580722</c:v>
                </c:pt>
                <c:pt idx="3">
                  <c:v>12711.008983326306</c:v>
                </c:pt>
                <c:pt idx="4">
                  <c:v>14059.06350882775</c:v>
                </c:pt>
                <c:pt idx="5">
                  <c:v>15469.475425621027</c:v>
                </c:pt>
                <c:pt idx="6">
                  <c:v>16558.631378417878</c:v>
                </c:pt>
                <c:pt idx="7">
                  <c:v>17549.549009850809</c:v>
                </c:pt>
                <c:pt idx="8">
                  <c:v>14486.663583560185</c:v>
                </c:pt>
                <c:pt idx="9">
                  <c:v>14729.983475383522</c:v>
                </c:pt>
                <c:pt idx="10">
                  <c:v>13783.339811809592</c:v>
                </c:pt>
                <c:pt idx="11">
                  <c:v>13285.937538996792</c:v>
                </c:pt>
                <c:pt idx="12">
                  <c:v>13309.077979467038</c:v>
                </c:pt>
                <c:pt idx="13">
                  <c:v>13266.698599615915</c:v>
                </c:pt>
                <c:pt idx="14">
                  <c:v>12962.251054886048</c:v>
                </c:pt>
                <c:pt idx="15">
                  <c:v>13459.05836057582</c:v>
                </c:pt>
                <c:pt idx="16">
                  <c:v>14879.819376088732</c:v>
                </c:pt>
                <c:pt idx="17">
                  <c:v>16361.628096193441</c:v>
                </c:pt>
                <c:pt idx="18">
                  <c:v>17473.213796868142</c:v>
                </c:pt>
                <c:pt idx="19">
                  <c:v>18463.414814032069</c:v>
                </c:pt>
                <c:pt idx="20">
                  <c:v>15068.6713077398</c:v>
                </c:pt>
                <c:pt idx="21">
                  <c:v>15413.366418297703</c:v>
                </c:pt>
                <c:pt idx="22">
                  <c:v>14316.290279381443</c:v>
                </c:pt>
                <c:pt idx="23">
                  <c:v>13785.493365589931</c:v>
                </c:pt>
                <c:pt idx="24">
                  <c:v>13829.287421212512</c:v>
                </c:pt>
                <c:pt idx="25">
                  <c:v>13785.041230737301</c:v>
                </c:pt>
                <c:pt idx="26">
                  <c:v>13388.317085829962</c:v>
                </c:pt>
                <c:pt idx="27">
                  <c:v>13845.39413919555</c:v>
                </c:pt>
                <c:pt idx="28">
                  <c:v>15208.497656617512</c:v>
                </c:pt>
                <c:pt idx="29">
                  <c:v>16753.468966012617</c:v>
                </c:pt>
                <c:pt idx="30">
                  <c:v>17893.961856621536</c:v>
                </c:pt>
                <c:pt idx="31">
                  <c:v>18827.989357600345</c:v>
                </c:pt>
                <c:pt idx="32">
                  <c:v>15538.404146102888</c:v>
                </c:pt>
                <c:pt idx="33">
                  <c:v>15769.093051200791</c:v>
                </c:pt>
                <c:pt idx="34">
                  <c:v>14592.090518403333</c:v>
                </c:pt>
                <c:pt idx="35">
                  <c:v>13972.093060973039</c:v>
                </c:pt>
                <c:pt idx="36">
                  <c:v>14068.252279269025</c:v>
                </c:pt>
                <c:pt idx="37">
                  <c:v>14129.725099568905</c:v>
                </c:pt>
                <c:pt idx="38">
                  <c:v>13812.61286638248</c:v>
                </c:pt>
                <c:pt idx="39">
                  <c:v>14382.177138349174</c:v>
                </c:pt>
                <c:pt idx="40">
                  <c:v>15837.307872343701</c:v>
                </c:pt>
                <c:pt idx="41">
                  <c:v>17312.71917948316</c:v>
                </c:pt>
                <c:pt idx="42">
                  <c:v>18444.28704079735</c:v>
                </c:pt>
                <c:pt idx="43">
                  <c:v>19470.185621099139</c:v>
                </c:pt>
                <c:pt idx="44">
                  <c:v>15950.879693296973</c:v>
                </c:pt>
                <c:pt idx="45">
                  <c:v>16311.244464201924</c:v>
                </c:pt>
                <c:pt idx="46">
                  <c:v>14999.318782973229</c:v>
                </c:pt>
                <c:pt idx="47">
                  <c:v>14265.569952277478</c:v>
                </c:pt>
                <c:pt idx="48">
                  <c:v>14343.327530800589</c:v>
                </c:pt>
                <c:pt idx="49">
                  <c:v>14456.413720011631</c:v>
                </c:pt>
                <c:pt idx="50">
                  <c:v>14176.331362038169</c:v>
                </c:pt>
                <c:pt idx="51">
                  <c:v>14772.760709835373</c:v>
                </c:pt>
                <c:pt idx="52">
                  <c:v>16213.424842434175</c:v>
                </c:pt>
                <c:pt idx="53">
                  <c:v>17751.652638682019</c:v>
                </c:pt>
                <c:pt idx="54">
                  <c:v>18845.670385391273</c:v>
                </c:pt>
                <c:pt idx="55">
                  <c:v>19854.409557211493</c:v>
                </c:pt>
                <c:pt idx="56">
                  <c:v>16311.935065515047</c:v>
                </c:pt>
                <c:pt idx="57">
                  <c:v>16576.196359362555</c:v>
                </c:pt>
                <c:pt idx="58">
                  <c:v>15350.315846663176</c:v>
                </c:pt>
                <c:pt idx="59">
                  <c:v>14730.550495515254</c:v>
                </c:pt>
                <c:pt idx="60">
                  <c:v>14764.893328145101</c:v>
                </c:pt>
                <c:pt idx="61">
                  <c:v>14923.891269476473</c:v>
                </c:pt>
                <c:pt idx="62">
                  <c:v>14593.871553217357</c:v>
                </c:pt>
                <c:pt idx="63">
                  <c:v>15104.403166330281</c:v>
                </c:pt>
                <c:pt idx="64">
                  <c:v>16611.319197743225</c:v>
                </c:pt>
                <c:pt idx="65">
                  <c:v>18137.122676343228</c:v>
                </c:pt>
                <c:pt idx="66">
                  <c:v>19440.113596288022</c:v>
                </c:pt>
                <c:pt idx="67">
                  <c:v>20454.574676455348</c:v>
                </c:pt>
                <c:pt idx="68">
                  <c:v>16810.62934763532</c:v>
                </c:pt>
                <c:pt idx="69">
                  <c:v>17155.778306147899</c:v>
                </c:pt>
                <c:pt idx="70">
                  <c:v>15860.403074359581</c:v>
                </c:pt>
                <c:pt idx="71">
                  <c:v>15231.265735018496</c:v>
                </c:pt>
                <c:pt idx="72">
                  <c:v>15287.249135254187</c:v>
                </c:pt>
                <c:pt idx="73">
                  <c:v>15360.89622214562</c:v>
                </c:pt>
                <c:pt idx="74">
                  <c:v>14984.083051020843</c:v>
                </c:pt>
                <c:pt idx="75">
                  <c:v>15485.979101064169</c:v>
                </c:pt>
                <c:pt idx="76">
                  <c:v>16950.269313622157</c:v>
                </c:pt>
                <c:pt idx="77">
                  <c:v>18578.9342591801</c:v>
                </c:pt>
                <c:pt idx="78">
                  <c:v>19878.87235738862</c:v>
                </c:pt>
                <c:pt idx="79">
                  <c:v>20982.849044243536</c:v>
                </c:pt>
                <c:pt idx="80">
                  <c:v>17308.394418504038</c:v>
                </c:pt>
                <c:pt idx="81">
                  <c:v>17593.438726275403</c:v>
                </c:pt>
                <c:pt idx="82">
                  <c:v>16249.954298657669</c:v>
                </c:pt>
                <c:pt idx="83">
                  <c:v>15595.515116600029</c:v>
                </c:pt>
                <c:pt idx="84">
                  <c:v>15693.226451890618</c:v>
                </c:pt>
                <c:pt idx="85">
                  <c:v>15844.185618496183</c:v>
                </c:pt>
                <c:pt idx="86">
                  <c:v>15538.725716401255</c:v>
                </c:pt>
                <c:pt idx="87">
                  <c:v>16070.533676675663</c:v>
                </c:pt>
                <c:pt idx="88">
                  <c:v>17738.934379491344</c:v>
                </c:pt>
                <c:pt idx="89">
                  <c:v>19389.94554857253</c:v>
                </c:pt>
                <c:pt idx="90">
                  <c:v>20519.851033290262</c:v>
                </c:pt>
                <c:pt idx="91">
                  <c:v>21629.70130512954</c:v>
                </c:pt>
                <c:pt idx="92">
                  <c:v>17802.920241882577</c:v>
                </c:pt>
                <c:pt idx="93">
                  <c:v>18193.639137969119</c:v>
                </c:pt>
                <c:pt idx="94">
                  <c:v>16908.025251749757</c:v>
                </c:pt>
                <c:pt idx="95">
                  <c:v>16129.505099115413</c:v>
                </c:pt>
                <c:pt idx="96">
                  <c:v>16213.87847659084</c:v>
                </c:pt>
                <c:pt idx="97">
                  <c:v>16242.528016288883</c:v>
                </c:pt>
                <c:pt idx="98">
                  <c:v>15962.021892976176</c:v>
                </c:pt>
                <c:pt idx="99">
                  <c:v>16536.931344873221</c:v>
                </c:pt>
                <c:pt idx="100">
                  <c:v>18167.144993303173</c:v>
                </c:pt>
                <c:pt idx="101">
                  <c:v>19931.190310149708</c:v>
                </c:pt>
                <c:pt idx="102">
                  <c:v>21228.145351127048</c:v>
                </c:pt>
                <c:pt idx="103">
                  <c:v>22451.816077502735</c:v>
                </c:pt>
                <c:pt idx="104">
                  <c:v>18408.070387188396</c:v>
                </c:pt>
                <c:pt idx="105">
                  <c:v>18775.235020931981</c:v>
                </c:pt>
                <c:pt idx="106">
                  <c:v>17400.207444027386</c:v>
                </c:pt>
                <c:pt idx="107">
                  <c:v>16659.422248467596</c:v>
                </c:pt>
                <c:pt idx="108">
                  <c:v>16705.191324365012</c:v>
                </c:pt>
                <c:pt idx="109">
                  <c:v>16773.195342734452</c:v>
                </c:pt>
                <c:pt idx="110">
                  <c:v>16358.58116244968</c:v>
                </c:pt>
                <c:pt idx="111">
                  <c:v>16922.988375214201</c:v>
                </c:pt>
                <c:pt idx="112">
                  <c:v>18670.938047469885</c:v>
                </c:pt>
                <c:pt idx="113">
                  <c:v>20423.048913846997</c:v>
                </c:pt>
                <c:pt idx="114">
                  <c:v>21714.535041548763</c:v>
                </c:pt>
                <c:pt idx="115">
                  <c:v>22925.4933545003</c:v>
                </c:pt>
                <c:pt idx="116">
                  <c:v>18844.519779228973</c:v>
                </c:pt>
                <c:pt idx="117">
                  <c:v>19199.846246449742</c:v>
                </c:pt>
                <c:pt idx="118">
                  <c:v>17786.490534420114</c:v>
                </c:pt>
                <c:pt idx="119">
                  <c:v>17044.645075583987</c:v>
                </c:pt>
                <c:pt idx="120">
                  <c:v>17112.796125570403</c:v>
                </c:pt>
                <c:pt idx="121">
                  <c:v>17180.485319132928</c:v>
                </c:pt>
                <c:pt idx="122">
                  <c:v>16793.273319527372</c:v>
                </c:pt>
                <c:pt idx="123">
                  <c:v>17404.466599153842</c:v>
                </c:pt>
                <c:pt idx="124">
                  <c:v>19140.047118777304</c:v>
                </c:pt>
              </c:numCache>
            </c:numRef>
          </c:val>
          <c:smooth val="0"/>
          <c:extLst>
            <c:ext xmlns:c16="http://schemas.microsoft.com/office/drawing/2014/chart" uri="{C3380CC4-5D6E-409C-BE32-E72D297353CC}">
              <c16:uniqueId val="{00000001-97F0-4BD6-AB1B-0167B02A5475}"/>
            </c:ext>
          </c:extLst>
        </c:ser>
        <c:dLbls>
          <c:showLegendKey val="0"/>
          <c:showVal val="0"/>
          <c:showCatName val="0"/>
          <c:showSerName val="0"/>
          <c:showPercent val="0"/>
          <c:showBubbleSize val="0"/>
        </c:dLbls>
        <c:smooth val="0"/>
        <c:axId val="1714214000"/>
        <c:axId val="1714220240"/>
      </c:lineChart>
      <c:catAx>
        <c:axId val="1714214000"/>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714220240"/>
        <c:crosses val="autoZero"/>
        <c:auto val="1"/>
        <c:lblAlgn val="ctr"/>
        <c:lblOffset val="100"/>
        <c:noMultiLvlLbl val="0"/>
      </c:catAx>
      <c:valAx>
        <c:axId val="1714220240"/>
        <c:scaling>
          <c:orientation val="minMax"/>
        </c:scaling>
        <c:delete val="0"/>
        <c:axPos val="l"/>
        <c:numFmt formatCode="0.00" sourceLinked="0"/>
        <c:majorTickMark val="out"/>
        <c:minorTickMark val="none"/>
        <c:tickLblPos val="nextTo"/>
        <c:txPr>
          <a:bodyPr/>
          <a:lstStyle/>
          <a:p>
            <a:pPr>
              <a:defRPr sz="800" b="0"/>
            </a:pPr>
            <a:endParaRPr lang="en-US"/>
          </a:p>
        </c:txPr>
        <c:crossAx val="1714214000"/>
        <c:crosses val="autoZero"/>
        <c:crossBetween val="between"/>
      </c:valAx>
    </c:plotArea>
    <c:legend>
      <c:legendPos val="r"/>
      <c:overlay val="0"/>
      <c:spPr>
        <a:ln>
          <a:solidFill>
            <a:srgbClr val="000000"/>
          </a:solidFill>
          <a:prstDash val="solid"/>
        </a:ln>
      </c:sp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Original Observations</a:t>
            </a:r>
          </a:p>
        </c:rich>
      </c:tx>
      <c:overlay val="0"/>
    </c:title>
    <c:autoTitleDeleted val="0"/>
    <c:plotArea>
      <c:layout/>
      <c:lineChart>
        <c:grouping val="standard"/>
        <c:varyColors val="0"/>
        <c:ser>
          <c:idx val="0"/>
          <c:order val="0"/>
          <c:tx>
            <c:v>South</c:v>
          </c:tx>
          <c:spPr>
            <a:ln>
              <a:solidFill>
                <a:srgbClr val="333399"/>
              </a:solidFill>
              <a:prstDash val="solid"/>
            </a:ln>
          </c:spPr>
          <c:marker>
            <c:symbol val="none"/>
          </c:marker>
          <c:cat>
            <c:strRef>
              <c:f>'Winter''s Forecast(South) a(3)'!$A$85:$A$201</c:f>
              <c:strCache>
                <c:ptCount val="117"/>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strCache>
            </c:strRef>
          </c:cat>
          <c:val>
            <c:numRef>
              <c:f>'Winter''s Forecast(South) a(3)'!$B$85:$B$201</c:f>
              <c:numCache>
                <c:formatCode>0.00</c:formatCode>
                <c:ptCount val="117"/>
                <c:pt idx="0">
                  <c:v>12326</c:v>
                </c:pt>
                <c:pt idx="1">
                  <c:v>13229</c:v>
                </c:pt>
                <c:pt idx="2">
                  <c:v>13278</c:v>
                </c:pt>
                <c:pt idx="3">
                  <c:v>13592</c:v>
                </c:pt>
                <c:pt idx="4">
                  <c:v>14711</c:v>
                </c:pt>
                <c:pt idx="5">
                  <c:v>16204</c:v>
                </c:pt>
                <c:pt idx="6">
                  <c:v>17507</c:v>
                </c:pt>
                <c:pt idx="7">
                  <c:v>18537</c:v>
                </c:pt>
                <c:pt idx="8">
                  <c:v>13933</c:v>
                </c:pt>
                <c:pt idx="9">
                  <c:v>16680</c:v>
                </c:pt>
                <c:pt idx="10">
                  <c:v>14793</c:v>
                </c:pt>
                <c:pt idx="11">
                  <c:v>12742</c:v>
                </c:pt>
                <c:pt idx="12">
                  <c:v>11850</c:v>
                </c:pt>
                <c:pt idx="13">
                  <c:v>13061</c:v>
                </c:pt>
                <c:pt idx="14">
                  <c:v>13179</c:v>
                </c:pt>
                <c:pt idx="15">
                  <c:v>14340</c:v>
                </c:pt>
                <c:pt idx="16">
                  <c:v>15465</c:v>
                </c:pt>
                <c:pt idx="17">
                  <c:v>16643</c:v>
                </c:pt>
                <c:pt idx="18">
                  <c:v>17772</c:v>
                </c:pt>
                <c:pt idx="19">
                  <c:v>16582</c:v>
                </c:pt>
                <c:pt idx="20">
                  <c:v>15786</c:v>
                </c:pt>
                <c:pt idx="21">
                  <c:v>15861</c:v>
                </c:pt>
                <c:pt idx="22">
                  <c:v>15179</c:v>
                </c:pt>
                <c:pt idx="23">
                  <c:v>13520</c:v>
                </c:pt>
                <c:pt idx="24">
                  <c:v>12332</c:v>
                </c:pt>
                <c:pt idx="25">
                  <c:v>12433</c:v>
                </c:pt>
                <c:pt idx="26">
                  <c:v>12867</c:v>
                </c:pt>
                <c:pt idx="27">
                  <c:v>13505</c:v>
                </c:pt>
                <c:pt idx="28">
                  <c:v>16212</c:v>
                </c:pt>
                <c:pt idx="29">
                  <c:v>17088</c:v>
                </c:pt>
                <c:pt idx="30">
                  <c:v>17147</c:v>
                </c:pt>
                <c:pt idx="31">
                  <c:v>19881</c:v>
                </c:pt>
                <c:pt idx="32">
                  <c:v>14570</c:v>
                </c:pt>
                <c:pt idx="33">
                  <c:v>15410</c:v>
                </c:pt>
                <c:pt idx="34">
                  <c:v>14320</c:v>
                </c:pt>
                <c:pt idx="35">
                  <c:v>14438</c:v>
                </c:pt>
                <c:pt idx="36">
                  <c:v>14051</c:v>
                </c:pt>
                <c:pt idx="37">
                  <c:v>14050</c:v>
                </c:pt>
                <c:pt idx="38">
                  <c:v>14626</c:v>
                </c:pt>
                <c:pt idx="39">
                  <c:v>14553</c:v>
                </c:pt>
                <c:pt idx="40">
                  <c:v>15190</c:v>
                </c:pt>
                <c:pt idx="41">
                  <c:v>17059</c:v>
                </c:pt>
                <c:pt idx="42">
                  <c:v>18541</c:v>
                </c:pt>
                <c:pt idx="43">
                  <c:v>18567</c:v>
                </c:pt>
                <c:pt idx="44">
                  <c:v>16684</c:v>
                </c:pt>
                <c:pt idx="45">
                  <c:v>14523</c:v>
                </c:pt>
                <c:pt idx="46">
                  <c:v>13316</c:v>
                </c:pt>
                <c:pt idx="47">
                  <c:v>14466</c:v>
                </c:pt>
                <c:pt idx="48">
                  <c:v>15045</c:v>
                </c:pt>
                <c:pt idx="49">
                  <c:v>15028</c:v>
                </c:pt>
                <c:pt idx="50">
                  <c:v>15187</c:v>
                </c:pt>
                <c:pt idx="51">
                  <c:v>14271</c:v>
                </c:pt>
                <c:pt idx="52">
                  <c:v>15923</c:v>
                </c:pt>
                <c:pt idx="53">
                  <c:v>16632</c:v>
                </c:pt>
                <c:pt idx="54">
                  <c:v>18432</c:v>
                </c:pt>
                <c:pt idx="55">
                  <c:v>19743</c:v>
                </c:pt>
                <c:pt idx="56">
                  <c:v>15632</c:v>
                </c:pt>
                <c:pt idx="57">
                  <c:v>16404</c:v>
                </c:pt>
                <c:pt idx="58">
                  <c:v>15572</c:v>
                </c:pt>
                <c:pt idx="59">
                  <c:v>14310</c:v>
                </c:pt>
                <c:pt idx="60">
                  <c:v>16102</c:v>
                </c:pt>
                <c:pt idx="61">
                  <c:v>14942</c:v>
                </c:pt>
                <c:pt idx="62">
                  <c:v>14242</c:v>
                </c:pt>
                <c:pt idx="63">
                  <c:v>15039</c:v>
                </c:pt>
                <c:pt idx="64">
                  <c:v>15683</c:v>
                </c:pt>
                <c:pt idx="65">
                  <c:v>19459</c:v>
                </c:pt>
                <c:pt idx="66">
                  <c:v>18687</c:v>
                </c:pt>
                <c:pt idx="67">
                  <c:v>20459</c:v>
                </c:pt>
                <c:pt idx="68">
                  <c:v>17137</c:v>
                </c:pt>
                <c:pt idx="69">
                  <c:v>16594</c:v>
                </c:pt>
                <c:pt idx="70">
                  <c:v>16274</c:v>
                </c:pt>
                <c:pt idx="71">
                  <c:v>15103</c:v>
                </c:pt>
                <c:pt idx="72">
                  <c:v>15413</c:v>
                </c:pt>
                <c:pt idx="73">
                  <c:v>14860</c:v>
                </c:pt>
                <c:pt idx="74">
                  <c:v>14334</c:v>
                </c:pt>
                <c:pt idx="75">
                  <c:v>14398</c:v>
                </c:pt>
                <c:pt idx="76">
                  <c:v>16939</c:v>
                </c:pt>
                <c:pt idx="77">
                  <c:v>19489</c:v>
                </c:pt>
                <c:pt idx="78">
                  <c:v>20016</c:v>
                </c:pt>
                <c:pt idx="79">
                  <c:v>22099</c:v>
                </c:pt>
                <c:pt idx="80">
                  <c:v>16689</c:v>
                </c:pt>
                <c:pt idx="81">
                  <c:v>16804</c:v>
                </c:pt>
                <c:pt idx="82">
                  <c:v>16543</c:v>
                </c:pt>
                <c:pt idx="83">
                  <c:v>16045</c:v>
                </c:pt>
                <c:pt idx="84">
                  <c:v>16896</c:v>
                </c:pt>
                <c:pt idx="85">
                  <c:v>16546</c:v>
                </c:pt>
                <c:pt idx="86">
                  <c:v>15039</c:v>
                </c:pt>
                <c:pt idx="87">
                  <c:v>16872</c:v>
                </c:pt>
                <c:pt idx="88">
                  <c:v>17068</c:v>
                </c:pt>
                <c:pt idx="89">
                  <c:v>17368</c:v>
                </c:pt>
                <c:pt idx="90">
                  <c:v>20287</c:v>
                </c:pt>
                <c:pt idx="91">
                  <c:v>22133</c:v>
                </c:pt>
                <c:pt idx="92">
                  <c:v>18534</c:v>
                </c:pt>
                <c:pt idx="93">
                  <c:v>18978</c:v>
                </c:pt>
                <c:pt idx="94">
                  <c:v>15800</c:v>
                </c:pt>
                <c:pt idx="95">
                  <c:v>16379</c:v>
                </c:pt>
                <c:pt idx="96">
                  <c:v>15686</c:v>
                </c:pt>
                <c:pt idx="97">
                  <c:v>17447</c:v>
                </c:pt>
                <c:pt idx="98">
                  <c:v>15853</c:v>
                </c:pt>
                <c:pt idx="99">
                  <c:v>16267</c:v>
                </c:pt>
                <c:pt idx="100">
                  <c:v>18437</c:v>
                </c:pt>
                <c:pt idx="101">
                  <c:v>19665</c:v>
                </c:pt>
                <c:pt idx="102">
                  <c:v>22022</c:v>
                </c:pt>
                <c:pt idx="103">
                  <c:v>21775</c:v>
                </c:pt>
                <c:pt idx="104">
                  <c:v>18675</c:v>
                </c:pt>
                <c:pt idx="105">
                  <c:v>18869</c:v>
                </c:pt>
                <c:pt idx="106">
                  <c:v>17166</c:v>
                </c:pt>
                <c:pt idx="107">
                  <c:v>16354</c:v>
                </c:pt>
                <c:pt idx="108">
                  <c:v>16719</c:v>
                </c:pt>
                <c:pt idx="109">
                  <c:v>16232</c:v>
                </c:pt>
                <c:pt idx="110">
                  <c:v>15923</c:v>
                </c:pt>
                <c:pt idx="111">
                  <c:v>17682</c:v>
                </c:pt>
                <c:pt idx="112">
                  <c:v>18182</c:v>
                </c:pt>
                <c:pt idx="113">
                  <c:v>19671</c:v>
                </c:pt>
                <c:pt idx="114">
                  <c:v>21998</c:v>
                </c:pt>
                <c:pt idx="115">
                  <c:v>23076</c:v>
                </c:pt>
                <c:pt idx="116">
                  <c:v>18848</c:v>
                </c:pt>
              </c:numCache>
            </c:numRef>
          </c:val>
          <c:smooth val="0"/>
          <c:extLst>
            <c:ext xmlns:c16="http://schemas.microsoft.com/office/drawing/2014/chart" uri="{C3380CC4-5D6E-409C-BE32-E72D297353CC}">
              <c16:uniqueId val="{00000000-B214-423F-B7E0-8020D4460AB5}"/>
            </c:ext>
          </c:extLst>
        </c:ser>
        <c:dLbls>
          <c:showLegendKey val="0"/>
          <c:showVal val="0"/>
          <c:showCatName val="0"/>
          <c:showSerName val="0"/>
          <c:showPercent val="0"/>
          <c:showBubbleSize val="0"/>
        </c:dLbls>
        <c:smooth val="0"/>
        <c:axId val="1714201520"/>
        <c:axId val="1714200560"/>
      </c:lineChart>
      <c:catAx>
        <c:axId val="1714201520"/>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714200560"/>
        <c:crosses val="autoZero"/>
        <c:auto val="1"/>
        <c:lblAlgn val="ctr"/>
        <c:lblOffset val="100"/>
        <c:noMultiLvlLbl val="0"/>
      </c:catAx>
      <c:valAx>
        <c:axId val="1714200560"/>
        <c:scaling>
          <c:orientation val="minMax"/>
        </c:scaling>
        <c:delete val="0"/>
        <c:axPos val="l"/>
        <c:numFmt formatCode="0.00" sourceLinked="0"/>
        <c:majorTickMark val="out"/>
        <c:minorTickMark val="none"/>
        <c:tickLblPos val="nextTo"/>
        <c:txPr>
          <a:bodyPr/>
          <a:lstStyle/>
          <a:p>
            <a:pPr>
              <a:defRPr sz="800" b="0"/>
            </a:pPr>
            <a:endParaRPr lang="en-US"/>
          </a:p>
        </c:txPr>
        <c:crossAx val="1714201520"/>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Forecast Errors</a:t>
            </a:r>
          </a:p>
        </c:rich>
      </c:tx>
      <c:overlay val="0"/>
    </c:title>
    <c:autoTitleDeleted val="0"/>
    <c:plotArea>
      <c:layout/>
      <c:lineChart>
        <c:grouping val="standard"/>
        <c:varyColors val="0"/>
        <c:ser>
          <c:idx val="0"/>
          <c:order val="0"/>
          <c:tx>
            <c:v>Errors</c:v>
          </c:tx>
          <c:spPr>
            <a:ln>
              <a:solidFill>
                <a:srgbClr val="333399"/>
              </a:solidFill>
              <a:prstDash val="solid"/>
            </a:ln>
          </c:spPr>
          <c:marker>
            <c:symbol val="none"/>
          </c:marker>
          <c:cat>
            <c:strRef>
              <c:f>'Winter''s Forecast(South) a(3)'!$A$85:$A$201</c:f>
              <c:strCache>
                <c:ptCount val="117"/>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strCache>
            </c:strRef>
          </c:cat>
          <c:val>
            <c:numRef>
              <c:f>'Winter''s Forecast(South) a(3)'!$G$86:$G$209</c:f>
              <c:numCache>
                <c:formatCode>0.00</c:formatCode>
                <c:ptCount val="124"/>
                <c:pt idx="0">
                  <c:v>843.15416197182276</c:v>
                </c:pt>
                <c:pt idx="1">
                  <c:v>1102.0938941927798</c:v>
                </c:pt>
                <c:pt idx="2">
                  <c:v>880.99101667369359</c:v>
                </c:pt>
                <c:pt idx="3">
                  <c:v>651.93649117224959</c:v>
                </c:pt>
                <c:pt idx="4">
                  <c:v>734.52457437897283</c:v>
                </c:pt>
                <c:pt idx="5">
                  <c:v>948.3686215821217</c:v>
                </c:pt>
                <c:pt idx="6">
                  <c:v>987.45099014919106</c:v>
                </c:pt>
                <c:pt idx="7">
                  <c:v>-553.66358356018463</c:v>
                </c:pt>
                <c:pt idx="8">
                  <c:v>1950.0165246164779</c:v>
                </c:pt>
                <c:pt idx="9">
                  <c:v>1009.660188190408</c:v>
                </c:pt>
                <c:pt idx="10">
                  <c:v>-543.93753899679177</c:v>
                </c:pt>
                <c:pt idx="11">
                  <c:v>-1459.0779794670379</c:v>
                </c:pt>
                <c:pt idx="12">
                  <c:v>-205.69859961591465</c:v>
                </c:pt>
                <c:pt idx="13">
                  <c:v>216.74894511395178</c:v>
                </c:pt>
                <c:pt idx="14">
                  <c:v>880.94163942417981</c:v>
                </c:pt>
                <c:pt idx="15">
                  <c:v>585.18062391126841</c:v>
                </c:pt>
                <c:pt idx="16">
                  <c:v>281.3719038065592</c:v>
                </c:pt>
                <c:pt idx="17">
                  <c:v>298.7862031318582</c:v>
                </c:pt>
                <c:pt idx="18">
                  <c:v>-1881.4148140320685</c:v>
                </c:pt>
                <c:pt idx="19">
                  <c:v>717.32869226020011</c:v>
                </c:pt>
                <c:pt idx="20">
                  <c:v>447.63358170229731</c:v>
                </c:pt>
                <c:pt idx="21">
                  <c:v>862.70972061855718</c:v>
                </c:pt>
                <c:pt idx="22">
                  <c:v>-265.49336558993127</c:v>
                </c:pt>
                <c:pt idx="23">
                  <c:v>-1497.2874212125116</c:v>
                </c:pt>
                <c:pt idx="24">
                  <c:v>-1352.0412307373008</c:v>
                </c:pt>
                <c:pt idx="25">
                  <c:v>-521.3170858299618</c:v>
                </c:pt>
                <c:pt idx="26">
                  <c:v>-340.39413919555045</c:v>
                </c:pt>
                <c:pt idx="27">
                  <c:v>1003.5023433824881</c:v>
                </c:pt>
                <c:pt idx="28">
                  <c:v>334.53103398738313</c:v>
                </c:pt>
                <c:pt idx="29">
                  <c:v>-746.96185662153584</c:v>
                </c:pt>
                <c:pt idx="30">
                  <c:v>1053.0106423996549</c:v>
                </c:pt>
                <c:pt idx="31">
                  <c:v>-968.40414610288826</c:v>
                </c:pt>
                <c:pt idx="32">
                  <c:v>-359.0930512007908</c:v>
                </c:pt>
                <c:pt idx="33">
                  <c:v>-272.09051840333268</c:v>
                </c:pt>
                <c:pt idx="34">
                  <c:v>465.90693902696148</c:v>
                </c:pt>
                <c:pt idx="35">
                  <c:v>-17.252279269025166</c:v>
                </c:pt>
                <c:pt idx="36">
                  <c:v>-79.725099568904625</c:v>
                </c:pt>
                <c:pt idx="37">
                  <c:v>813.38713361751979</c:v>
                </c:pt>
                <c:pt idx="38">
                  <c:v>170.82286165082587</c:v>
                </c:pt>
                <c:pt idx="39">
                  <c:v>-647.30787234370109</c:v>
                </c:pt>
                <c:pt idx="40">
                  <c:v>-253.71917948315968</c:v>
                </c:pt>
                <c:pt idx="41">
                  <c:v>96.712959202650381</c:v>
                </c:pt>
                <c:pt idx="42">
                  <c:v>-903.1856210991391</c:v>
                </c:pt>
                <c:pt idx="43">
                  <c:v>733.12030670302738</c:v>
                </c:pt>
                <c:pt idx="44">
                  <c:v>-1788.2444642019236</c:v>
                </c:pt>
                <c:pt idx="45">
                  <c:v>-1683.3187829732287</c:v>
                </c:pt>
                <c:pt idx="46">
                  <c:v>200.43004772252243</c:v>
                </c:pt>
                <c:pt idx="47">
                  <c:v>701.67246919941135</c:v>
                </c:pt>
                <c:pt idx="48">
                  <c:v>571.58627998836891</c:v>
                </c:pt>
                <c:pt idx="49">
                  <c:v>1010.6686379618313</c:v>
                </c:pt>
                <c:pt idx="50">
                  <c:v>-501.76070983537284</c:v>
                </c:pt>
                <c:pt idx="51">
                  <c:v>-290.42484243417493</c:v>
                </c:pt>
                <c:pt idx="52">
                  <c:v>-1119.6526386820187</c:v>
                </c:pt>
                <c:pt idx="53">
                  <c:v>-413.67038539127316</c:v>
                </c:pt>
                <c:pt idx="54">
                  <c:v>-111.40955721149294</c:v>
                </c:pt>
                <c:pt idx="55">
                  <c:v>-679.93506551504652</c:v>
                </c:pt>
                <c:pt idx="56">
                  <c:v>-172.19635936255509</c:v>
                </c:pt>
                <c:pt idx="57">
                  <c:v>221.68415333682424</c:v>
                </c:pt>
                <c:pt idx="58">
                  <c:v>-420.55049551525371</c:v>
                </c:pt>
                <c:pt idx="59">
                  <c:v>1337.1066718548991</c:v>
                </c:pt>
                <c:pt idx="60">
                  <c:v>18.108730523526901</c:v>
                </c:pt>
                <c:pt idx="61">
                  <c:v>-351.87155321735736</c:v>
                </c:pt>
                <c:pt idx="62">
                  <c:v>-65.403166330281238</c:v>
                </c:pt>
                <c:pt idx="63">
                  <c:v>-928.31919774322523</c:v>
                </c:pt>
                <c:pt idx="64">
                  <c:v>1321.8773236567722</c:v>
                </c:pt>
                <c:pt idx="65">
                  <c:v>-753.11359628802165</c:v>
                </c:pt>
                <c:pt idx="66">
                  <c:v>4.4253235446522012</c:v>
                </c:pt>
                <c:pt idx="67">
                  <c:v>326.3706523646797</c:v>
                </c:pt>
                <c:pt idx="68">
                  <c:v>-561.77830614789855</c:v>
                </c:pt>
                <c:pt idx="69">
                  <c:v>413.5969256404187</c:v>
                </c:pt>
                <c:pt idx="70">
                  <c:v>-128.26573501849634</c:v>
                </c:pt>
                <c:pt idx="71">
                  <c:v>125.75086474581258</c:v>
                </c:pt>
                <c:pt idx="72">
                  <c:v>-500.89622214562041</c:v>
                </c:pt>
                <c:pt idx="73">
                  <c:v>-650.08305102084341</c:v>
                </c:pt>
                <c:pt idx="74">
                  <c:v>-1087.9791010641693</c:v>
                </c:pt>
                <c:pt idx="75">
                  <c:v>-11.269313622156915</c:v>
                </c:pt>
                <c:pt idx="76">
                  <c:v>910.06574081990038</c:v>
                </c:pt>
                <c:pt idx="77">
                  <c:v>137.12764261138</c:v>
                </c:pt>
                <c:pt idx="78">
                  <c:v>1116.1509557564641</c:v>
                </c:pt>
                <c:pt idx="79">
                  <c:v>-619.39441850403819</c:v>
                </c:pt>
                <c:pt idx="80">
                  <c:v>-789.43872627540259</c:v>
                </c:pt>
                <c:pt idx="81">
                  <c:v>293.04570134233109</c:v>
                </c:pt>
                <c:pt idx="82">
                  <c:v>449.4848833999713</c:v>
                </c:pt>
                <c:pt idx="83">
                  <c:v>1202.7735481093823</c:v>
                </c:pt>
                <c:pt idx="84">
                  <c:v>701.81438150381655</c:v>
                </c:pt>
                <c:pt idx="85">
                  <c:v>-499.72571640125534</c:v>
                </c:pt>
                <c:pt idx="86">
                  <c:v>801.46632332433728</c:v>
                </c:pt>
                <c:pt idx="87">
                  <c:v>-670.93437949134386</c:v>
                </c:pt>
                <c:pt idx="88">
                  <c:v>-2021.9455485725302</c:v>
                </c:pt>
                <c:pt idx="89">
                  <c:v>-232.85103329026242</c:v>
                </c:pt>
                <c:pt idx="90">
                  <c:v>503.29869487046017</c:v>
                </c:pt>
                <c:pt idx="91">
                  <c:v>731.0797581174229</c:v>
                </c:pt>
                <c:pt idx="92">
                  <c:v>784.36086203088053</c:v>
                </c:pt>
                <c:pt idx="93">
                  <c:v>-1108.0252517497574</c:v>
                </c:pt>
                <c:pt idx="94">
                  <c:v>249.49490088458697</c:v>
                </c:pt>
                <c:pt idx="95">
                  <c:v>-527.87847659084036</c:v>
                </c:pt>
                <c:pt idx="96">
                  <c:v>1204.471983711117</c:v>
                </c:pt>
                <c:pt idx="97">
                  <c:v>-109.02189297617588</c:v>
                </c:pt>
                <c:pt idx="98">
                  <c:v>-269.93134487322095</c:v>
                </c:pt>
                <c:pt idx="99">
                  <c:v>269.85500669682733</c:v>
                </c:pt>
                <c:pt idx="100">
                  <c:v>-266.19031014970824</c:v>
                </c:pt>
                <c:pt idx="101">
                  <c:v>793.85464887295166</c:v>
                </c:pt>
                <c:pt idx="102">
                  <c:v>-676.81607750273542</c:v>
                </c:pt>
                <c:pt idx="103">
                  <c:v>266.92961281160387</c:v>
                </c:pt>
                <c:pt idx="104">
                  <c:v>93.764979068018874</c:v>
                </c:pt>
                <c:pt idx="105">
                  <c:v>-234.20744402738637</c:v>
                </c:pt>
                <c:pt idx="106">
                  <c:v>-305.42224846759564</c:v>
                </c:pt>
                <c:pt idx="107">
                  <c:v>13.808675634987594</c:v>
                </c:pt>
                <c:pt idx="108">
                  <c:v>-541.19534273445242</c:v>
                </c:pt>
                <c:pt idx="109">
                  <c:v>-435.58116244968005</c:v>
                </c:pt>
                <c:pt idx="110">
                  <c:v>759.01162478579863</c:v>
                </c:pt>
                <c:pt idx="111">
                  <c:v>-488.93804746988462</c:v>
                </c:pt>
                <c:pt idx="112">
                  <c:v>-752.04891384699658</c:v>
                </c:pt>
                <c:pt idx="113">
                  <c:v>283.46495845123718</c:v>
                </c:pt>
                <c:pt idx="114">
                  <c:v>150.50664549969952</c:v>
                </c:pt>
                <c:pt idx="115">
                  <c:v>3.4802207710272342</c:v>
                </c:pt>
              </c:numCache>
            </c:numRef>
          </c:val>
          <c:smooth val="0"/>
          <c:extLst>
            <c:ext xmlns:c16="http://schemas.microsoft.com/office/drawing/2014/chart" uri="{C3380CC4-5D6E-409C-BE32-E72D297353CC}">
              <c16:uniqueId val="{00000000-2999-4516-AC30-28E43081F028}"/>
            </c:ext>
          </c:extLst>
        </c:ser>
        <c:dLbls>
          <c:showLegendKey val="0"/>
          <c:showVal val="0"/>
          <c:showCatName val="0"/>
          <c:showSerName val="0"/>
          <c:showPercent val="0"/>
          <c:showBubbleSize val="0"/>
        </c:dLbls>
        <c:smooth val="0"/>
        <c:axId val="1714219280"/>
        <c:axId val="1714202000"/>
      </c:lineChart>
      <c:catAx>
        <c:axId val="1714219280"/>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714202000"/>
        <c:crosses val="autoZero"/>
        <c:auto val="1"/>
        <c:lblAlgn val="ctr"/>
        <c:lblOffset val="100"/>
        <c:noMultiLvlLbl val="0"/>
      </c:catAx>
      <c:valAx>
        <c:axId val="1714202000"/>
        <c:scaling>
          <c:orientation val="minMax"/>
        </c:scaling>
        <c:delete val="0"/>
        <c:axPos val="l"/>
        <c:numFmt formatCode="0.00" sourceLinked="0"/>
        <c:majorTickMark val="out"/>
        <c:minorTickMark val="none"/>
        <c:tickLblPos val="nextTo"/>
        <c:txPr>
          <a:bodyPr/>
          <a:lstStyle/>
          <a:p>
            <a:pPr>
              <a:defRPr sz="800" b="0"/>
            </a:pPr>
            <a:endParaRPr lang="en-US"/>
          </a:p>
        </c:txPr>
        <c:crossAx val="1714219280"/>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Forecast and Original Observations</a:t>
            </a:r>
          </a:p>
        </c:rich>
      </c:tx>
      <c:layout/>
      <c:overlay val="0"/>
    </c:title>
    <c:autoTitleDeleted val="0"/>
    <c:plotArea>
      <c:layout/>
      <c:lineChart>
        <c:grouping val="standard"/>
        <c:varyColors val="0"/>
        <c:ser>
          <c:idx val="0"/>
          <c:order val="0"/>
          <c:tx>
            <c:v>South</c:v>
          </c:tx>
          <c:spPr>
            <a:ln>
              <a:solidFill>
                <a:srgbClr val="333399"/>
              </a:solidFill>
              <a:prstDash val="solid"/>
            </a:ln>
          </c:spPr>
          <c:marker>
            <c:symbol val="none"/>
          </c:marker>
          <c:cat>
            <c:strRef>
              <c:f>'Simple Expo.(South)'!$A$146:$A$270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'Simple Expo.(South)'!$B$146:$B$270</c:f>
              <c:numCache>
                <c:formatCode>0.00</c:formatCode>
                <c:ptCount val="125"/>
                <c:pt idx="0">
                  <c:v>12326</c:v>
                </c:pt>
                <c:pt idx="1">
                  <c:v>13229</c:v>
                </c:pt>
                <c:pt idx="2">
                  <c:v>13278</c:v>
                </c:pt>
                <c:pt idx="3">
                  <c:v>13592</c:v>
                </c:pt>
                <c:pt idx="4">
                  <c:v>14711</c:v>
                </c:pt>
                <c:pt idx="5">
                  <c:v>16204</c:v>
                </c:pt>
                <c:pt idx="6">
                  <c:v>17507</c:v>
                </c:pt>
                <c:pt idx="7">
                  <c:v>18537</c:v>
                </c:pt>
                <c:pt idx="8">
                  <c:v>13933</c:v>
                </c:pt>
                <c:pt idx="9">
                  <c:v>16680</c:v>
                </c:pt>
                <c:pt idx="10">
                  <c:v>14793</c:v>
                </c:pt>
                <c:pt idx="11">
                  <c:v>12742</c:v>
                </c:pt>
                <c:pt idx="12">
                  <c:v>11850</c:v>
                </c:pt>
                <c:pt idx="13">
                  <c:v>13061</c:v>
                </c:pt>
                <c:pt idx="14">
                  <c:v>13179</c:v>
                </c:pt>
                <c:pt idx="15">
                  <c:v>14340</c:v>
                </c:pt>
                <c:pt idx="16">
                  <c:v>15465</c:v>
                </c:pt>
                <c:pt idx="17">
                  <c:v>16643</c:v>
                </c:pt>
                <c:pt idx="18">
                  <c:v>17772</c:v>
                </c:pt>
                <c:pt idx="19">
                  <c:v>16582</c:v>
                </c:pt>
                <c:pt idx="20">
                  <c:v>15786</c:v>
                </c:pt>
                <c:pt idx="21">
                  <c:v>15861</c:v>
                </c:pt>
                <c:pt idx="22">
                  <c:v>15179</c:v>
                </c:pt>
                <c:pt idx="23">
                  <c:v>13520</c:v>
                </c:pt>
                <c:pt idx="24">
                  <c:v>12332</c:v>
                </c:pt>
                <c:pt idx="25">
                  <c:v>12433</c:v>
                </c:pt>
                <c:pt idx="26">
                  <c:v>12867</c:v>
                </c:pt>
                <c:pt idx="27">
                  <c:v>13505</c:v>
                </c:pt>
                <c:pt idx="28">
                  <c:v>16212</c:v>
                </c:pt>
                <c:pt idx="29">
                  <c:v>17088</c:v>
                </c:pt>
                <c:pt idx="30">
                  <c:v>17147</c:v>
                </c:pt>
                <c:pt idx="31">
                  <c:v>19881</c:v>
                </c:pt>
                <c:pt idx="32">
                  <c:v>14570</c:v>
                </c:pt>
                <c:pt idx="33">
                  <c:v>15410</c:v>
                </c:pt>
                <c:pt idx="34">
                  <c:v>14320</c:v>
                </c:pt>
                <c:pt idx="35">
                  <c:v>14438</c:v>
                </c:pt>
                <c:pt idx="36">
                  <c:v>14051</c:v>
                </c:pt>
                <c:pt idx="37">
                  <c:v>14050</c:v>
                </c:pt>
                <c:pt idx="38">
                  <c:v>14626</c:v>
                </c:pt>
                <c:pt idx="39">
                  <c:v>14553</c:v>
                </c:pt>
                <c:pt idx="40">
                  <c:v>15190</c:v>
                </c:pt>
                <c:pt idx="41">
                  <c:v>17059</c:v>
                </c:pt>
                <c:pt idx="42">
                  <c:v>18541</c:v>
                </c:pt>
                <c:pt idx="43">
                  <c:v>18567</c:v>
                </c:pt>
                <c:pt idx="44">
                  <c:v>16684</c:v>
                </c:pt>
                <c:pt idx="45">
                  <c:v>14523</c:v>
                </c:pt>
                <c:pt idx="46">
                  <c:v>13316</c:v>
                </c:pt>
                <c:pt idx="47">
                  <c:v>14466</c:v>
                </c:pt>
                <c:pt idx="48">
                  <c:v>15045</c:v>
                </c:pt>
                <c:pt idx="49">
                  <c:v>15028</c:v>
                </c:pt>
                <c:pt idx="50">
                  <c:v>15187</c:v>
                </c:pt>
                <c:pt idx="51">
                  <c:v>14271</c:v>
                </c:pt>
                <c:pt idx="52">
                  <c:v>15923</c:v>
                </c:pt>
                <c:pt idx="53">
                  <c:v>16632</c:v>
                </c:pt>
                <c:pt idx="54">
                  <c:v>18432</c:v>
                </c:pt>
                <c:pt idx="55">
                  <c:v>19743</c:v>
                </c:pt>
                <c:pt idx="56">
                  <c:v>15632</c:v>
                </c:pt>
                <c:pt idx="57">
                  <c:v>16404</c:v>
                </c:pt>
                <c:pt idx="58">
                  <c:v>15572</c:v>
                </c:pt>
                <c:pt idx="59">
                  <c:v>14310</c:v>
                </c:pt>
                <c:pt idx="60">
                  <c:v>16102</c:v>
                </c:pt>
                <c:pt idx="61">
                  <c:v>14942</c:v>
                </c:pt>
                <c:pt idx="62">
                  <c:v>14242</c:v>
                </c:pt>
                <c:pt idx="63">
                  <c:v>15039</c:v>
                </c:pt>
                <c:pt idx="64">
                  <c:v>15683</c:v>
                </c:pt>
                <c:pt idx="65">
                  <c:v>19459</c:v>
                </c:pt>
                <c:pt idx="66">
                  <c:v>18687</c:v>
                </c:pt>
                <c:pt idx="67">
                  <c:v>20459</c:v>
                </c:pt>
                <c:pt idx="68">
                  <c:v>17137</c:v>
                </c:pt>
                <c:pt idx="69">
                  <c:v>16594</c:v>
                </c:pt>
                <c:pt idx="70">
                  <c:v>16274</c:v>
                </c:pt>
                <c:pt idx="71">
                  <c:v>15103</c:v>
                </c:pt>
                <c:pt idx="72">
                  <c:v>15413</c:v>
                </c:pt>
                <c:pt idx="73">
                  <c:v>14860</c:v>
                </c:pt>
                <c:pt idx="74">
                  <c:v>14334</c:v>
                </c:pt>
                <c:pt idx="75">
                  <c:v>14398</c:v>
                </c:pt>
                <c:pt idx="76">
                  <c:v>16939</c:v>
                </c:pt>
                <c:pt idx="77">
                  <c:v>19489</c:v>
                </c:pt>
                <c:pt idx="78">
                  <c:v>20016</c:v>
                </c:pt>
                <c:pt idx="79">
                  <c:v>22099</c:v>
                </c:pt>
                <c:pt idx="80">
                  <c:v>16689</c:v>
                </c:pt>
                <c:pt idx="81">
                  <c:v>16804</c:v>
                </c:pt>
                <c:pt idx="82">
                  <c:v>16543</c:v>
                </c:pt>
                <c:pt idx="83">
                  <c:v>16045</c:v>
                </c:pt>
                <c:pt idx="84">
                  <c:v>16896</c:v>
                </c:pt>
                <c:pt idx="85">
                  <c:v>16546</c:v>
                </c:pt>
                <c:pt idx="86">
                  <c:v>15039</c:v>
                </c:pt>
                <c:pt idx="87">
                  <c:v>16872</c:v>
                </c:pt>
                <c:pt idx="88">
                  <c:v>17068</c:v>
                </c:pt>
                <c:pt idx="89">
                  <c:v>17368</c:v>
                </c:pt>
                <c:pt idx="90">
                  <c:v>20287</c:v>
                </c:pt>
                <c:pt idx="91">
                  <c:v>22133</c:v>
                </c:pt>
                <c:pt idx="92">
                  <c:v>18534</c:v>
                </c:pt>
                <c:pt idx="93">
                  <c:v>18978</c:v>
                </c:pt>
                <c:pt idx="94">
                  <c:v>15800</c:v>
                </c:pt>
                <c:pt idx="95">
                  <c:v>16379</c:v>
                </c:pt>
                <c:pt idx="96">
                  <c:v>15686</c:v>
                </c:pt>
                <c:pt idx="97">
                  <c:v>17447</c:v>
                </c:pt>
                <c:pt idx="98">
                  <c:v>15853</c:v>
                </c:pt>
                <c:pt idx="99">
                  <c:v>16267</c:v>
                </c:pt>
                <c:pt idx="100">
                  <c:v>18437</c:v>
                </c:pt>
                <c:pt idx="101">
                  <c:v>19665</c:v>
                </c:pt>
                <c:pt idx="102">
                  <c:v>22022</c:v>
                </c:pt>
                <c:pt idx="103">
                  <c:v>21775</c:v>
                </c:pt>
                <c:pt idx="104">
                  <c:v>18675</c:v>
                </c:pt>
                <c:pt idx="105">
                  <c:v>18869</c:v>
                </c:pt>
                <c:pt idx="106">
                  <c:v>17166</c:v>
                </c:pt>
                <c:pt idx="107">
                  <c:v>16354</c:v>
                </c:pt>
                <c:pt idx="108">
                  <c:v>16719</c:v>
                </c:pt>
                <c:pt idx="109">
                  <c:v>16232</c:v>
                </c:pt>
                <c:pt idx="110">
                  <c:v>15923</c:v>
                </c:pt>
                <c:pt idx="111">
                  <c:v>17682</c:v>
                </c:pt>
                <c:pt idx="112">
                  <c:v>18182</c:v>
                </c:pt>
                <c:pt idx="113">
                  <c:v>19671</c:v>
                </c:pt>
                <c:pt idx="114">
                  <c:v>21998</c:v>
                </c:pt>
                <c:pt idx="115">
                  <c:v>23076</c:v>
                </c:pt>
                <c:pt idx="116">
                  <c:v>18848</c:v>
                </c:pt>
              </c:numCache>
            </c:numRef>
          </c:val>
          <c:smooth val="0"/>
          <c:extLst>
            <c:ext xmlns:c16="http://schemas.microsoft.com/office/drawing/2014/chart" uri="{C3380CC4-5D6E-409C-BE32-E72D297353CC}">
              <c16:uniqueId val="{00000000-D1F7-4C5F-88A7-D84F4825FE61}"/>
            </c:ext>
          </c:extLst>
        </c:ser>
        <c:ser>
          <c:idx val="1"/>
          <c:order val="1"/>
          <c:tx>
            <c:v>Forecast</c:v>
          </c:tx>
          <c:spPr>
            <a:ln>
              <a:solidFill>
                <a:srgbClr val="993366"/>
              </a:solidFill>
              <a:prstDash val="solid"/>
            </a:ln>
          </c:spPr>
          <c:marker>
            <c:symbol val="none"/>
          </c:marker>
          <c:cat>
            <c:strRef>
              <c:f>'Simple Expo.(South)'!$A$146:$A$270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'Simple Expo.(South)'!$H$146:$H$270</c:f>
              <c:numCache>
                <c:formatCode>0.00</c:formatCode>
                <c:ptCount val="125"/>
                <c:pt idx="1">
                  <c:v>12346.196640462695</c:v>
                </c:pt>
                <c:pt idx="2">
                  <c:v>12235.068616300574</c:v>
                </c:pt>
                <c:pt idx="3">
                  <c:v>12895.391372125598</c:v>
                </c:pt>
                <c:pt idx="4">
                  <c:v>14321.867117248459</c:v>
                </c:pt>
                <c:pt idx="5">
                  <c:v>15754.519727769979</c:v>
                </c:pt>
                <c:pt idx="6">
                  <c:v>16863.500610764906</c:v>
                </c:pt>
                <c:pt idx="7">
                  <c:v>17899.099729778594</c:v>
                </c:pt>
                <c:pt idx="8">
                  <c:v>14790.063081789394</c:v>
                </c:pt>
                <c:pt idx="9">
                  <c:v>14836.404433687201</c:v>
                </c:pt>
                <c:pt idx="10">
                  <c:v>14098.086734233686</c:v>
                </c:pt>
                <c:pt idx="11">
                  <c:v>13629.174832790008</c:v>
                </c:pt>
                <c:pt idx="12">
                  <c:v>13450.820809675679</c:v>
                </c:pt>
                <c:pt idx="13">
                  <c:v>13109.834672758523</c:v>
                </c:pt>
                <c:pt idx="14">
                  <c:v>12774.079330570317</c:v>
                </c:pt>
                <c:pt idx="15">
                  <c:v>13303.374787898414</c:v>
                </c:pt>
                <c:pt idx="16">
                  <c:v>14853.970102136436</c:v>
                </c:pt>
                <c:pt idx="17">
                  <c:v>16391.197592088985</c:v>
                </c:pt>
                <c:pt idx="18">
                  <c:v>17493.023344183272</c:v>
                </c:pt>
                <c:pt idx="19">
                  <c:v>18474.711407609906</c:v>
                </c:pt>
                <c:pt idx="20">
                  <c:v>14792.252855282948</c:v>
                </c:pt>
                <c:pt idx="21">
                  <c:v>15264.561884536744</c:v>
                </c:pt>
                <c:pt idx="22">
                  <c:v>14232.836595757099</c:v>
                </c:pt>
                <c:pt idx="23">
                  <c:v>13812.390182894997</c:v>
                </c:pt>
                <c:pt idx="24">
                  <c:v>13769.230449269066</c:v>
                </c:pt>
                <c:pt idx="25">
                  <c:v>13465.864212700979</c:v>
                </c:pt>
                <c:pt idx="26">
                  <c:v>12904.017946592583</c:v>
                </c:pt>
                <c:pt idx="27">
                  <c:v>13334.273219635919</c:v>
                </c:pt>
                <c:pt idx="28">
                  <c:v>14672.77378943895</c:v>
                </c:pt>
                <c:pt idx="29">
                  <c:v>16422.84981331083</c:v>
                </c:pt>
                <c:pt idx="30">
                  <c:v>17626.214268033629</c:v>
                </c:pt>
                <c:pt idx="31">
                  <c:v>18434.232458776722</c:v>
                </c:pt>
                <c:pt idx="32">
                  <c:v>15378.815118614084</c:v>
                </c:pt>
                <c:pt idx="33">
                  <c:v>15445.956128039323</c:v>
                </c:pt>
                <c:pt idx="34">
                  <c:v>14268.158758055302</c:v>
                </c:pt>
                <c:pt idx="35">
                  <c:v>13652.577554924581</c:v>
                </c:pt>
                <c:pt idx="36">
                  <c:v>13853.579873827222</c:v>
                </c:pt>
                <c:pt idx="37">
                  <c:v>13921.049426914095</c:v>
                </c:pt>
                <c:pt idx="38">
                  <c:v>13604.438787391429</c:v>
                </c:pt>
                <c:pt idx="39">
                  <c:v>14306.336873903694</c:v>
                </c:pt>
                <c:pt idx="40">
                  <c:v>15758.185321305731</c:v>
                </c:pt>
                <c:pt idx="41">
                  <c:v>17087.892591295502</c:v>
                </c:pt>
                <c:pt idx="42">
                  <c:v>18166.386285653436</c:v>
                </c:pt>
                <c:pt idx="43">
                  <c:v>19206.089648553196</c:v>
                </c:pt>
                <c:pt idx="44">
                  <c:v>15624.402814351499</c:v>
                </c:pt>
                <c:pt idx="45">
                  <c:v>16125.570862992707</c:v>
                </c:pt>
                <c:pt idx="46">
                  <c:v>14568.467568635015</c:v>
                </c:pt>
                <c:pt idx="47">
                  <c:v>13657.365824766917</c:v>
                </c:pt>
                <c:pt idx="48">
                  <c:v>13863.640201388991</c:v>
                </c:pt>
                <c:pt idx="49">
                  <c:v>14154.25897466915</c:v>
                </c:pt>
                <c:pt idx="50">
                  <c:v>13996.31092104374</c:v>
                </c:pt>
                <c:pt idx="51">
                  <c:v>14751.131918096289</c:v>
                </c:pt>
                <c:pt idx="52">
                  <c:v>16065.671049525708</c:v>
                </c:pt>
                <c:pt idx="53">
                  <c:v>17529.39598680209</c:v>
                </c:pt>
                <c:pt idx="54">
                  <c:v>18426.811771030912</c:v>
                </c:pt>
                <c:pt idx="55">
                  <c:v>19392.125105347284</c:v>
                </c:pt>
                <c:pt idx="56">
                  <c:v>15960.612063226854</c:v>
                </c:pt>
                <c:pt idx="57">
                  <c:v>16147.845097962878</c:v>
                </c:pt>
                <c:pt idx="58">
                  <c:v>14977.992916007232</c:v>
                </c:pt>
                <c:pt idx="59">
                  <c:v>14448.584647421158</c:v>
                </c:pt>
                <c:pt idx="60">
                  <c:v>14441.371697407372</c:v>
                </c:pt>
                <c:pt idx="61">
                  <c:v>14841.623132406497</c:v>
                </c:pt>
                <c:pt idx="62">
                  <c:v>14495.884022258244</c:v>
                </c:pt>
                <c:pt idx="63">
                  <c:v>14929.516139757534</c:v>
                </c:pt>
                <c:pt idx="64">
                  <c:v>16407.860822141611</c:v>
                </c:pt>
                <c:pt idx="65">
                  <c:v>17759.405670989716</c:v>
                </c:pt>
                <c:pt idx="66">
                  <c:v>19296.749344727061</c:v>
                </c:pt>
                <c:pt idx="67">
                  <c:v>20161.068834647864</c:v>
                </c:pt>
                <c:pt idx="68">
                  <c:v>16581.080852665884</c:v>
                </c:pt>
                <c:pt idx="69">
                  <c:v>16982.09185981657</c:v>
                </c:pt>
                <c:pt idx="70">
                  <c:v>15614.223632502262</c:v>
                </c:pt>
                <c:pt idx="71">
                  <c:v>15071.10191984087</c:v>
                </c:pt>
                <c:pt idx="72">
                  <c:v>15103.594939105898</c:v>
                </c:pt>
                <c:pt idx="73">
                  <c:v>15198.508054227992</c:v>
                </c:pt>
                <c:pt idx="74">
                  <c:v>14747.020186346597</c:v>
                </c:pt>
                <c:pt idx="75">
                  <c:v>15151.939986755438</c:v>
                </c:pt>
                <c:pt idx="76">
                  <c:v>16437.420891922942</c:v>
                </c:pt>
                <c:pt idx="77">
                  <c:v>18095.303246661992</c:v>
                </c:pt>
                <c:pt idx="78">
                  <c:v>19580.328014108723</c:v>
                </c:pt>
                <c:pt idx="79">
                  <c:v>20708.55484836741</c:v>
                </c:pt>
                <c:pt idx="80">
                  <c:v>17232.598048343021</c:v>
                </c:pt>
                <c:pt idx="81">
                  <c:v>17391.304316870875</c:v>
                </c:pt>
                <c:pt idx="82">
                  <c:v>15950.746578705857</c:v>
                </c:pt>
                <c:pt idx="83">
                  <c:v>15378.22548163697</c:v>
                </c:pt>
                <c:pt idx="84">
                  <c:v>15555.212607528454</c:v>
                </c:pt>
                <c:pt idx="85">
                  <c:v>15884.757252270532</c:v>
                </c:pt>
                <c:pt idx="86">
                  <c:v>15636.994911401713</c:v>
                </c:pt>
                <c:pt idx="87">
                  <c:v>16028.883120313827</c:v>
                </c:pt>
                <c:pt idx="88">
                  <c:v>17796.328166431573</c:v>
                </c:pt>
                <c:pt idx="89">
                  <c:v>19276.568519808097</c:v>
                </c:pt>
                <c:pt idx="90">
                  <c:v>20041.49196921226</c:v>
                </c:pt>
                <c:pt idx="91">
                  <c:v>21148.540166690746</c:v>
                </c:pt>
                <c:pt idx="92">
                  <c:v>17517.905846969639</c:v>
                </c:pt>
                <c:pt idx="93">
                  <c:v>18040.246776197171</c:v>
                </c:pt>
                <c:pt idx="94">
                  <c:v>16869.640057065862</c:v>
                </c:pt>
                <c:pt idx="95">
                  <c:v>15897.02186921095</c:v>
                </c:pt>
                <c:pt idx="96">
                  <c:v>16032.969761049655</c:v>
                </c:pt>
                <c:pt idx="97">
                  <c:v>15980.556415733845</c:v>
                </c:pt>
                <c:pt idx="98">
                  <c:v>15908.200964544048</c:v>
                </c:pt>
                <c:pt idx="99">
                  <c:v>16436.384738010976</c:v>
                </c:pt>
                <c:pt idx="100">
                  <c:v>17991.923100963817</c:v>
                </c:pt>
                <c:pt idx="101">
                  <c:v>19780.865518886403</c:v>
                </c:pt>
                <c:pt idx="102">
                  <c:v>21009.479404874273</c:v>
                </c:pt>
                <c:pt idx="103">
                  <c:v>22349.912065273951</c:v>
                </c:pt>
                <c:pt idx="104">
                  <c:v>18213.267126024504</c:v>
                </c:pt>
                <c:pt idx="105">
                  <c:v>18619.483493026262</c:v>
                </c:pt>
                <c:pt idx="106">
                  <c:v>17260.97683406447</c:v>
                </c:pt>
                <c:pt idx="107">
                  <c:v>16482.140692369838</c:v>
                </c:pt>
                <c:pt idx="108">
                  <c:v>16480.704483421647</c:v>
                </c:pt>
                <c:pt idx="109">
                  <c:v>16561.748193549582</c:v>
                </c:pt>
                <c:pt idx="110">
                  <c:v>16078.401759902506</c:v>
                </c:pt>
                <c:pt idx="111">
                  <c:v>16588.917308554679</c:v>
                </c:pt>
                <c:pt idx="112">
                  <c:v>18472.891709268031</c:v>
                </c:pt>
                <c:pt idx="113">
                  <c:v>20124.538372464784</c:v>
                </c:pt>
                <c:pt idx="114">
                  <c:v>21293.676228017179</c:v>
                </c:pt>
                <c:pt idx="115">
                  <c:v>22575.550233925151</c:v>
                </c:pt>
                <c:pt idx="116">
                  <c:v>18597.786328020993</c:v>
                </c:pt>
                <c:pt idx="117">
                  <c:v>18961.657944703427</c:v>
                </c:pt>
                <c:pt idx="118">
                  <c:v>17525.014823279453</c:v>
                </c:pt>
                <c:pt idx="119">
                  <c:v>16755.137932071699</c:v>
                </c:pt>
                <c:pt idx="120">
                  <c:v>16783.219432934289</c:v>
                </c:pt>
                <c:pt idx="121">
                  <c:v>16810.719404433032</c:v>
                </c:pt>
                <c:pt idx="122">
                  <c:v>16394.006991221366</c:v>
                </c:pt>
                <c:pt idx="123">
                  <c:v>16951.637936250943</c:v>
                </c:pt>
                <c:pt idx="124">
                  <c:v>18599.335778306038</c:v>
                </c:pt>
              </c:numCache>
            </c:numRef>
          </c:val>
          <c:smooth val="0"/>
          <c:extLst>
            <c:ext xmlns:c16="http://schemas.microsoft.com/office/drawing/2014/chart" uri="{C3380CC4-5D6E-409C-BE32-E72D297353CC}">
              <c16:uniqueId val="{00000001-D1F7-4C5F-88A7-D84F4825FE61}"/>
            </c:ext>
          </c:extLst>
        </c:ser>
        <c:dLbls>
          <c:showLegendKey val="0"/>
          <c:showVal val="0"/>
          <c:showCatName val="0"/>
          <c:showSerName val="0"/>
          <c:showPercent val="0"/>
          <c:showBubbleSize val="0"/>
        </c:dLbls>
        <c:smooth val="0"/>
        <c:axId val="1551516927"/>
        <c:axId val="1551503967"/>
      </c:lineChart>
      <c:catAx>
        <c:axId val="1551516927"/>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551503967"/>
        <c:crosses val="autoZero"/>
        <c:auto val="1"/>
        <c:lblAlgn val="ctr"/>
        <c:lblOffset val="100"/>
        <c:noMultiLvlLbl val="0"/>
      </c:catAx>
      <c:valAx>
        <c:axId val="1551503967"/>
        <c:scaling>
          <c:orientation val="minMax"/>
        </c:scaling>
        <c:delete val="0"/>
        <c:axPos val="l"/>
        <c:numFmt formatCode="0.00" sourceLinked="0"/>
        <c:majorTickMark val="out"/>
        <c:minorTickMark val="none"/>
        <c:tickLblPos val="nextTo"/>
        <c:txPr>
          <a:bodyPr/>
          <a:lstStyle/>
          <a:p>
            <a:pPr>
              <a:defRPr sz="800" b="0"/>
            </a:pPr>
            <a:endParaRPr lang="en-US"/>
          </a:p>
        </c:txPr>
        <c:crossAx val="1551516927"/>
        <c:crosses val="autoZero"/>
        <c:crossBetween val="between"/>
      </c:valAx>
    </c:plotArea>
    <c:legend>
      <c:legendPos val="r"/>
      <c:layout/>
      <c:overlay val="0"/>
      <c:spPr>
        <a:ln>
          <a:solidFill>
            <a:srgbClr val="000000"/>
          </a:solidFill>
          <a:prstDash val="solid"/>
        </a:ln>
      </c:sp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Original Observations</a:t>
            </a:r>
          </a:p>
        </c:rich>
      </c:tx>
      <c:overlay val="0"/>
    </c:title>
    <c:autoTitleDeleted val="0"/>
    <c:plotArea>
      <c:layout/>
      <c:lineChart>
        <c:grouping val="standard"/>
        <c:varyColors val="0"/>
        <c:ser>
          <c:idx val="0"/>
          <c:order val="0"/>
          <c:tx>
            <c:v>South</c:v>
          </c:tx>
          <c:spPr>
            <a:ln>
              <a:solidFill>
                <a:srgbClr val="333399"/>
              </a:solidFill>
              <a:prstDash val="solid"/>
            </a:ln>
          </c:spPr>
          <c:marker>
            <c:symbol val="none"/>
          </c:marker>
          <c:cat>
            <c:strRef>
              <c:f>'Simple Expo.(South)'!$A$146:$A$262</c:f>
              <c:strCache>
                <c:ptCount val="117"/>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strCache>
            </c:strRef>
          </c:cat>
          <c:val>
            <c:numRef>
              <c:f>'Simple Expo.(South)'!$B$146:$B$262</c:f>
              <c:numCache>
                <c:formatCode>0.00</c:formatCode>
                <c:ptCount val="117"/>
                <c:pt idx="0">
                  <c:v>12326</c:v>
                </c:pt>
                <c:pt idx="1">
                  <c:v>13229</c:v>
                </c:pt>
                <c:pt idx="2">
                  <c:v>13278</c:v>
                </c:pt>
                <c:pt idx="3">
                  <c:v>13592</c:v>
                </c:pt>
                <c:pt idx="4">
                  <c:v>14711</c:v>
                </c:pt>
                <c:pt idx="5">
                  <c:v>16204</c:v>
                </c:pt>
                <c:pt idx="6">
                  <c:v>17507</c:v>
                </c:pt>
                <c:pt idx="7">
                  <c:v>18537</c:v>
                </c:pt>
                <c:pt idx="8">
                  <c:v>13933</c:v>
                </c:pt>
                <c:pt idx="9">
                  <c:v>16680</c:v>
                </c:pt>
                <c:pt idx="10">
                  <c:v>14793</c:v>
                </c:pt>
                <c:pt idx="11">
                  <c:v>12742</c:v>
                </c:pt>
                <c:pt idx="12">
                  <c:v>11850</c:v>
                </c:pt>
                <c:pt idx="13">
                  <c:v>13061</c:v>
                </c:pt>
                <c:pt idx="14">
                  <c:v>13179</c:v>
                </c:pt>
                <c:pt idx="15">
                  <c:v>14340</c:v>
                </c:pt>
                <c:pt idx="16">
                  <c:v>15465</c:v>
                </c:pt>
                <c:pt idx="17">
                  <c:v>16643</c:v>
                </c:pt>
                <c:pt idx="18">
                  <c:v>17772</c:v>
                </c:pt>
                <c:pt idx="19">
                  <c:v>16582</c:v>
                </c:pt>
                <c:pt idx="20">
                  <c:v>15786</c:v>
                </c:pt>
                <c:pt idx="21">
                  <c:v>15861</c:v>
                </c:pt>
                <c:pt idx="22">
                  <c:v>15179</c:v>
                </c:pt>
                <c:pt idx="23">
                  <c:v>13520</c:v>
                </c:pt>
                <c:pt idx="24">
                  <c:v>12332</c:v>
                </c:pt>
                <c:pt idx="25">
                  <c:v>12433</c:v>
                </c:pt>
                <c:pt idx="26">
                  <c:v>12867</c:v>
                </c:pt>
                <c:pt idx="27">
                  <c:v>13505</c:v>
                </c:pt>
                <c:pt idx="28">
                  <c:v>16212</c:v>
                </c:pt>
                <c:pt idx="29">
                  <c:v>17088</c:v>
                </c:pt>
                <c:pt idx="30">
                  <c:v>17147</c:v>
                </c:pt>
                <c:pt idx="31">
                  <c:v>19881</c:v>
                </c:pt>
                <c:pt idx="32">
                  <c:v>14570</c:v>
                </c:pt>
                <c:pt idx="33">
                  <c:v>15410</c:v>
                </c:pt>
                <c:pt idx="34">
                  <c:v>14320</c:v>
                </c:pt>
                <c:pt idx="35">
                  <c:v>14438</c:v>
                </c:pt>
                <c:pt idx="36">
                  <c:v>14051</c:v>
                </c:pt>
                <c:pt idx="37">
                  <c:v>14050</c:v>
                </c:pt>
                <c:pt idx="38">
                  <c:v>14626</c:v>
                </c:pt>
                <c:pt idx="39">
                  <c:v>14553</c:v>
                </c:pt>
                <c:pt idx="40">
                  <c:v>15190</c:v>
                </c:pt>
                <c:pt idx="41">
                  <c:v>17059</c:v>
                </c:pt>
                <c:pt idx="42">
                  <c:v>18541</c:v>
                </c:pt>
                <c:pt idx="43">
                  <c:v>18567</c:v>
                </c:pt>
                <c:pt idx="44">
                  <c:v>16684</c:v>
                </c:pt>
                <c:pt idx="45">
                  <c:v>14523</c:v>
                </c:pt>
                <c:pt idx="46">
                  <c:v>13316</c:v>
                </c:pt>
                <c:pt idx="47">
                  <c:v>14466</c:v>
                </c:pt>
                <c:pt idx="48">
                  <c:v>15045</c:v>
                </c:pt>
                <c:pt idx="49">
                  <c:v>15028</c:v>
                </c:pt>
                <c:pt idx="50">
                  <c:v>15187</c:v>
                </c:pt>
                <c:pt idx="51">
                  <c:v>14271</c:v>
                </c:pt>
                <c:pt idx="52">
                  <c:v>15923</c:v>
                </c:pt>
                <c:pt idx="53">
                  <c:v>16632</c:v>
                </c:pt>
                <c:pt idx="54">
                  <c:v>18432</c:v>
                </c:pt>
                <c:pt idx="55">
                  <c:v>19743</c:v>
                </c:pt>
                <c:pt idx="56">
                  <c:v>15632</c:v>
                </c:pt>
                <c:pt idx="57">
                  <c:v>16404</c:v>
                </c:pt>
                <c:pt idx="58">
                  <c:v>15572</c:v>
                </c:pt>
                <c:pt idx="59">
                  <c:v>14310</c:v>
                </c:pt>
                <c:pt idx="60">
                  <c:v>16102</c:v>
                </c:pt>
                <c:pt idx="61">
                  <c:v>14942</c:v>
                </c:pt>
                <c:pt idx="62">
                  <c:v>14242</c:v>
                </c:pt>
                <c:pt idx="63">
                  <c:v>15039</c:v>
                </c:pt>
                <c:pt idx="64">
                  <c:v>15683</c:v>
                </c:pt>
                <c:pt idx="65">
                  <c:v>19459</c:v>
                </c:pt>
                <c:pt idx="66">
                  <c:v>18687</c:v>
                </c:pt>
                <c:pt idx="67">
                  <c:v>20459</c:v>
                </c:pt>
                <c:pt idx="68">
                  <c:v>17137</c:v>
                </c:pt>
                <c:pt idx="69">
                  <c:v>16594</c:v>
                </c:pt>
                <c:pt idx="70">
                  <c:v>16274</c:v>
                </c:pt>
                <c:pt idx="71">
                  <c:v>15103</c:v>
                </c:pt>
                <c:pt idx="72">
                  <c:v>15413</c:v>
                </c:pt>
                <c:pt idx="73">
                  <c:v>14860</c:v>
                </c:pt>
                <c:pt idx="74">
                  <c:v>14334</c:v>
                </c:pt>
                <c:pt idx="75">
                  <c:v>14398</c:v>
                </c:pt>
                <c:pt idx="76">
                  <c:v>16939</c:v>
                </c:pt>
                <c:pt idx="77">
                  <c:v>19489</c:v>
                </c:pt>
                <c:pt idx="78">
                  <c:v>20016</c:v>
                </c:pt>
                <c:pt idx="79">
                  <c:v>22099</c:v>
                </c:pt>
                <c:pt idx="80">
                  <c:v>16689</c:v>
                </c:pt>
                <c:pt idx="81">
                  <c:v>16804</c:v>
                </c:pt>
                <c:pt idx="82">
                  <c:v>16543</c:v>
                </c:pt>
                <c:pt idx="83">
                  <c:v>16045</c:v>
                </c:pt>
                <c:pt idx="84">
                  <c:v>16896</c:v>
                </c:pt>
                <c:pt idx="85">
                  <c:v>16546</c:v>
                </c:pt>
                <c:pt idx="86">
                  <c:v>15039</c:v>
                </c:pt>
                <c:pt idx="87">
                  <c:v>16872</c:v>
                </c:pt>
                <c:pt idx="88">
                  <c:v>17068</c:v>
                </c:pt>
                <c:pt idx="89">
                  <c:v>17368</c:v>
                </c:pt>
                <c:pt idx="90">
                  <c:v>20287</c:v>
                </c:pt>
                <c:pt idx="91">
                  <c:v>22133</c:v>
                </c:pt>
                <c:pt idx="92">
                  <c:v>18534</c:v>
                </c:pt>
                <c:pt idx="93">
                  <c:v>18978</c:v>
                </c:pt>
                <c:pt idx="94">
                  <c:v>15800</c:v>
                </c:pt>
                <c:pt idx="95">
                  <c:v>16379</c:v>
                </c:pt>
                <c:pt idx="96">
                  <c:v>15686</c:v>
                </c:pt>
                <c:pt idx="97">
                  <c:v>17447</c:v>
                </c:pt>
                <c:pt idx="98">
                  <c:v>15853</c:v>
                </c:pt>
                <c:pt idx="99">
                  <c:v>16267</c:v>
                </c:pt>
                <c:pt idx="100">
                  <c:v>18437</c:v>
                </c:pt>
                <c:pt idx="101">
                  <c:v>19665</c:v>
                </c:pt>
                <c:pt idx="102">
                  <c:v>22022</c:v>
                </c:pt>
                <c:pt idx="103">
                  <c:v>21775</c:v>
                </c:pt>
                <c:pt idx="104">
                  <c:v>18675</c:v>
                </c:pt>
                <c:pt idx="105">
                  <c:v>18869</c:v>
                </c:pt>
                <c:pt idx="106">
                  <c:v>17166</c:v>
                </c:pt>
                <c:pt idx="107">
                  <c:v>16354</c:v>
                </c:pt>
                <c:pt idx="108">
                  <c:v>16719</c:v>
                </c:pt>
                <c:pt idx="109">
                  <c:v>16232</c:v>
                </c:pt>
                <c:pt idx="110">
                  <c:v>15923</c:v>
                </c:pt>
                <c:pt idx="111">
                  <c:v>17682</c:v>
                </c:pt>
                <c:pt idx="112">
                  <c:v>18182</c:v>
                </c:pt>
                <c:pt idx="113">
                  <c:v>19671</c:v>
                </c:pt>
                <c:pt idx="114">
                  <c:v>21998</c:v>
                </c:pt>
                <c:pt idx="115">
                  <c:v>23076</c:v>
                </c:pt>
                <c:pt idx="116">
                  <c:v>18848</c:v>
                </c:pt>
              </c:numCache>
            </c:numRef>
          </c:val>
          <c:smooth val="0"/>
          <c:extLst>
            <c:ext xmlns:c16="http://schemas.microsoft.com/office/drawing/2014/chart" uri="{C3380CC4-5D6E-409C-BE32-E72D297353CC}">
              <c16:uniqueId val="{00000000-9FD0-471E-9EBF-D8FC78DE3DBF}"/>
            </c:ext>
          </c:extLst>
        </c:ser>
        <c:dLbls>
          <c:showLegendKey val="0"/>
          <c:showVal val="0"/>
          <c:showCatName val="0"/>
          <c:showSerName val="0"/>
          <c:showPercent val="0"/>
          <c:showBubbleSize val="0"/>
        </c:dLbls>
        <c:smooth val="0"/>
        <c:axId val="110400335"/>
        <c:axId val="110401775"/>
      </c:lineChart>
      <c:catAx>
        <c:axId val="110400335"/>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10401775"/>
        <c:crosses val="autoZero"/>
        <c:auto val="1"/>
        <c:lblAlgn val="ctr"/>
        <c:lblOffset val="100"/>
        <c:noMultiLvlLbl val="0"/>
      </c:catAx>
      <c:valAx>
        <c:axId val="110401775"/>
        <c:scaling>
          <c:orientation val="minMax"/>
        </c:scaling>
        <c:delete val="0"/>
        <c:axPos val="l"/>
        <c:numFmt formatCode="0.00" sourceLinked="0"/>
        <c:majorTickMark val="out"/>
        <c:minorTickMark val="none"/>
        <c:tickLblPos val="nextTo"/>
        <c:txPr>
          <a:bodyPr/>
          <a:lstStyle/>
          <a:p>
            <a:pPr>
              <a:defRPr sz="800" b="0"/>
            </a:pPr>
            <a:endParaRPr lang="en-US"/>
          </a:p>
        </c:txPr>
        <c:crossAx val="110400335"/>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Forecast Errors</a:t>
            </a:r>
          </a:p>
        </c:rich>
      </c:tx>
      <c:overlay val="0"/>
    </c:title>
    <c:autoTitleDeleted val="0"/>
    <c:plotArea>
      <c:layout/>
      <c:lineChart>
        <c:grouping val="standard"/>
        <c:varyColors val="0"/>
        <c:ser>
          <c:idx val="0"/>
          <c:order val="0"/>
          <c:tx>
            <c:v>Errors</c:v>
          </c:tx>
          <c:spPr>
            <a:ln>
              <a:solidFill>
                <a:srgbClr val="333399"/>
              </a:solidFill>
              <a:prstDash val="solid"/>
            </a:ln>
          </c:spPr>
          <c:marker>
            <c:symbol val="none"/>
          </c:marker>
          <c:cat>
            <c:strRef>
              <c:f>'Simple Expo.(South)'!$A$146:$A$262</c:f>
              <c:strCache>
                <c:ptCount val="117"/>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strCache>
            </c:strRef>
          </c:cat>
          <c:val>
            <c:numRef>
              <c:f>'Simple Expo.(South)'!$I$147:$I$270</c:f>
              <c:numCache>
                <c:formatCode>0.00</c:formatCode>
                <c:ptCount val="124"/>
                <c:pt idx="0">
                  <c:v>882.80335953730537</c:v>
                </c:pt>
                <c:pt idx="1">
                  <c:v>1042.9313836994261</c:v>
                </c:pt>
                <c:pt idx="2">
                  <c:v>696.60862787440237</c:v>
                </c:pt>
                <c:pt idx="3">
                  <c:v>389.13288275154082</c:v>
                </c:pt>
                <c:pt idx="4">
                  <c:v>449.480272230021</c:v>
                </c:pt>
                <c:pt idx="5">
                  <c:v>643.49938923509399</c:v>
                </c:pt>
                <c:pt idx="6">
                  <c:v>637.90027022140566</c:v>
                </c:pt>
                <c:pt idx="7">
                  <c:v>-857.06308178939435</c:v>
                </c:pt>
                <c:pt idx="8">
                  <c:v>1843.5955663127988</c:v>
                </c:pt>
                <c:pt idx="9">
                  <c:v>694.913265766314</c:v>
                </c:pt>
                <c:pt idx="10">
                  <c:v>-887.17483279000771</c:v>
                </c:pt>
                <c:pt idx="11">
                  <c:v>-1600.8208096756789</c:v>
                </c:pt>
                <c:pt idx="12">
                  <c:v>-48.834672758523084</c:v>
                </c:pt>
                <c:pt idx="13">
                  <c:v>404.92066942968268</c:v>
                </c:pt>
                <c:pt idx="14">
                  <c:v>1036.6252121015859</c:v>
                </c:pt>
                <c:pt idx="15">
                  <c:v>611.02989786356375</c:v>
                </c:pt>
                <c:pt idx="16">
                  <c:v>251.8024079110146</c:v>
                </c:pt>
                <c:pt idx="17">
                  <c:v>278.97665581672845</c:v>
                </c:pt>
                <c:pt idx="18">
                  <c:v>-1892.711407609906</c:v>
                </c:pt>
                <c:pt idx="19">
                  <c:v>993.74714471705192</c:v>
                </c:pt>
                <c:pt idx="20">
                  <c:v>596.4381154632556</c:v>
                </c:pt>
                <c:pt idx="21">
                  <c:v>946.16340424290138</c:v>
                </c:pt>
                <c:pt idx="22">
                  <c:v>-292.39018289499654</c:v>
                </c:pt>
                <c:pt idx="23">
                  <c:v>-1437.2304492690655</c:v>
                </c:pt>
                <c:pt idx="24">
                  <c:v>-1032.8642127009789</c:v>
                </c:pt>
                <c:pt idx="25">
                  <c:v>-37.01794659258303</c:v>
                </c:pt>
                <c:pt idx="26">
                  <c:v>170.7267803640807</c:v>
                </c:pt>
                <c:pt idx="27">
                  <c:v>1539.2262105610498</c:v>
                </c:pt>
                <c:pt idx="28">
                  <c:v>665.15018668917037</c:v>
                </c:pt>
                <c:pt idx="29">
                  <c:v>-479.2142680336292</c:v>
                </c:pt>
                <c:pt idx="30">
                  <c:v>1446.7675412232784</c:v>
                </c:pt>
                <c:pt idx="31">
                  <c:v>-808.81511861408399</c:v>
                </c:pt>
                <c:pt idx="32">
                  <c:v>-35.956128039322721</c:v>
                </c:pt>
                <c:pt idx="33">
                  <c:v>51.841241944697686</c:v>
                </c:pt>
                <c:pt idx="34">
                  <c:v>785.42244507541909</c:v>
                </c:pt>
                <c:pt idx="35">
                  <c:v>197.4201261727776</c:v>
                </c:pt>
                <c:pt idx="36">
                  <c:v>128.95057308590549</c:v>
                </c:pt>
                <c:pt idx="37">
                  <c:v>1021.5612126085707</c:v>
                </c:pt>
                <c:pt idx="38">
                  <c:v>246.66312609630586</c:v>
                </c:pt>
                <c:pt idx="39">
                  <c:v>-568.18532130573112</c:v>
                </c:pt>
                <c:pt idx="40">
                  <c:v>-28.892591295501916</c:v>
                </c:pt>
                <c:pt idx="41">
                  <c:v>374.61371434656394</c:v>
                </c:pt>
                <c:pt idx="42">
                  <c:v>-639.08964855319573</c:v>
                </c:pt>
                <c:pt idx="43">
                  <c:v>1059.5971856485012</c:v>
                </c:pt>
                <c:pt idx="44">
                  <c:v>-1602.5708629927067</c:v>
                </c:pt>
                <c:pt idx="45">
                  <c:v>-1252.4675686350147</c:v>
                </c:pt>
                <c:pt idx="46">
                  <c:v>808.63417523308271</c:v>
                </c:pt>
                <c:pt idx="47">
                  <c:v>1181.359798611009</c:v>
                </c:pt>
                <c:pt idx="48">
                  <c:v>873.74102533084988</c:v>
                </c:pt>
                <c:pt idx="49">
                  <c:v>1190.6890789562603</c:v>
                </c:pt>
                <c:pt idx="50">
                  <c:v>-480.13191809628916</c:v>
                </c:pt>
                <c:pt idx="51">
                  <c:v>-142.67104952570844</c:v>
                </c:pt>
                <c:pt idx="52">
                  <c:v>-897.39598680209019</c:v>
                </c:pt>
                <c:pt idx="53">
                  <c:v>5.1882289690875041</c:v>
                </c:pt>
                <c:pt idx="54">
                  <c:v>350.87489465271574</c:v>
                </c:pt>
                <c:pt idx="55">
                  <c:v>-328.61206322685393</c:v>
                </c:pt>
                <c:pt idx="56">
                  <c:v>256.15490203712216</c:v>
                </c:pt>
                <c:pt idx="57">
                  <c:v>594.00708399276846</c:v>
                </c:pt>
                <c:pt idx="58">
                  <c:v>-138.58464742115757</c:v>
                </c:pt>
                <c:pt idx="59">
                  <c:v>1660.6283025926277</c:v>
                </c:pt>
                <c:pt idx="60">
                  <c:v>100.37686759350254</c:v>
                </c:pt>
                <c:pt idx="61">
                  <c:v>-253.88402225824393</c:v>
                </c:pt>
                <c:pt idx="62">
                  <c:v>109.48386024246611</c:v>
                </c:pt>
                <c:pt idx="63">
                  <c:v>-724.8608221416107</c:v>
                </c:pt>
                <c:pt idx="64">
                  <c:v>1699.5943290102841</c:v>
                </c:pt>
                <c:pt idx="65">
                  <c:v>-609.74934472706082</c:v>
                </c:pt>
                <c:pt idx="66">
                  <c:v>297.9311653521363</c:v>
                </c:pt>
                <c:pt idx="67">
                  <c:v>555.91914733411613</c:v>
                </c:pt>
                <c:pt idx="68">
                  <c:v>-388.09185981656992</c:v>
                </c:pt>
                <c:pt idx="69">
                  <c:v>659.77636749773774</c:v>
                </c:pt>
                <c:pt idx="70">
                  <c:v>31.898080159129677</c:v>
                </c:pt>
                <c:pt idx="71">
                  <c:v>309.40506089410155</c:v>
                </c:pt>
                <c:pt idx="72">
                  <c:v>-338.50805422799203</c:v>
                </c:pt>
                <c:pt idx="73">
                  <c:v>-413.02018634659726</c:v>
                </c:pt>
                <c:pt idx="74">
                  <c:v>-753.93998675543844</c:v>
                </c:pt>
                <c:pt idx="75">
                  <c:v>501.57910807705775</c:v>
                </c:pt>
                <c:pt idx="76">
                  <c:v>1393.6967533380084</c:v>
                </c:pt>
                <c:pt idx="77">
                  <c:v>435.67198589127656</c:v>
                </c:pt>
                <c:pt idx="78">
                  <c:v>1390.4451516325898</c:v>
                </c:pt>
                <c:pt idx="79">
                  <c:v>-543.59804834302122</c:v>
                </c:pt>
                <c:pt idx="80">
                  <c:v>-587.30431687087548</c:v>
                </c:pt>
                <c:pt idx="81">
                  <c:v>592.25342129414275</c:v>
                </c:pt>
                <c:pt idx="82">
                  <c:v>666.77451836303044</c:v>
                </c:pt>
                <c:pt idx="83">
                  <c:v>1340.7873924715459</c:v>
                </c:pt>
                <c:pt idx="84">
                  <c:v>661.24274772946774</c:v>
                </c:pt>
                <c:pt idx="85">
                  <c:v>-597.99491140171267</c:v>
                </c:pt>
                <c:pt idx="86">
                  <c:v>843.11687968617298</c:v>
                </c:pt>
                <c:pt idx="87">
                  <c:v>-728.32816643157275</c:v>
                </c:pt>
                <c:pt idx="88">
                  <c:v>-1908.5685198080973</c:v>
                </c:pt>
                <c:pt idx="89">
                  <c:v>245.5080307877397</c:v>
                </c:pt>
                <c:pt idx="90">
                  <c:v>984.45983330925446</c:v>
                </c:pt>
                <c:pt idx="91">
                  <c:v>1016.0941530303608</c:v>
                </c:pt>
                <c:pt idx="92">
                  <c:v>937.75322380282887</c:v>
                </c:pt>
                <c:pt idx="93">
                  <c:v>-1069.6400570658625</c:v>
                </c:pt>
                <c:pt idx="94">
                  <c:v>481.97813078904983</c:v>
                </c:pt>
                <c:pt idx="95">
                  <c:v>-346.96976104965506</c:v>
                </c:pt>
                <c:pt idx="96">
                  <c:v>1466.4435842661551</c:v>
                </c:pt>
                <c:pt idx="97">
                  <c:v>-55.200964544048475</c:v>
                </c:pt>
                <c:pt idx="98">
                  <c:v>-169.38473801097643</c:v>
                </c:pt>
                <c:pt idx="99">
                  <c:v>445.07689903618302</c:v>
                </c:pt>
                <c:pt idx="100">
                  <c:v>-115.86551888640315</c:v>
                </c:pt>
                <c:pt idx="101">
                  <c:v>1012.5205951257267</c:v>
                </c:pt>
                <c:pt idx="102">
                  <c:v>-574.91206527395116</c:v>
                </c:pt>
                <c:pt idx="103">
                  <c:v>461.73287397549575</c:v>
                </c:pt>
                <c:pt idx="104">
                  <c:v>249.51650697373771</c:v>
                </c:pt>
                <c:pt idx="105">
                  <c:v>-94.976834064469585</c:v>
                </c:pt>
                <c:pt idx="106">
                  <c:v>-128.14069236983778</c:v>
                </c:pt>
                <c:pt idx="107">
                  <c:v>238.29551657835327</c:v>
                </c:pt>
                <c:pt idx="108">
                  <c:v>-329.74819354958163</c:v>
                </c:pt>
                <c:pt idx="109">
                  <c:v>-155.40175990250646</c:v>
                </c:pt>
                <c:pt idx="110">
                  <c:v>1093.082691445321</c:v>
                </c:pt>
                <c:pt idx="111">
                  <c:v>-290.89170926803126</c:v>
                </c:pt>
                <c:pt idx="112">
                  <c:v>-453.53837246478361</c:v>
                </c:pt>
                <c:pt idx="113">
                  <c:v>704.3237719828212</c:v>
                </c:pt>
                <c:pt idx="114">
                  <c:v>500.44976607484932</c:v>
                </c:pt>
                <c:pt idx="115">
                  <c:v>250.2136719790069</c:v>
                </c:pt>
              </c:numCache>
            </c:numRef>
          </c:val>
          <c:smooth val="0"/>
          <c:extLst>
            <c:ext xmlns:c16="http://schemas.microsoft.com/office/drawing/2014/chart" uri="{C3380CC4-5D6E-409C-BE32-E72D297353CC}">
              <c16:uniqueId val="{00000000-3F9F-4916-816F-E3C24D5AB571}"/>
            </c:ext>
          </c:extLst>
        </c:ser>
        <c:dLbls>
          <c:showLegendKey val="0"/>
          <c:showVal val="0"/>
          <c:showCatName val="0"/>
          <c:showSerName val="0"/>
          <c:showPercent val="0"/>
          <c:showBubbleSize val="0"/>
        </c:dLbls>
        <c:smooth val="0"/>
        <c:axId val="1536909359"/>
        <c:axId val="1536912719"/>
      </c:lineChart>
      <c:catAx>
        <c:axId val="1536909359"/>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536912719"/>
        <c:crosses val="autoZero"/>
        <c:auto val="1"/>
        <c:lblAlgn val="ctr"/>
        <c:lblOffset val="100"/>
        <c:noMultiLvlLbl val="0"/>
      </c:catAx>
      <c:valAx>
        <c:axId val="1536912719"/>
        <c:scaling>
          <c:orientation val="minMax"/>
        </c:scaling>
        <c:delete val="0"/>
        <c:axPos val="l"/>
        <c:numFmt formatCode="0.00" sourceLinked="0"/>
        <c:majorTickMark val="out"/>
        <c:minorTickMark val="none"/>
        <c:tickLblPos val="nextTo"/>
        <c:txPr>
          <a:bodyPr/>
          <a:lstStyle/>
          <a:p>
            <a:pPr>
              <a:defRPr sz="800" b="0"/>
            </a:pPr>
            <a:endParaRPr lang="en-US"/>
          </a:p>
        </c:txPr>
        <c:crossAx val="1536909359"/>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Deseasonalized Forecast and Original Observations</a:t>
            </a:r>
          </a:p>
        </c:rich>
      </c:tx>
      <c:overlay val="0"/>
    </c:title>
    <c:autoTitleDeleted val="0"/>
    <c:plotArea>
      <c:layout/>
      <c:lineChart>
        <c:grouping val="standard"/>
        <c:varyColors val="0"/>
        <c:ser>
          <c:idx val="0"/>
          <c:order val="0"/>
          <c:tx>
            <c:v>South</c:v>
          </c:tx>
          <c:spPr>
            <a:ln>
              <a:solidFill>
                <a:srgbClr val="333399"/>
              </a:solidFill>
              <a:prstDash val="solid"/>
            </a:ln>
          </c:spPr>
          <c:marker>
            <c:symbol val="none"/>
          </c:marker>
          <c:cat>
            <c:strRef>
              <c:f>'Simple Expo.(South)'!$A$146:$A$270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'Simple Expo.(South)'!$D$146:$D$270</c:f>
              <c:numCache>
                <c:formatCode>0.00</c:formatCode>
                <c:ptCount val="125"/>
                <c:pt idx="0">
                  <c:v>13596.294615442752</c:v>
                </c:pt>
                <c:pt idx="1">
                  <c:v>14568.485073225871</c:v>
                </c:pt>
                <c:pt idx="2">
                  <c:v>14994.128361529874</c:v>
                </c:pt>
                <c:pt idx="3">
                  <c:v>14843.809565973152</c:v>
                </c:pt>
                <c:pt idx="4">
                  <c:v>14642.608023043873</c:v>
                </c:pt>
                <c:pt idx="5">
                  <c:v>14752.184409513646</c:v>
                </c:pt>
                <c:pt idx="6">
                  <c:v>14986.475470564148</c:v>
                </c:pt>
                <c:pt idx="7">
                  <c:v>15079.248709610283</c:v>
                </c:pt>
                <c:pt idx="8">
                  <c:v>13827.262189406702</c:v>
                </c:pt>
                <c:pt idx="9">
                  <c:v>16285.211920450787</c:v>
                </c:pt>
                <c:pt idx="10">
                  <c:v>15626.853450839242</c:v>
                </c:pt>
                <c:pt idx="11">
                  <c:v>14078.723168091548</c:v>
                </c:pt>
                <c:pt idx="12">
                  <c:v>13071.238941505484</c:v>
                </c:pt>
                <c:pt idx="13">
                  <c:v>14383.474453201534</c:v>
                </c:pt>
                <c:pt idx="14">
                  <c:v>14882.333007727233</c:v>
                </c:pt>
                <c:pt idx="15">
                  <c:v>15660.699615660315</c:v>
                </c:pt>
                <c:pt idx="16">
                  <c:v>15393.102649471382</c:v>
                </c:pt>
                <c:pt idx="17">
                  <c:v>15151.851711153766</c:v>
                </c:pt>
                <c:pt idx="18">
                  <c:v>15213.322788762554</c:v>
                </c:pt>
                <c:pt idx="19">
                  <c:v>13488.919571816245</c:v>
                </c:pt>
                <c:pt idx="20">
                  <c:v>15666.199736020541</c:v>
                </c:pt>
                <c:pt idx="21">
                  <c:v>15485.596299176856</c:v>
                </c:pt>
                <c:pt idx="22">
                  <c:v>16034.611541289047</c:v>
                </c:pt>
                <c:pt idx="23">
                  <c:v>14938.340702605379</c:v>
                </c:pt>
                <c:pt idx="24">
                  <c:v>13602.912964273894</c:v>
                </c:pt>
                <c:pt idx="25">
                  <c:v>13691.887135491515</c:v>
                </c:pt>
                <c:pt idx="26">
                  <c:v>14530.008256349216</c:v>
                </c:pt>
                <c:pt idx="27">
                  <c:v>14748.796953242159</c:v>
                </c:pt>
                <c:pt idx="28">
                  <c:v>16136.629819154869</c:v>
                </c:pt>
                <c:pt idx="29">
                  <c:v>15556.981436050924</c:v>
                </c:pt>
                <c:pt idx="30">
                  <c:v>14678.305528860652</c:v>
                </c:pt>
                <c:pt idx="31">
                  <c:v>16172.549150119332</c:v>
                </c:pt>
                <c:pt idx="32">
                  <c:v>14459.427983898346</c:v>
                </c:pt>
                <c:pt idx="33">
                  <c:v>15045.270725068744</c:v>
                </c:pt>
                <c:pt idx="34">
                  <c:v>15127.191334821737</c:v>
                </c:pt>
                <c:pt idx="35">
                  <c:v>15952.645197057431</c:v>
                </c:pt>
                <c:pt idx="36">
                  <c:v>15499.069904396081</c:v>
                </c:pt>
                <c:pt idx="37">
                  <c:v>15472.614353225754</c:v>
                </c:pt>
                <c:pt idx="38">
                  <c:v>16516.351966842591</c:v>
                </c:pt>
                <c:pt idx="39">
                  <c:v>15893.316702001714</c:v>
                </c:pt>
                <c:pt idx="40">
                  <c:v>15119.381134527663</c:v>
                </c:pt>
                <c:pt idx="41">
                  <c:v>15530.579723641897</c:v>
                </c:pt>
                <c:pt idx="42">
                  <c:v>15871.608025345855</c:v>
                </c:pt>
                <c:pt idx="43">
                  <c:v>15103.652737300217</c:v>
                </c:pt>
                <c:pt idx="44">
                  <c:v>16557.384796387098</c:v>
                </c:pt>
                <c:pt idx="45">
                  <c:v>14179.264551601127</c:v>
                </c:pt>
                <c:pt idx="46">
                  <c:v>14066.597752408257</c:v>
                </c:pt>
                <c:pt idx="47">
                  <c:v>15983.582589045074</c:v>
                </c:pt>
                <c:pt idx="48">
                  <c:v>16595.509694088611</c:v>
                </c:pt>
                <c:pt idx="49">
                  <c:v>16549.64046265314</c:v>
                </c:pt>
                <c:pt idx="50">
                  <c:v>17149.858971724221</c:v>
                </c:pt>
                <c:pt idx="51">
                  <c:v>15585.344784873665</c:v>
                </c:pt>
                <c:pt idx="52">
                  <c:v>15848.973390723106</c:v>
                </c:pt>
                <c:pt idx="53">
                  <c:v>15141.837268515857</c:v>
                </c:pt>
                <c:pt idx="54">
                  <c:v>15778.301015218962</c:v>
                </c:pt>
                <c:pt idx="55">
                  <c:v>16060.290622745635</c:v>
                </c:pt>
                <c:pt idx="56">
                  <c:v>15513.36844504454</c:v>
                </c:pt>
                <c:pt idx="57">
                  <c:v>16015.744385076421</c:v>
                </c:pt>
                <c:pt idx="58">
                  <c:v>16449.764208508666</c:v>
                </c:pt>
                <c:pt idx="59">
                  <c:v>15811.217119399627</c:v>
                </c:pt>
                <c:pt idx="60">
                  <c:v>17761.442146508129</c:v>
                </c:pt>
                <c:pt idx="61">
                  <c:v>16454.932645259731</c:v>
                </c:pt>
                <c:pt idx="62">
                  <c:v>16082.721503608109</c:v>
                </c:pt>
                <c:pt idx="63">
                  <c:v>16424.076814498989</c:v>
                </c:pt>
                <c:pt idx="64">
                  <c:v>15610.089159499496</c:v>
                </c:pt>
                <c:pt idx="65">
                  <c:v>17715.549026458037</c:v>
                </c:pt>
                <c:pt idx="66">
                  <c:v>15996.588057258938</c:v>
                </c:pt>
                <c:pt idx="67">
                  <c:v>16642.733416945393</c:v>
                </c:pt>
                <c:pt idx="68">
                  <c:v>17006.94697049183</c:v>
                </c:pt>
                <c:pt idx="69">
                  <c:v>16201.247398558775</c:v>
                </c:pt>
                <c:pt idx="70">
                  <c:v>17191.334621710121</c:v>
                </c:pt>
                <c:pt idx="71">
                  <c:v>16687.408256763982</c:v>
                </c:pt>
                <c:pt idx="72">
                  <c:v>17001.435089065319</c:v>
                </c:pt>
                <c:pt idx="73">
                  <c:v>16364.629842628803</c:v>
                </c:pt>
                <c:pt idx="74">
                  <c:v>16186.612135424704</c:v>
                </c:pt>
                <c:pt idx="75">
                  <c:v>15724.041357480977</c:v>
                </c:pt>
                <c:pt idx="76">
                  <c:v>16860.249969569722</c:v>
                </c:pt>
                <c:pt idx="77">
                  <c:v>17742.861142743241</c:v>
                </c:pt>
                <c:pt idx="78">
                  <c:v>17134.248758714341</c:v>
                </c:pt>
                <c:pt idx="79">
                  <c:v>17976.820263995127</c:v>
                </c:pt>
                <c:pt idx="80">
                  <c:v>16562.346851288916</c:v>
                </c:pt>
                <c:pt idx="81">
                  <c:v>16406.277045039271</c:v>
                </c:pt>
                <c:pt idx="82">
                  <c:v>17475.497643293016</c:v>
                </c:pt>
                <c:pt idx="83">
                  <c:v>17728.230515776871</c:v>
                </c:pt>
                <c:pt idx="84">
                  <c:v>18637.270308495921</c:v>
                </c:pt>
                <c:pt idx="85">
                  <c:v>18221.343565015894</c:v>
                </c:pt>
                <c:pt idx="86">
                  <c:v>16982.730564019264</c:v>
                </c:pt>
                <c:pt idx="87">
                  <c:v>18425.894275831299</c:v>
                </c:pt>
                <c:pt idx="88">
                  <c:v>16988.650243852411</c:v>
                </c:pt>
                <c:pt idx="89">
                  <c:v>15811.894521379474</c:v>
                </c:pt>
                <c:pt idx="90">
                  <c:v>17366.232242607806</c:v>
                </c:pt>
                <c:pt idx="91">
                  <c:v>18004.478162043717</c:v>
                </c:pt>
                <c:pt idx="92">
                  <c:v>18393.345110059843</c:v>
                </c:pt>
                <c:pt idx="93">
                  <c:v>18528.822051937354</c:v>
                </c:pt>
                <c:pt idx="94">
                  <c:v>16690.616137582641</c:v>
                </c:pt>
                <c:pt idx="95">
                  <c:v>18097.269405915198</c:v>
                </c:pt>
                <c:pt idx="96">
                  <c:v>17302.56996088228</c:v>
                </c:pt>
                <c:pt idx="97">
                  <c:v>19213.57314026546</c:v>
                </c:pt>
                <c:pt idx="98">
                  <c:v>17901.936806396527</c:v>
                </c:pt>
                <c:pt idx="99">
                  <c:v>17765.174382701978</c:v>
                </c:pt>
                <c:pt idx="100">
                  <c:v>18351.285712790421</c:v>
                </c:pt>
                <c:pt idx="101">
                  <c:v>17903.092224949756</c:v>
                </c:pt>
                <c:pt idx="102">
                  <c:v>18851.440156095487</c:v>
                </c:pt>
                <c:pt idx="103">
                  <c:v>17713.256764943839</c:v>
                </c:pt>
                <c:pt idx="104">
                  <c:v>18533.275058291118</c:v>
                </c:pt>
                <c:pt idx="105">
                  <c:v>18422.401902097477</c:v>
                </c:pt>
                <c:pt idx="106">
                  <c:v>18133.614975806559</c:v>
                </c:pt>
                <c:pt idx="107">
                  <c:v>18069.646734497659</c:v>
                </c:pt>
                <c:pt idx="108">
                  <c:v>18442.029017977231</c:v>
                </c:pt>
                <c:pt idx="109">
                  <c:v>17875.549906160886</c:v>
                </c:pt>
                <c:pt idx="110">
                  <c:v>17980.984026256981</c:v>
                </c:pt>
                <c:pt idx="111">
                  <c:v>19310.494463326755</c:v>
                </c:pt>
                <c:pt idx="112">
                  <c:v>18097.471217115337</c:v>
                </c:pt>
                <c:pt idx="113">
                  <c:v>17908.554648206798</c:v>
                </c:pt>
                <c:pt idx="114">
                  <c:v>18830.895493315253</c:v>
                </c:pt>
                <c:pt idx="115">
                  <c:v>18771.578099097314</c:v>
                </c:pt>
                <c:pt idx="116">
                  <c:v>18704.962157894031</c:v>
                </c:pt>
              </c:numCache>
            </c:numRef>
          </c:val>
          <c:smooth val="0"/>
          <c:extLst>
            <c:ext xmlns:c16="http://schemas.microsoft.com/office/drawing/2014/chart" uri="{C3380CC4-5D6E-409C-BE32-E72D297353CC}">
              <c16:uniqueId val="{00000000-9114-4379-A1AD-5B6123774EC8}"/>
            </c:ext>
          </c:extLst>
        </c:ser>
        <c:ser>
          <c:idx val="1"/>
          <c:order val="1"/>
          <c:tx>
            <c:v>Deseasonalized Forecast</c:v>
          </c:tx>
          <c:spPr>
            <a:ln>
              <a:solidFill>
                <a:srgbClr val="993366"/>
              </a:solidFill>
              <a:prstDash val="solid"/>
            </a:ln>
          </c:spPr>
          <c:marker>
            <c:symbol val="none"/>
          </c:marker>
          <c:cat>
            <c:strRef>
              <c:f>'Simple Expo.(South)'!$A$146:$A$270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'Simple Expo.(South)'!$F$146:$F$270</c:f>
              <c:numCache>
                <c:formatCode>0.00</c:formatCode>
                <c:ptCount val="125"/>
                <c:pt idx="1">
                  <c:v>13596.294615442752</c:v>
                </c:pt>
                <c:pt idx="2">
                  <c:v>13816.40227029195</c:v>
                </c:pt>
                <c:pt idx="3">
                  <c:v>14083.04398223408</c:v>
                </c:pt>
                <c:pt idx="4">
                  <c:v>14255.284233294169</c:v>
                </c:pt>
                <c:pt idx="5">
                  <c:v>14342.975827411963</c:v>
                </c:pt>
                <c:pt idx="6">
                  <c:v>14435.622222600776</c:v>
                </c:pt>
                <c:pt idx="7">
                  <c:v>14560.337514346964</c:v>
                </c:pt>
                <c:pt idx="8">
                  <c:v>14677.821002638804</c:v>
                </c:pt>
                <c:pt idx="9">
                  <c:v>14485.251219431158</c:v>
                </c:pt>
                <c:pt idx="10">
                  <c:v>14892.769237686111</c:v>
                </c:pt>
                <c:pt idx="11">
                  <c:v>15058.968723934307</c:v>
                </c:pt>
                <c:pt idx="12">
                  <c:v>14837.037363936293</c:v>
                </c:pt>
                <c:pt idx="13">
                  <c:v>14437.25381680713</c:v>
                </c:pt>
                <c:pt idx="14">
                  <c:v>14425.077962263666</c:v>
                </c:pt>
                <c:pt idx="15">
                  <c:v>14528.602261354659</c:v>
                </c:pt>
                <c:pt idx="16">
                  <c:v>14784.913451947305</c:v>
                </c:pt>
                <c:pt idx="17">
                  <c:v>14922.609822961784</c:v>
                </c:pt>
                <c:pt idx="18">
                  <c:v>14974.511067207895</c:v>
                </c:pt>
                <c:pt idx="19">
                  <c:v>15028.57895849512</c:v>
                </c:pt>
                <c:pt idx="20">
                  <c:v>14679.994157898316</c:v>
                </c:pt>
                <c:pt idx="21">
                  <c:v>14903.27488983912</c:v>
                </c:pt>
                <c:pt idx="22">
                  <c:v>15035.114694222801</c:v>
                </c:pt>
                <c:pt idx="23">
                  <c:v>15261.404620518289</c:v>
                </c:pt>
                <c:pt idx="24">
                  <c:v>15188.261708274165</c:v>
                </c:pt>
                <c:pt idx="25">
                  <c:v>14829.332661638873</c:v>
                </c:pt>
                <c:pt idx="26">
                  <c:v>14571.810624393307</c:v>
                </c:pt>
                <c:pt idx="27">
                  <c:v>14562.346407661218</c:v>
                </c:pt>
                <c:pt idx="28">
                  <c:v>14604.559527533589</c:v>
                </c:pt>
                <c:pt idx="29">
                  <c:v>14951.426127851648</c:v>
                </c:pt>
                <c:pt idx="30">
                  <c:v>15088.52617620345</c:v>
                </c:pt>
                <c:pt idx="31">
                  <c:v>14995.650645555639</c:v>
                </c:pt>
                <c:pt idx="32">
                  <c:v>15262.10498869509</c:v>
                </c:pt>
                <c:pt idx="33">
                  <c:v>15080.375830881647</c:v>
                </c:pt>
                <c:pt idx="34">
                  <c:v>15072.427900049934</c:v>
                </c:pt>
                <c:pt idx="35">
                  <c:v>15084.826552086279</c:v>
                </c:pt>
                <c:pt idx="36">
                  <c:v>15281.30402751283</c:v>
                </c:pt>
                <c:pt idx="37">
                  <c:v>15330.607058707201</c:v>
                </c:pt>
                <c:pt idx="38">
                  <c:v>15362.758055785729</c:v>
                </c:pt>
                <c:pt idx="39">
                  <c:v>15623.936149417754</c:v>
                </c:pt>
                <c:pt idx="40">
                  <c:v>15684.924941497076</c:v>
                </c:pt>
                <c:pt idx="41">
                  <c:v>15556.883650750015</c:v>
                </c:pt>
                <c:pt idx="42">
                  <c:v>15550.928340591659</c:v>
                </c:pt>
                <c:pt idx="43">
                  <c:v>15623.5314532883</c:v>
                </c:pt>
                <c:pt idx="44">
                  <c:v>15505.828914587106</c:v>
                </c:pt>
                <c:pt idx="45">
                  <c:v>15743.905206359876</c:v>
                </c:pt>
                <c:pt idx="46">
                  <c:v>15389.664550690439</c:v>
                </c:pt>
                <c:pt idx="47">
                  <c:v>15090.117144266813</c:v>
                </c:pt>
                <c:pt idx="48">
                  <c:v>15292.401153706052</c:v>
                </c:pt>
                <c:pt idx="49">
                  <c:v>15587.429933860521</c:v>
                </c:pt>
                <c:pt idx="50">
                  <c:v>15805.278094442856</c:v>
                </c:pt>
                <c:pt idx="51">
                  <c:v>16109.696371010123</c:v>
                </c:pt>
                <c:pt idx="52">
                  <c:v>15990.981157322332</c:v>
                </c:pt>
                <c:pt idx="53">
                  <c:v>15958.830053362926</c:v>
                </c:pt>
                <c:pt idx="54">
                  <c:v>15773.859747944107</c:v>
                </c:pt>
                <c:pt idx="55">
                  <c:v>15774.865267918716</c:v>
                </c:pt>
                <c:pt idx="56">
                  <c:v>15839.486664870823</c:v>
                </c:pt>
                <c:pt idx="57">
                  <c:v>15765.652246938722</c:v>
                </c:pt>
                <c:pt idx="58">
                  <c:v>15822.274067880304</c:v>
                </c:pt>
                <c:pt idx="59">
                  <c:v>15964.340246568836</c:v>
                </c:pt>
                <c:pt idx="60">
                  <c:v>15929.672582270583</c:v>
                </c:pt>
                <c:pt idx="61">
                  <c:v>16344.392249369404</c:v>
                </c:pt>
                <c:pt idx="62">
                  <c:v>16369.419019701016</c:v>
                </c:pt>
                <c:pt idx="63">
                  <c:v>16304.509600550577</c:v>
                </c:pt>
                <c:pt idx="64">
                  <c:v>16331.58007717205</c:v>
                </c:pt>
                <c:pt idx="65">
                  <c:v>16168.231761404759</c:v>
                </c:pt>
                <c:pt idx="66">
                  <c:v>16518.550335087501</c:v>
                </c:pt>
                <c:pt idx="67">
                  <c:v>16400.376069980466</c:v>
                </c:pt>
                <c:pt idx="68">
                  <c:v>16455.246704483056</c:v>
                </c:pt>
                <c:pt idx="69">
                  <c:v>16580.15376436901</c:v>
                </c:pt>
                <c:pt idx="70">
                  <c:v>16494.367907371299</c:v>
                </c:pt>
                <c:pt idx="71">
                  <c:v>16652.163849280543</c:v>
                </c:pt>
                <c:pt idx="72">
                  <c:v>16660.14331854567</c:v>
                </c:pt>
                <c:pt idx="73">
                  <c:v>16737.41308665233</c:v>
                </c:pt>
                <c:pt idx="74">
                  <c:v>16653.013527952484</c:v>
                </c:pt>
                <c:pt idx="75">
                  <c:v>16547.418460745401</c:v>
                </c:pt>
                <c:pt idx="76">
                  <c:v>16361.002721108005</c:v>
                </c:pt>
                <c:pt idx="77">
                  <c:v>16474.034216294043</c:v>
                </c:pt>
                <c:pt idx="78">
                  <c:v>16761.301507342228</c:v>
                </c:pt>
                <c:pt idx="79">
                  <c:v>16845.738197935916</c:v>
                </c:pt>
                <c:pt idx="80">
                  <c:v>17101.819523368777</c:v>
                </c:pt>
                <c:pt idx="81">
                  <c:v>16979.680837727388</c:v>
                </c:pt>
                <c:pt idx="82">
                  <c:v>16849.860016015133</c:v>
                </c:pt>
                <c:pt idx="83">
                  <c:v>16991.506778563664</c:v>
                </c:pt>
                <c:pt idx="84">
                  <c:v>17158.303863200254</c:v>
                </c:pt>
                <c:pt idx="85">
                  <c:v>17493.147548682413</c:v>
                </c:pt>
                <c:pt idx="86">
                  <c:v>17658.013924547879</c:v>
                </c:pt>
                <c:pt idx="87">
                  <c:v>17505.127177249851</c:v>
                </c:pt>
                <c:pt idx="88">
                  <c:v>17713.59238600453</c:v>
                </c:pt>
                <c:pt idx="89">
                  <c:v>17549.46269975528</c:v>
                </c:pt>
                <c:pt idx="90">
                  <c:v>17156.070588342256</c:v>
                </c:pt>
                <c:pt idx="91">
                  <c:v>17203.651994320153</c:v>
                </c:pt>
                <c:pt idx="92">
                  <c:v>17384.962115509214</c:v>
                </c:pt>
                <c:pt idx="93">
                  <c:v>17613.263899736216</c:v>
                </c:pt>
                <c:pt idx="94">
                  <c:v>17820.549783017344</c:v>
                </c:pt>
                <c:pt idx="95">
                  <c:v>17564.728464426167</c:v>
                </c:pt>
                <c:pt idx="96">
                  <c:v>17685.297779629716</c:v>
                </c:pt>
                <c:pt idx="97">
                  <c:v>17598.646731004796</c:v>
                </c:pt>
                <c:pt idx="98">
                  <c:v>17964.272274693991</c:v>
                </c:pt>
                <c:pt idx="99">
                  <c:v>17950.159285175283</c:v>
                </c:pt>
                <c:pt idx="100">
                  <c:v>17908.27799253356</c:v>
                </c:pt>
                <c:pt idx="101">
                  <c:v>18008.576642458778</c:v>
                </c:pt>
                <c:pt idx="102">
                  <c:v>17984.694565058031</c:v>
                </c:pt>
                <c:pt idx="103">
                  <c:v>18180.929096951262</c:v>
                </c:pt>
                <c:pt idx="104">
                  <c:v>18075.046284162974</c:v>
                </c:pt>
                <c:pt idx="105">
                  <c:v>18178.791039164746</c:v>
                </c:pt>
                <c:pt idx="106">
                  <c:v>18233.94547449852</c:v>
                </c:pt>
                <c:pt idx="107">
                  <c:v>18211.230264119582</c:v>
                </c:pt>
                <c:pt idx="108">
                  <c:v>18179.175209041776</c:v>
                </c:pt>
                <c:pt idx="109">
                  <c:v>18238.686321282985</c:v>
                </c:pt>
                <c:pt idx="110">
                  <c:v>18156.470841710048</c:v>
                </c:pt>
                <c:pt idx="111">
                  <c:v>18116.739952461856</c:v>
                </c:pt>
                <c:pt idx="112">
                  <c:v>18387.010560189567</c:v>
                </c:pt>
                <c:pt idx="113">
                  <c:v>18321.457740492107</c:v>
                </c:pt>
                <c:pt idx="114">
                  <c:v>18227.974894003219</c:v>
                </c:pt>
                <c:pt idx="115">
                  <c:v>18364.478434140259</c:v>
                </c:pt>
                <c:pt idx="116">
                  <c:v>18456.647362384956</c:v>
                </c:pt>
                <c:pt idx="117">
                  <c:v>18512.866786126775</c:v>
                </c:pt>
                <c:pt idx="118">
                  <c:v>18512.866786126775</c:v>
                </c:pt>
                <c:pt idx="119">
                  <c:v>18512.866786126775</c:v>
                </c:pt>
                <c:pt idx="120">
                  <c:v>18512.866786126775</c:v>
                </c:pt>
                <c:pt idx="121">
                  <c:v>18512.866786126775</c:v>
                </c:pt>
                <c:pt idx="122">
                  <c:v>18512.866786126775</c:v>
                </c:pt>
                <c:pt idx="123">
                  <c:v>18512.866786126775</c:v>
                </c:pt>
                <c:pt idx="124">
                  <c:v>18512.866786126775</c:v>
                </c:pt>
              </c:numCache>
            </c:numRef>
          </c:val>
          <c:smooth val="0"/>
          <c:extLst>
            <c:ext xmlns:c16="http://schemas.microsoft.com/office/drawing/2014/chart" uri="{C3380CC4-5D6E-409C-BE32-E72D297353CC}">
              <c16:uniqueId val="{00000001-9114-4379-A1AD-5B6123774EC8}"/>
            </c:ext>
          </c:extLst>
        </c:ser>
        <c:dLbls>
          <c:showLegendKey val="0"/>
          <c:showVal val="0"/>
          <c:showCatName val="0"/>
          <c:showSerName val="0"/>
          <c:showPercent val="0"/>
          <c:showBubbleSize val="0"/>
        </c:dLbls>
        <c:smooth val="0"/>
        <c:axId val="62987807"/>
        <c:axId val="62985407"/>
      </c:lineChart>
      <c:catAx>
        <c:axId val="62987807"/>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62985407"/>
        <c:crosses val="autoZero"/>
        <c:auto val="1"/>
        <c:lblAlgn val="ctr"/>
        <c:lblOffset val="100"/>
        <c:noMultiLvlLbl val="0"/>
      </c:catAx>
      <c:valAx>
        <c:axId val="62985407"/>
        <c:scaling>
          <c:orientation val="minMax"/>
        </c:scaling>
        <c:delete val="0"/>
        <c:axPos val="l"/>
        <c:numFmt formatCode="0.00" sourceLinked="0"/>
        <c:majorTickMark val="out"/>
        <c:minorTickMark val="none"/>
        <c:tickLblPos val="nextTo"/>
        <c:txPr>
          <a:bodyPr/>
          <a:lstStyle/>
          <a:p>
            <a:pPr>
              <a:defRPr sz="800" b="0"/>
            </a:pPr>
            <a:endParaRPr lang="en-US"/>
          </a:p>
        </c:txPr>
        <c:crossAx val="62987807"/>
        <c:crosses val="autoZero"/>
        <c:crossBetween val="between"/>
      </c:valAx>
    </c:plotArea>
    <c:legend>
      <c:legendPos val="r"/>
      <c:overlay val="0"/>
      <c:spPr>
        <a:ln>
          <a:solidFill>
            <a:srgbClr val="000000"/>
          </a:solidFill>
          <a:prstDash val="solid"/>
        </a:ln>
      </c:sp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Original Observations</a:t>
            </a:r>
          </a:p>
        </c:rich>
      </c:tx>
      <c:overlay val="0"/>
    </c:title>
    <c:autoTitleDeleted val="0"/>
    <c:plotArea>
      <c:layout/>
      <c:lineChart>
        <c:grouping val="standard"/>
        <c:varyColors val="0"/>
        <c:ser>
          <c:idx val="0"/>
          <c:order val="0"/>
          <c:tx>
            <c:v>East</c:v>
          </c:tx>
          <c:spPr>
            <a:ln>
              <a:solidFill>
                <a:srgbClr val="333399"/>
              </a:solidFill>
              <a:prstDash val="solid"/>
            </a:ln>
          </c:spPr>
          <c:marker>
            <c:symbol val="none"/>
          </c:marker>
          <c:cat>
            <c:strRef>
              <c:f>'Moving Averages Ds(East) a(3)'!$A$146:$A$262</c:f>
              <c:strCache>
                <c:ptCount val="117"/>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strCache>
            </c:strRef>
          </c:cat>
          <c:val>
            <c:numRef>
              <c:f>'Moving Averages Ds(East) a(3)'!$B$146:$B$262</c:f>
              <c:numCache>
                <c:formatCode>0.00</c:formatCode>
                <c:ptCount val="117"/>
                <c:pt idx="0">
                  <c:v>7419</c:v>
                </c:pt>
                <c:pt idx="1">
                  <c:v>8824</c:v>
                </c:pt>
                <c:pt idx="2">
                  <c:v>11583</c:v>
                </c:pt>
                <c:pt idx="3">
                  <c:v>7958</c:v>
                </c:pt>
                <c:pt idx="4">
                  <c:v>11933</c:v>
                </c:pt>
                <c:pt idx="5">
                  <c:v>11227</c:v>
                </c:pt>
                <c:pt idx="6">
                  <c:v>11258</c:v>
                </c:pt>
                <c:pt idx="7">
                  <c:v>15904</c:v>
                </c:pt>
                <c:pt idx="8">
                  <c:v>14470</c:v>
                </c:pt>
                <c:pt idx="9">
                  <c:v>10916</c:v>
                </c:pt>
                <c:pt idx="10">
                  <c:v>10391</c:v>
                </c:pt>
                <c:pt idx="11">
                  <c:v>8481</c:v>
                </c:pt>
                <c:pt idx="12">
                  <c:v>10120</c:v>
                </c:pt>
                <c:pt idx="13">
                  <c:v>8910</c:v>
                </c:pt>
                <c:pt idx="14">
                  <c:v>9375</c:v>
                </c:pt>
                <c:pt idx="15">
                  <c:v>12366</c:v>
                </c:pt>
                <c:pt idx="16">
                  <c:v>10808</c:v>
                </c:pt>
                <c:pt idx="17">
                  <c:v>11982</c:v>
                </c:pt>
                <c:pt idx="18">
                  <c:v>13330</c:v>
                </c:pt>
                <c:pt idx="19">
                  <c:v>12233</c:v>
                </c:pt>
                <c:pt idx="20">
                  <c:v>12302</c:v>
                </c:pt>
                <c:pt idx="21">
                  <c:v>7227</c:v>
                </c:pt>
                <c:pt idx="22">
                  <c:v>12660</c:v>
                </c:pt>
                <c:pt idx="23">
                  <c:v>9800</c:v>
                </c:pt>
                <c:pt idx="24">
                  <c:v>12004</c:v>
                </c:pt>
                <c:pt idx="25">
                  <c:v>10006</c:v>
                </c:pt>
                <c:pt idx="26">
                  <c:v>8394</c:v>
                </c:pt>
                <c:pt idx="27">
                  <c:v>9953</c:v>
                </c:pt>
                <c:pt idx="28">
                  <c:v>10461</c:v>
                </c:pt>
                <c:pt idx="29">
                  <c:v>10893</c:v>
                </c:pt>
                <c:pt idx="30">
                  <c:v>9212</c:v>
                </c:pt>
                <c:pt idx="31">
                  <c:v>13209</c:v>
                </c:pt>
                <c:pt idx="32">
                  <c:v>10294</c:v>
                </c:pt>
                <c:pt idx="33">
                  <c:v>11540</c:v>
                </c:pt>
                <c:pt idx="34">
                  <c:v>10219</c:v>
                </c:pt>
                <c:pt idx="35">
                  <c:v>10230</c:v>
                </c:pt>
                <c:pt idx="36">
                  <c:v>9985</c:v>
                </c:pt>
                <c:pt idx="37">
                  <c:v>6832</c:v>
                </c:pt>
                <c:pt idx="38">
                  <c:v>9050</c:v>
                </c:pt>
                <c:pt idx="39">
                  <c:v>10082</c:v>
                </c:pt>
                <c:pt idx="40">
                  <c:v>10659</c:v>
                </c:pt>
                <c:pt idx="41">
                  <c:v>11458</c:v>
                </c:pt>
                <c:pt idx="42">
                  <c:v>10867</c:v>
                </c:pt>
                <c:pt idx="43">
                  <c:v>12409</c:v>
                </c:pt>
                <c:pt idx="44">
                  <c:v>11869</c:v>
                </c:pt>
                <c:pt idx="45">
                  <c:v>8729</c:v>
                </c:pt>
                <c:pt idx="46">
                  <c:v>10665</c:v>
                </c:pt>
                <c:pt idx="47">
                  <c:v>8003</c:v>
                </c:pt>
                <c:pt idx="48">
                  <c:v>9224</c:v>
                </c:pt>
                <c:pt idx="49">
                  <c:v>9140</c:v>
                </c:pt>
                <c:pt idx="50">
                  <c:v>11616</c:v>
                </c:pt>
                <c:pt idx="51">
                  <c:v>9428</c:v>
                </c:pt>
                <c:pt idx="52">
                  <c:v>14249</c:v>
                </c:pt>
                <c:pt idx="53">
                  <c:v>9511</c:v>
                </c:pt>
                <c:pt idx="54">
                  <c:v>12094</c:v>
                </c:pt>
                <c:pt idx="55">
                  <c:v>13273</c:v>
                </c:pt>
                <c:pt idx="56">
                  <c:v>11184</c:v>
                </c:pt>
                <c:pt idx="57">
                  <c:v>10793</c:v>
                </c:pt>
                <c:pt idx="58">
                  <c:v>8693</c:v>
                </c:pt>
                <c:pt idx="59">
                  <c:v>8479</c:v>
                </c:pt>
                <c:pt idx="60">
                  <c:v>8120</c:v>
                </c:pt>
                <c:pt idx="61">
                  <c:v>9239</c:v>
                </c:pt>
                <c:pt idx="62">
                  <c:v>9266</c:v>
                </c:pt>
                <c:pt idx="63">
                  <c:v>8652</c:v>
                </c:pt>
                <c:pt idx="64">
                  <c:v>12405</c:v>
                </c:pt>
                <c:pt idx="65">
                  <c:v>8964</c:v>
                </c:pt>
                <c:pt idx="66">
                  <c:v>11521</c:v>
                </c:pt>
                <c:pt idx="67">
                  <c:v>12368</c:v>
                </c:pt>
                <c:pt idx="68">
                  <c:v>12729</c:v>
                </c:pt>
                <c:pt idx="69">
                  <c:v>10956</c:v>
                </c:pt>
                <c:pt idx="70">
                  <c:v>12069</c:v>
                </c:pt>
                <c:pt idx="71">
                  <c:v>9902</c:v>
                </c:pt>
                <c:pt idx="72">
                  <c:v>10091</c:v>
                </c:pt>
                <c:pt idx="73">
                  <c:v>9769</c:v>
                </c:pt>
                <c:pt idx="74">
                  <c:v>8578</c:v>
                </c:pt>
                <c:pt idx="75">
                  <c:v>9763</c:v>
                </c:pt>
                <c:pt idx="76">
                  <c:v>8348</c:v>
                </c:pt>
                <c:pt idx="77">
                  <c:v>9237</c:v>
                </c:pt>
                <c:pt idx="78">
                  <c:v>11204</c:v>
                </c:pt>
                <c:pt idx="79">
                  <c:v>10737</c:v>
                </c:pt>
                <c:pt idx="80">
                  <c:v>12276</c:v>
                </c:pt>
                <c:pt idx="81">
                  <c:v>9230</c:v>
                </c:pt>
                <c:pt idx="82">
                  <c:v>9405</c:v>
                </c:pt>
                <c:pt idx="83">
                  <c:v>10378</c:v>
                </c:pt>
                <c:pt idx="84">
                  <c:v>8827</c:v>
                </c:pt>
                <c:pt idx="85">
                  <c:v>8559</c:v>
                </c:pt>
                <c:pt idx="86">
                  <c:v>9143</c:v>
                </c:pt>
                <c:pt idx="87">
                  <c:v>9989</c:v>
                </c:pt>
                <c:pt idx="88">
                  <c:v>9299</c:v>
                </c:pt>
                <c:pt idx="89">
                  <c:v>10524</c:v>
                </c:pt>
                <c:pt idx="90">
                  <c:v>12887</c:v>
                </c:pt>
                <c:pt idx="91">
                  <c:v>11145</c:v>
                </c:pt>
                <c:pt idx="92">
                  <c:v>11882</c:v>
                </c:pt>
                <c:pt idx="93">
                  <c:v>9448</c:v>
                </c:pt>
                <c:pt idx="94">
                  <c:v>7857</c:v>
                </c:pt>
                <c:pt idx="95">
                  <c:v>8482</c:v>
                </c:pt>
                <c:pt idx="96">
                  <c:v>9064</c:v>
                </c:pt>
                <c:pt idx="97">
                  <c:v>7591</c:v>
                </c:pt>
                <c:pt idx="98">
                  <c:v>8801</c:v>
                </c:pt>
                <c:pt idx="99">
                  <c:v>10634</c:v>
                </c:pt>
                <c:pt idx="100">
                  <c:v>9951</c:v>
                </c:pt>
                <c:pt idx="101">
                  <c:v>11214</c:v>
                </c:pt>
                <c:pt idx="102">
                  <c:v>10990</c:v>
                </c:pt>
                <c:pt idx="103">
                  <c:v>11975</c:v>
                </c:pt>
                <c:pt idx="104">
                  <c:v>12137</c:v>
                </c:pt>
                <c:pt idx="105">
                  <c:v>10892</c:v>
                </c:pt>
                <c:pt idx="106">
                  <c:v>11249</c:v>
                </c:pt>
                <c:pt idx="107">
                  <c:v>7531</c:v>
                </c:pt>
                <c:pt idx="108">
                  <c:v>7992</c:v>
                </c:pt>
                <c:pt idx="109">
                  <c:v>9230</c:v>
                </c:pt>
                <c:pt idx="110">
                  <c:v>10123</c:v>
                </c:pt>
                <c:pt idx="111">
                  <c:v>11419</c:v>
                </c:pt>
                <c:pt idx="112">
                  <c:v>12102</c:v>
                </c:pt>
                <c:pt idx="113">
                  <c:v>10903</c:v>
                </c:pt>
                <c:pt idx="114">
                  <c:v>12513</c:v>
                </c:pt>
                <c:pt idx="115">
                  <c:v>10696</c:v>
                </c:pt>
                <c:pt idx="116">
                  <c:v>13758</c:v>
                </c:pt>
              </c:numCache>
            </c:numRef>
          </c:val>
          <c:smooth val="0"/>
          <c:extLst>
            <c:ext xmlns:c16="http://schemas.microsoft.com/office/drawing/2014/chart" uri="{C3380CC4-5D6E-409C-BE32-E72D297353CC}">
              <c16:uniqueId val="{00000000-DFD2-4BB6-A894-CC598D47A7A4}"/>
            </c:ext>
          </c:extLst>
        </c:ser>
        <c:dLbls>
          <c:showLegendKey val="0"/>
          <c:showVal val="0"/>
          <c:showCatName val="0"/>
          <c:showSerName val="0"/>
          <c:showPercent val="0"/>
          <c:showBubbleSize val="0"/>
        </c:dLbls>
        <c:smooth val="0"/>
        <c:axId val="562926399"/>
        <c:axId val="562942719"/>
      </c:lineChart>
      <c:catAx>
        <c:axId val="562926399"/>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562942719"/>
        <c:crosses val="autoZero"/>
        <c:auto val="1"/>
        <c:lblAlgn val="ctr"/>
        <c:lblOffset val="100"/>
        <c:noMultiLvlLbl val="0"/>
      </c:catAx>
      <c:valAx>
        <c:axId val="562942719"/>
        <c:scaling>
          <c:orientation val="minMax"/>
        </c:scaling>
        <c:delete val="0"/>
        <c:axPos val="l"/>
        <c:numFmt formatCode="0.00" sourceLinked="0"/>
        <c:majorTickMark val="out"/>
        <c:minorTickMark val="none"/>
        <c:tickLblPos val="nextTo"/>
        <c:txPr>
          <a:bodyPr/>
          <a:lstStyle/>
          <a:p>
            <a:pPr>
              <a:defRPr sz="800" b="0"/>
            </a:pPr>
            <a:endParaRPr lang="en-US"/>
          </a:p>
        </c:txPr>
        <c:crossAx val="562926399"/>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Deseasonalized Observations</a:t>
            </a:r>
          </a:p>
        </c:rich>
      </c:tx>
      <c:overlay val="0"/>
    </c:title>
    <c:autoTitleDeleted val="0"/>
    <c:plotArea>
      <c:layout/>
      <c:lineChart>
        <c:grouping val="standard"/>
        <c:varyColors val="0"/>
        <c:ser>
          <c:idx val="0"/>
          <c:order val="0"/>
          <c:tx>
            <c:v>South</c:v>
          </c:tx>
          <c:spPr>
            <a:ln>
              <a:solidFill>
                <a:srgbClr val="333399"/>
              </a:solidFill>
              <a:prstDash val="solid"/>
            </a:ln>
          </c:spPr>
          <c:marker>
            <c:symbol val="none"/>
          </c:marker>
          <c:cat>
            <c:strRef>
              <c:f>'Simple Expo.(South)'!$A$146:$A$270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'Simple Expo.(South)'!$D$146:$D$270</c:f>
              <c:numCache>
                <c:formatCode>0.00</c:formatCode>
                <c:ptCount val="125"/>
                <c:pt idx="0">
                  <c:v>13596.294615442752</c:v>
                </c:pt>
                <c:pt idx="1">
                  <c:v>14568.485073225871</c:v>
                </c:pt>
                <c:pt idx="2">
                  <c:v>14994.128361529874</c:v>
                </c:pt>
                <c:pt idx="3">
                  <c:v>14843.809565973152</c:v>
                </c:pt>
                <c:pt idx="4">
                  <c:v>14642.608023043873</c:v>
                </c:pt>
                <c:pt idx="5">
                  <c:v>14752.184409513646</c:v>
                </c:pt>
                <c:pt idx="6">
                  <c:v>14986.475470564148</c:v>
                </c:pt>
                <c:pt idx="7">
                  <c:v>15079.248709610283</c:v>
                </c:pt>
                <c:pt idx="8">
                  <c:v>13827.262189406702</c:v>
                </c:pt>
                <c:pt idx="9">
                  <c:v>16285.211920450787</c:v>
                </c:pt>
                <c:pt idx="10">
                  <c:v>15626.853450839242</c:v>
                </c:pt>
                <c:pt idx="11">
                  <c:v>14078.723168091548</c:v>
                </c:pt>
                <c:pt idx="12">
                  <c:v>13071.238941505484</c:v>
                </c:pt>
                <c:pt idx="13">
                  <c:v>14383.474453201534</c:v>
                </c:pt>
                <c:pt idx="14">
                  <c:v>14882.333007727233</c:v>
                </c:pt>
                <c:pt idx="15">
                  <c:v>15660.699615660315</c:v>
                </c:pt>
                <c:pt idx="16">
                  <c:v>15393.102649471382</c:v>
                </c:pt>
                <c:pt idx="17">
                  <c:v>15151.851711153766</c:v>
                </c:pt>
                <c:pt idx="18">
                  <c:v>15213.322788762554</c:v>
                </c:pt>
                <c:pt idx="19">
                  <c:v>13488.919571816245</c:v>
                </c:pt>
                <c:pt idx="20">
                  <c:v>15666.199736020541</c:v>
                </c:pt>
                <c:pt idx="21">
                  <c:v>15485.596299176856</c:v>
                </c:pt>
                <c:pt idx="22">
                  <c:v>16034.611541289047</c:v>
                </c:pt>
                <c:pt idx="23">
                  <c:v>14938.340702605379</c:v>
                </c:pt>
                <c:pt idx="24">
                  <c:v>13602.912964273894</c:v>
                </c:pt>
                <c:pt idx="25">
                  <c:v>13691.887135491515</c:v>
                </c:pt>
                <c:pt idx="26">
                  <c:v>14530.008256349216</c:v>
                </c:pt>
                <c:pt idx="27">
                  <c:v>14748.796953242159</c:v>
                </c:pt>
                <c:pt idx="28">
                  <c:v>16136.629819154869</c:v>
                </c:pt>
                <c:pt idx="29">
                  <c:v>15556.981436050924</c:v>
                </c:pt>
                <c:pt idx="30">
                  <c:v>14678.305528860652</c:v>
                </c:pt>
                <c:pt idx="31">
                  <c:v>16172.549150119332</c:v>
                </c:pt>
                <c:pt idx="32">
                  <c:v>14459.427983898346</c:v>
                </c:pt>
                <c:pt idx="33">
                  <c:v>15045.270725068744</c:v>
                </c:pt>
                <c:pt idx="34">
                  <c:v>15127.191334821737</c:v>
                </c:pt>
                <c:pt idx="35">
                  <c:v>15952.645197057431</c:v>
                </c:pt>
                <c:pt idx="36">
                  <c:v>15499.069904396081</c:v>
                </c:pt>
                <c:pt idx="37">
                  <c:v>15472.614353225754</c:v>
                </c:pt>
                <c:pt idx="38">
                  <c:v>16516.351966842591</c:v>
                </c:pt>
                <c:pt idx="39">
                  <c:v>15893.316702001714</c:v>
                </c:pt>
                <c:pt idx="40">
                  <c:v>15119.381134527663</c:v>
                </c:pt>
                <c:pt idx="41">
                  <c:v>15530.579723641897</c:v>
                </c:pt>
                <c:pt idx="42">
                  <c:v>15871.608025345855</c:v>
                </c:pt>
                <c:pt idx="43">
                  <c:v>15103.652737300217</c:v>
                </c:pt>
                <c:pt idx="44">
                  <c:v>16557.384796387098</c:v>
                </c:pt>
                <c:pt idx="45">
                  <c:v>14179.264551601127</c:v>
                </c:pt>
                <c:pt idx="46">
                  <c:v>14066.597752408257</c:v>
                </c:pt>
                <c:pt idx="47">
                  <c:v>15983.582589045074</c:v>
                </c:pt>
                <c:pt idx="48">
                  <c:v>16595.509694088611</c:v>
                </c:pt>
                <c:pt idx="49">
                  <c:v>16549.64046265314</c:v>
                </c:pt>
                <c:pt idx="50">
                  <c:v>17149.858971724221</c:v>
                </c:pt>
                <c:pt idx="51">
                  <c:v>15585.344784873665</c:v>
                </c:pt>
                <c:pt idx="52">
                  <c:v>15848.973390723106</c:v>
                </c:pt>
                <c:pt idx="53">
                  <c:v>15141.837268515857</c:v>
                </c:pt>
                <c:pt idx="54">
                  <c:v>15778.301015218962</c:v>
                </c:pt>
                <c:pt idx="55">
                  <c:v>16060.290622745635</c:v>
                </c:pt>
                <c:pt idx="56">
                  <c:v>15513.36844504454</c:v>
                </c:pt>
                <c:pt idx="57">
                  <c:v>16015.744385076421</c:v>
                </c:pt>
                <c:pt idx="58">
                  <c:v>16449.764208508666</c:v>
                </c:pt>
                <c:pt idx="59">
                  <c:v>15811.217119399627</c:v>
                </c:pt>
                <c:pt idx="60">
                  <c:v>17761.442146508129</c:v>
                </c:pt>
                <c:pt idx="61">
                  <c:v>16454.932645259731</c:v>
                </c:pt>
                <c:pt idx="62">
                  <c:v>16082.721503608109</c:v>
                </c:pt>
                <c:pt idx="63">
                  <c:v>16424.076814498989</c:v>
                </c:pt>
                <c:pt idx="64">
                  <c:v>15610.089159499496</c:v>
                </c:pt>
                <c:pt idx="65">
                  <c:v>17715.549026458037</c:v>
                </c:pt>
                <c:pt idx="66">
                  <c:v>15996.588057258938</c:v>
                </c:pt>
                <c:pt idx="67">
                  <c:v>16642.733416945393</c:v>
                </c:pt>
                <c:pt idx="68">
                  <c:v>17006.94697049183</c:v>
                </c:pt>
                <c:pt idx="69">
                  <c:v>16201.247398558775</c:v>
                </c:pt>
                <c:pt idx="70">
                  <c:v>17191.334621710121</c:v>
                </c:pt>
                <c:pt idx="71">
                  <c:v>16687.408256763982</c:v>
                </c:pt>
                <c:pt idx="72">
                  <c:v>17001.435089065319</c:v>
                </c:pt>
                <c:pt idx="73">
                  <c:v>16364.629842628803</c:v>
                </c:pt>
                <c:pt idx="74">
                  <c:v>16186.612135424704</c:v>
                </c:pt>
                <c:pt idx="75">
                  <c:v>15724.041357480977</c:v>
                </c:pt>
                <c:pt idx="76">
                  <c:v>16860.249969569722</c:v>
                </c:pt>
                <c:pt idx="77">
                  <c:v>17742.861142743241</c:v>
                </c:pt>
                <c:pt idx="78">
                  <c:v>17134.248758714341</c:v>
                </c:pt>
                <c:pt idx="79">
                  <c:v>17976.820263995127</c:v>
                </c:pt>
                <c:pt idx="80">
                  <c:v>16562.346851288916</c:v>
                </c:pt>
                <c:pt idx="81">
                  <c:v>16406.277045039271</c:v>
                </c:pt>
                <c:pt idx="82">
                  <c:v>17475.497643293016</c:v>
                </c:pt>
                <c:pt idx="83">
                  <c:v>17728.230515776871</c:v>
                </c:pt>
                <c:pt idx="84">
                  <c:v>18637.270308495921</c:v>
                </c:pt>
                <c:pt idx="85">
                  <c:v>18221.343565015894</c:v>
                </c:pt>
                <c:pt idx="86">
                  <c:v>16982.730564019264</c:v>
                </c:pt>
                <c:pt idx="87">
                  <c:v>18425.894275831299</c:v>
                </c:pt>
                <c:pt idx="88">
                  <c:v>16988.650243852411</c:v>
                </c:pt>
                <c:pt idx="89">
                  <c:v>15811.894521379474</c:v>
                </c:pt>
                <c:pt idx="90">
                  <c:v>17366.232242607806</c:v>
                </c:pt>
                <c:pt idx="91">
                  <c:v>18004.478162043717</c:v>
                </c:pt>
                <c:pt idx="92">
                  <c:v>18393.345110059843</c:v>
                </c:pt>
                <c:pt idx="93">
                  <c:v>18528.822051937354</c:v>
                </c:pt>
                <c:pt idx="94">
                  <c:v>16690.616137582641</c:v>
                </c:pt>
                <c:pt idx="95">
                  <c:v>18097.269405915198</c:v>
                </c:pt>
                <c:pt idx="96">
                  <c:v>17302.56996088228</c:v>
                </c:pt>
                <c:pt idx="97">
                  <c:v>19213.57314026546</c:v>
                </c:pt>
                <c:pt idx="98">
                  <c:v>17901.936806396527</c:v>
                </c:pt>
                <c:pt idx="99">
                  <c:v>17765.174382701978</c:v>
                </c:pt>
                <c:pt idx="100">
                  <c:v>18351.285712790421</c:v>
                </c:pt>
                <c:pt idx="101">
                  <c:v>17903.092224949756</c:v>
                </c:pt>
                <c:pt idx="102">
                  <c:v>18851.440156095487</c:v>
                </c:pt>
                <c:pt idx="103">
                  <c:v>17713.256764943839</c:v>
                </c:pt>
                <c:pt idx="104">
                  <c:v>18533.275058291118</c:v>
                </c:pt>
                <c:pt idx="105">
                  <c:v>18422.401902097477</c:v>
                </c:pt>
                <c:pt idx="106">
                  <c:v>18133.614975806559</c:v>
                </c:pt>
                <c:pt idx="107">
                  <c:v>18069.646734497659</c:v>
                </c:pt>
                <c:pt idx="108">
                  <c:v>18442.029017977231</c:v>
                </c:pt>
                <c:pt idx="109">
                  <c:v>17875.549906160886</c:v>
                </c:pt>
                <c:pt idx="110">
                  <c:v>17980.984026256981</c:v>
                </c:pt>
                <c:pt idx="111">
                  <c:v>19310.494463326755</c:v>
                </c:pt>
                <c:pt idx="112">
                  <c:v>18097.471217115337</c:v>
                </c:pt>
                <c:pt idx="113">
                  <c:v>17908.554648206798</c:v>
                </c:pt>
                <c:pt idx="114">
                  <c:v>18830.895493315253</c:v>
                </c:pt>
                <c:pt idx="115">
                  <c:v>18771.578099097314</c:v>
                </c:pt>
                <c:pt idx="116">
                  <c:v>18704.962157894031</c:v>
                </c:pt>
              </c:numCache>
            </c:numRef>
          </c:val>
          <c:smooth val="0"/>
          <c:extLst>
            <c:ext xmlns:c16="http://schemas.microsoft.com/office/drawing/2014/chart" uri="{C3380CC4-5D6E-409C-BE32-E72D297353CC}">
              <c16:uniqueId val="{00000000-F5C5-41B5-A2FA-3E328A1BA75E}"/>
            </c:ext>
          </c:extLst>
        </c:ser>
        <c:dLbls>
          <c:showLegendKey val="0"/>
          <c:showVal val="0"/>
          <c:showCatName val="0"/>
          <c:showSerName val="0"/>
          <c:showPercent val="0"/>
          <c:showBubbleSize val="0"/>
        </c:dLbls>
        <c:smooth val="0"/>
        <c:axId val="62990207"/>
        <c:axId val="62989727"/>
      </c:lineChart>
      <c:catAx>
        <c:axId val="62990207"/>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62989727"/>
        <c:crosses val="autoZero"/>
        <c:auto val="1"/>
        <c:lblAlgn val="ctr"/>
        <c:lblOffset val="100"/>
        <c:noMultiLvlLbl val="0"/>
      </c:catAx>
      <c:valAx>
        <c:axId val="62989727"/>
        <c:scaling>
          <c:orientation val="minMax"/>
        </c:scaling>
        <c:delete val="0"/>
        <c:axPos val="l"/>
        <c:numFmt formatCode="0.00" sourceLinked="0"/>
        <c:majorTickMark val="out"/>
        <c:minorTickMark val="none"/>
        <c:tickLblPos val="nextTo"/>
        <c:txPr>
          <a:bodyPr/>
          <a:lstStyle/>
          <a:p>
            <a:pPr>
              <a:defRPr sz="800" b="0"/>
            </a:pPr>
            <a:endParaRPr lang="en-US"/>
          </a:p>
        </c:txPr>
        <c:crossAx val="62990207"/>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Deseasonalized Errors</a:t>
            </a:r>
          </a:p>
        </c:rich>
      </c:tx>
      <c:overlay val="0"/>
    </c:title>
    <c:autoTitleDeleted val="0"/>
    <c:plotArea>
      <c:layout/>
      <c:lineChart>
        <c:grouping val="standard"/>
        <c:varyColors val="0"/>
        <c:ser>
          <c:idx val="0"/>
          <c:order val="0"/>
          <c:tx>
            <c:v>Deseasonalized Errors</c:v>
          </c:tx>
          <c:spPr>
            <a:ln>
              <a:solidFill>
                <a:srgbClr val="333399"/>
              </a:solidFill>
              <a:prstDash val="solid"/>
            </a:ln>
          </c:spPr>
          <c:marker>
            <c:symbol val="none"/>
          </c:marker>
          <c:cat>
            <c:strRef>
              <c:f>'Simple Expo.(South)'!$A$146:$A$270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'Simple Expo.(South)'!$G$147:$G$270</c:f>
              <c:numCache>
                <c:formatCode>0.00</c:formatCode>
                <c:ptCount val="124"/>
                <c:pt idx="0">
                  <c:v>972.1904577831192</c:v>
                </c:pt>
                <c:pt idx="1">
                  <c:v>1177.7260912379243</c:v>
                </c:pt>
                <c:pt idx="2">
                  <c:v>760.7655837390721</c:v>
                </c:pt>
                <c:pt idx="3">
                  <c:v>387.32378974970379</c:v>
                </c:pt>
                <c:pt idx="4">
                  <c:v>409.20858210168262</c:v>
                </c:pt>
                <c:pt idx="5">
                  <c:v>550.85324796337227</c:v>
                </c:pt>
                <c:pt idx="6">
                  <c:v>518.91119526331931</c:v>
                </c:pt>
                <c:pt idx="7">
                  <c:v>-850.55881323210269</c:v>
                </c:pt>
                <c:pt idx="8">
                  <c:v>1799.9607010196287</c:v>
                </c:pt>
                <c:pt idx="9">
                  <c:v>734.08421315313171</c:v>
                </c:pt>
                <c:pt idx="10">
                  <c:v>-980.24555584275913</c:v>
                </c:pt>
                <c:pt idx="11">
                  <c:v>-1765.7984224308093</c:v>
                </c:pt>
                <c:pt idx="12">
                  <c:v>-53.77936360559579</c:v>
                </c:pt>
                <c:pt idx="13">
                  <c:v>457.25504546356751</c:v>
                </c:pt>
                <c:pt idx="14">
                  <c:v>1132.0973543056552</c:v>
                </c:pt>
                <c:pt idx="15">
                  <c:v>608.18919752407783</c:v>
                </c:pt>
                <c:pt idx="16">
                  <c:v>229.24188819198207</c:v>
                </c:pt>
                <c:pt idx="17">
                  <c:v>238.81172155465902</c:v>
                </c:pt>
                <c:pt idx="18">
                  <c:v>-1539.6593866788753</c:v>
                </c:pt>
                <c:pt idx="19">
                  <c:v>986.20557812222432</c:v>
                </c:pt>
                <c:pt idx="20">
                  <c:v>582.32140933773553</c:v>
                </c:pt>
                <c:pt idx="21">
                  <c:v>999.49684706624612</c:v>
                </c:pt>
                <c:pt idx="22">
                  <c:v>-323.06391791291026</c:v>
                </c:pt>
                <c:pt idx="23">
                  <c:v>-1585.3487440002718</c:v>
                </c:pt>
                <c:pt idx="24">
                  <c:v>-1137.4455261473577</c:v>
                </c:pt>
                <c:pt idx="25">
                  <c:v>-41.802368044091054</c:v>
                </c:pt>
                <c:pt idx="26">
                  <c:v>186.45054558094125</c:v>
                </c:pt>
                <c:pt idx="27">
                  <c:v>1532.0702916212795</c:v>
                </c:pt>
                <c:pt idx="28">
                  <c:v>605.55530819927662</c:v>
                </c:pt>
                <c:pt idx="29">
                  <c:v>-410.22064734279775</c:v>
                </c:pt>
                <c:pt idx="30">
                  <c:v>1176.8985045636928</c:v>
                </c:pt>
                <c:pt idx="31">
                  <c:v>-802.67700479674386</c:v>
                </c:pt>
                <c:pt idx="32">
                  <c:v>-35.105105812903275</c:v>
                </c:pt>
                <c:pt idx="33">
                  <c:v>54.763434771803077</c:v>
                </c:pt>
                <c:pt idx="34">
                  <c:v>867.81864497115203</c:v>
                </c:pt>
                <c:pt idx="35">
                  <c:v>217.76587688325162</c:v>
                </c:pt>
                <c:pt idx="36">
                  <c:v>142.00729451855295</c:v>
                </c:pt>
                <c:pt idx="37">
                  <c:v>1153.5939110568615</c:v>
                </c:pt>
                <c:pt idx="38">
                  <c:v>269.3805525839598</c:v>
                </c:pt>
                <c:pt idx="39">
                  <c:v>-565.54380696941371</c:v>
                </c:pt>
                <c:pt idx="40">
                  <c:v>-26.303927108117932</c:v>
                </c:pt>
                <c:pt idx="41">
                  <c:v>320.67968475419548</c:v>
                </c:pt>
                <c:pt idx="42">
                  <c:v>-519.87871598808306</c:v>
                </c:pt>
                <c:pt idx="43">
                  <c:v>1051.5558817999918</c:v>
                </c:pt>
                <c:pt idx="44">
                  <c:v>-1564.6406547587485</c:v>
                </c:pt>
                <c:pt idx="45">
                  <c:v>-1323.0667982821815</c:v>
                </c:pt>
                <c:pt idx="46">
                  <c:v>893.46544477826137</c:v>
                </c:pt>
                <c:pt idx="47">
                  <c:v>1303.1085403825582</c:v>
                </c:pt>
                <c:pt idx="48">
                  <c:v>962.21052879261879</c:v>
                </c:pt>
                <c:pt idx="49">
                  <c:v>1344.5808772813652</c:v>
                </c:pt>
                <c:pt idx="50">
                  <c:v>-524.35158613645763</c:v>
                </c:pt>
                <c:pt idx="51">
                  <c:v>-142.00776659922667</c:v>
                </c:pt>
                <c:pt idx="52">
                  <c:v>-816.99278484706883</c:v>
                </c:pt>
                <c:pt idx="53">
                  <c:v>4.4412672748549085</c:v>
                </c:pt>
                <c:pt idx="54">
                  <c:v>285.42535482691892</c:v>
                </c:pt>
                <c:pt idx="55">
                  <c:v>-326.11821982628317</c:v>
                </c:pt>
                <c:pt idx="56">
                  <c:v>250.09213813769929</c:v>
                </c:pt>
                <c:pt idx="57">
                  <c:v>627.4901406283625</c:v>
                </c:pt>
                <c:pt idx="58">
                  <c:v>-153.1231271692086</c:v>
                </c:pt>
                <c:pt idx="59">
                  <c:v>1831.7695642375456</c:v>
                </c:pt>
                <c:pt idx="60">
                  <c:v>110.54039589032618</c:v>
                </c:pt>
                <c:pt idx="61">
                  <c:v>-286.69751609290688</c:v>
                </c:pt>
                <c:pt idx="62">
                  <c:v>119.56721394841225</c:v>
                </c:pt>
                <c:pt idx="63">
                  <c:v>-721.49091767255413</c:v>
                </c:pt>
                <c:pt idx="64">
                  <c:v>1547.3172650532779</c:v>
                </c:pt>
                <c:pt idx="65">
                  <c:v>-521.96227782856295</c:v>
                </c:pt>
                <c:pt idx="66">
                  <c:v>242.35734696492727</c:v>
                </c:pt>
                <c:pt idx="67">
                  <c:v>551.70026600877463</c:v>
                </c:pt>
                <c:pt idx="68">
                  <c:v>-378.906365810235</c:v>
                </c:pt>
                <c:pt idx="69">
                  <c:v>696.96671433882148</c:v>
                </c:pt>
                <c:pt idx="70">
                  <c:v>35.244407483438408</c:v>
                </c:pt>
                <c:pt idx="71">
                  <c:v>341.29177051964871</c:v>
                </c:pt>
                <c:pt idx="72">
                  <c:v>-372.783244023527</c:v>
                </c:pt>
                <c:pt idx="73">
                  <c:v>-466.40139252777954</c:v>
                </c:pt>
                <c:pt idx="74">
                  <c:v>-823.37710326442357</c:v>
                </c:pt>
                <c:pt idx="75">
                  <c:v>499.24724846171739</c:v>
                </c:pt>
                <c:pt idx="76">
                  <c:v>1268.8269264491973</c:v>
                </c:pt>
                <c:pt idx="77">
                  <c:v>372.94725137211208</c:v>
                </c:pt>
                <c:pt idx="78">
                  <c:v>1131.0820660592108</c:v>
                </c:pt>
                <c:pt idx="79">
                  <c:v>-539.47267207986079</c:v>
                </c:pt>
                <c:pt idx="80">
                  <c:v>-573.40379268811739</c:v>
                </c:pt>
                <c:pt idx="81">
                  <c:v>625.63762727788344</c:v>
                </c:pt>
                <c:pt idx="82">
                  <c:v>736.72373721320764</c:v>
                </c:pt>
                <c:pt idx="83">
                  <c:v>1478.9664452956677</c:v>
                </c:pt>
                <c:pt idx="84">
                  <c:v>728.19601633348066</c:v>
                </c:pt>
                <c:pt idx="85">
                  <c:v>-675.28336052861414</c:v>
                </c:pt>
                <c:pt idx="86">
                  <c:v>920.7670985814475</c:v>
                </c:pt>
                <c:pt idx="87">
                  <c:v>-724.94214215211832</c:v>
                </c:pt>
                <c:pt idx="88">
                  <c:v>-1737.5681783758064</c:v>
                </c:pt>
                <c:pt idx="89">
                  <c:v>210.16165426555017</c:v>
                </c:pt>
                <c:pt idx="90">
                  <c:v>800.82616772356414</c:v>
                </c:pt>
                <c:pt idx="91">
                  <c:v>1008.3829945506295</c:v>
                </c:pt>
                <c:pt idx="92">
                  <c:v>915.558152201138</c:v>
                </c:pt>
                <c:pt idx="93">
                  <c:v>-1129.9336454347031</c:v>
                </c:pt>
                <c:pt idx="94">
                  <c:v>532.54094148903096</c:v>
                </c:pt>
                <c:pt idx="95">
                  <c:v>-382.72781874743669</c:v>
                </c:pt>
                <c:pt idx="96">
                  <c:v>1614.9264092606645</c:v>
                </c:pt>
                <c:pt idx="97">
                  <c:v>-62.335468297464104</c:v>
                </c:pt>
                <c:pt idx="98">
                  <c:v>-184.98490247330483</c:v>
                </c:pt>
                <c:pt idx="99">
                  <c:v>443.00772025686092</c:v>
                </c:pt>
                <c:pt idx="100">
                  <c:v>-105.48441750902202</c:v>
                </c:pt>
                <c:pt idx="101">
                  <c:v>866.7455910374556</c:v>
                </c:pt>
                <c:pt idx="102">
                  <c:v>-467.67233200742339</c:v>
                </c:pt>
                <c:pt idx="103">
                  <c:v>458.22877412814341</c:v>
                </c:pt>
                <c:pt idx="104">
                  <c:v>243.61086293273183</c:v>
                </c:pt>
                <c:pt idx="105">
                  <c:v>-100.33049869196111</c:v>
                </c:pt>
                <c:pt idx="106">
                  <c:v>-141.58352962192293</c:v>
                </c:pt>
                <c:pt idx="107">
                  <c:v>262.85380893545516</c:v>
                </c:pt>
                <c:pt idx="108">
                  <c:v>-363.1364151220987</c:v>
                </c:pt>
                <c:pt idx="109">
                  <c:v>-175.48681545306681</c:v>
                </c:pt>
                <c:pt idx="110">
                  <c:v>1193.7545108648992</c:v>
                </c:pt>
                <c:pt idx="111">
                  <c:v>-289.53934307422969</c:v>
                </c:pt>
                <c:pt idx="112">
                  <c:v>-412.90309228530896</c:v>
                </c:pt>
                <c:pt idx="113">
                  <c:v>602.92059931203403</c:v>
                </c:pt>
                <c:pt idx="114">
                  <c:v>407.09966495705521</c:v>
                </c:pt>
                <c:pt idx="115">
                  <c:v>248.31479550907534</c:v>
                </c:pt>
              </c:numCache>
            </c:numRef>
          </c:val>
          <c:smooth val="0"/>
          <c:extLst>
            <c:ext xmlns:c16="http://schemas.microsoft.com/office/drawing/2014/chart" uri="{C3380CC4-5D6E-409C-BE32-E72D297353CC}">
              <c16:uniqueId val="{00000000-EC2F-4A3A-AC7C-9F37B3168620}"/>
            </c:ext>
          </c:extLst>
        </c:ser>
        <c:dLbls>
          <c:showLegendKey val="0"/>
          <c:showVal val="0"/>
          <c:showCatName val="0"/>
          <c:showSerName val="0"/>
          <c:showPercent val="0"/>
          <c:showBubbleSize val="0"/>
        </c:dLbls>
        <c:smooth val="0"/>
        <c:axId val="62984447"/>
        <c:axId val="62984927"/>
      </c:lineChart>
      <c:catAx>
        <c:axId val="62984447"/>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62984927"/>
        <c:crosses val="autoZero"/>
        <c:auto val="1"/>
        <c:lblAlgn val="ctr"/>
        <c:lblOffset val="100"/>
        <c:noMultiLvlLbl val="0"/>
      </c:catAx>
      <c:valAx>
        <c:axId val="62984927"/>
        <c:scaling>
          <c:orientation val="minMax"/>
        </c:scaling>
        <c:delete val="0"/>
        <c:axPos val="l"/>
        <c:numFmt formatCode="0.00" sourceLinked="0"/>
        <c:majorTickMark val="out"/>
        <c:minorTickMark val="none"/>
        <c:tickLblPos val="nextTo"/>
        <c:txPr>
          <a:bodyPr/>
          <a:lstStyle/>
          <a:p>
            <a:pPr>
              <a:defRPr sz="800" b="0"/>
            </a:pPr>
            <a:endParaRPr lang="en-US"/>
          </a:p>
        </c:txPr>
        <c:crossAx val="62984447"/>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Forecast and Original Observations</a:t>
            </a:r>
          </a:p>
        </c:rich>
      </c:tx>
      <c:overlay val="0"/>
    </c:title>
    <c:autoTitleDeleted val="0"/>
    <c:plotArea>
      <c:layout/>
      <c:lineChart>
        <c:grouping val="standard"/>
        <c:varyColors val="0"/>
        <c:ser>
          <c:idx val="0"/>
          <c:order val="0"/>
          <c:tx>
            <c:v>West</c:v>
          </c:tx>
          <c:spPr>
            <a:ln>
              <a:solidFill>
                <a:srgbClr val="333399"/>
              </a:solidFill>
              <a:prstDash val="solid"/>
            </a:ln>
          </c:spPr>
          <c:marker>
            <c:symbol val="none"/>
          </c:marker>
          <c:cat>
            <c:strRef>
              <c:f>'Winter''s Forecast(West) a(3)'!$A$85:$A$209</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'Winter''s Forecast(West) a(3)'!$B$85:$B$209</c:f>
              <c:numCache>
                <c:formatCode>0.00</c:formatCode>
                <c:ptCount val="125"/>
                <c:pt idx="0">
                  <c:v>8164</c:v>
                </c:pt>
                <c:pt idx="1">
                  <c:v>6751</c:v>
                </c:pt>
                <c:pt idx="2">
                  <c:v>8435</c:v>
                </c:pt>
                <c:pt idx="3">
                  <c:v>8628</c:v>
                </c:pt>
                <c:pt idx="4">
                  <c:v>8327</c:v>
                </c:pt>
                <c:pt idx="5">
                  <c:v>10286</c:v>
                </c:pt>
                <c:pt idx="6">
                  <c:v>10368</c:v>
                </c:pt>
                <c:pt idx="7">
                  <c:v>11926</c:v>
                </c:pt>
                <c:pt idx="8">
                  <c:v>10230</c:v>
                </c:pt>
                <c:pt idx="9">
                  <c:v>8359</c:v>
                </c:pt>
                <c:pt idx="10">
                  <c:v>7776</c:v>
                </c:pt>
                <c:pt idx="11">
                  <c:v>8243</c:v>
                </c:pt>
                <c:pt idx="12">
                  <c:v>7212</c:v>
                </c:pt>
                <c:pt idx="13">
                  <c:v>7208</c:v>
                </c:pt>
                <c:pt idx="14">
                  <c:v>7257</c:v>
                </c:pt>
                <c:pt idx="15">
                  <c:v>8513</c:v>
                </c:pt>
                <c:pt idx="16">
                  <c:v>8647</c:v>
                </c:pt>
                <c:pt idx="17">
                  <c:v>8797</c:v>
                </c:pt>
                <c:pt idx="18">
                  <c:v>10465</c:v>
                </c:pt>
                <c:pt idx="19">
                  <c:v>11803</c:v>
                </c:pt>
                <c:pt idx="20">
                  <c:v>10281</c:v>
                </c:pt>
                <c:pt idx="21">
                  <c:v>10386</c:v>
                </c:pt>
                <c:pt idx="22">
                  <c:v>8028</c:v>
                </c:pt>
                <c:pt idx="23">
                  <c:v>7788</c:v>
                </c:pt>
                <c:pt idx="24">
                  <c:v>7109</c:v>
                </c:pt>
                <c:pt idx="25">
                  <c:v>7597</c:v>
                </c:pt>
                <c:pt idx="26">
                  <c:v>8260</c:v>
                </c:pt>
                <c:pt idx="27">
                  <c:v>8672</c:v>
                </c:pt>
                <c:pt idx="28">
                  <c:v>7380</c:v>
                </c:pt>
                <c:pt idx="29">
                  <c:v>9645</c:v>
                </c:pt>
                <c:pt idx="30">
                  <c:v>10674</c:v>
                </c:pt>
                <c:pt idx="31">
                  <c:v>10131</c:v>
                </c:pt>
                <c:pt idx="32">
                  <c:v>9684</c:v>
                </c:pt>
                <c:pt idx="33">
                  <c:v>9870</c:v>
                </c:pt>
                <c:pt idx="34">
                  <c:v>8504</c:v>
                </c:pt>
                <c:pt idx="35">
                  <c:v>8544</c:v>
                </c:pt>
                <c:pt idx="36">
                  <c:v>7496</c:v>
                </c:pt>
                <c:pt idx="37">
                  <c:v>7528</c:v>
                </c:pt>
                <c:pt idx="38">
                  <c:v>8295</c:v>
                </c:pt>
                <c:pt idx="39">
                  <c:v>7942</c:v>
                </c:pt>
                <c:pt idx="40">
                  <c:v>9686</c:v>
                </c:pt>
                <c:pt idx="41">
                  <c:v>10214</c:v>
                </c:pt>
                <c:pt idx="42">
                  <c:v>11050</c:v>
                </c:pt>
                <c:pt idx="43">
                  <c:v>10320</c:v>
                </c:pt>
                <c:pt idx="44">
                  <c:v>8270</c:v>
                </c:pt>
                <c:pt idx="45">
                  <c:v>9556</c:v>
                </c:pt>
                <c:pt idx="46">
                  <c:v>10349</c:v>
                </c:pt>
                <c:pt idx="47">
                  <c:v>7938</c:v>
                </c:pt>
                <c:pt idx="48">
                  <c:v>6467</c:v>
                </c:pt>
                <c:pt idx="49">
                  <c:v>7837</c:v>
                </c:pt>
                <c:pt idx="50">
                  <c:v>8325</c:v>
                </c:pt>
                <c:pt idx="51">
                  <c:v>8532</c:v>
                </c:pt>
                <c:pt idx="52">
                  <c:v>9786</c:v>
                </c:pt>
                <c:pt idx="53">
                  <c:v>9492</c:v>
                </c:pt>
                <c:pt idx="54">
                  <c:v>10284</c:v>
                </c:pt>
                <c:pt idx="55">
                  <c:v>9606</c:v>
                </c:pt>
                <c:pt idx="56">
                  <c:v>10037</c:v>
                </c:pt>
                <c:pt idx="57">
                  <c:v>10208</c:v>
                </c:pt>
                <c:pt idx="58">
                  <c:v>8585</c:v>
                </c:pt>
                <c:pt idx="59">
                  <c:v>10054</c:v>
                </c:pt>
                <c:pt idx="60">
                  <c:v>7521</c:v>
                </c:pt>
                <c:pt idx="61">
                  <c:v>7092</c:v>
                </c:pt>
                <c:pt idx="62">
                  <c:v>8594</c:v>
                </c:pt>
                <c:pt idx="63">
                  <c:v>8393</c:v>
                </c:pt>
                <c:pt idx="64">
                  <c:v>8940</c:v>
                </c:pt>
                <c:pt idx="65">
                  <c:v>9710</c:v>
                </c:pt>
                <c:pt idx="66">
                  <c:v>9392</c:v>
                </c:pt>
                <c:pt idx="67">
                  <c:v>11138</c:v>
                </c:pt>
                <c:pt idx="68">
                  <c:v>10664</c:v>
                </c:pt>
                <c:pt idx="69">
                  <c:v>9681</c:v>
                </c:pt>
                <c:pt idx="70">
                  <c:v>8698</c:v>
                </c:pt>
                <c:pt idx="71">
                  <c:v>8581</c:v>
                </c:pt>
                <c:pt idx="72">
                  <c:v>6310</c:v>
                </c:pt>
                <c:pt idx="73">
                  <c:v>7357</c:v>
                </c:pt>
                <c:pt idx="74">
                  <c:v>8353</c:v>
                </c:pt>
                <c:pt idx="75">
                  <c:v>8292</c:v>
                </c:pt>
                <c:pt idx="76">
                  <c:v>9078</c:v>
                </c:pt>
                <c:pt idx="77">
                  <c:v>10353</c:v>
                </c:pt>
                <c:pt idx="78">
                  <c:v>9228</c:v>
                </c:pt>
                <c:pt idx="79">
                  <c:v>9420</c:v>
                </c:pt>
                <c:pt idx="80">
                  <c:v>10636</c:v>
                </c:pt>
                <c:pt idx="81">
                  <c:v>9953</c:v>
                </c:pt>
                <c:pt idx="82">
                  <c:v>9177</c:v>
                </c:pt>
                <c:pt idx="83">
                  <c:v>7192</c:v>
                </c:pt>
                <c:pt idx="84">
                  <c:v>6624</c:v>
                </c:pt>
                <c:pt idx="85">
                  <c:v>9084</c:v>
                </c:pt>
                <c:pt idx="86">
                  <c:v>7771</c:v>
                </c:pt>
                <c:pt idx="87">
                  <c:v>9400</c:v>
                </c:pt>
                <c:pt idx="88">
                  <c:v>9194</c:v>
                </c:pt>
                <c:pt idx="89">
                  <c:v>10002</c:v>
                </c:pt>
                <c:pt idx="90">
                  <c:v>10538</c:v>
                </c:pt>
                <c:pt idx="91">
                  <c:v>8717</c:v>
                </c:pt>
                <c:pt idx="92">
                  <c:v>11071</c:v>
                </c:pt>
                <c:pt idx="93">
                  <c:v>9441</c:v>
                </c:pt>
                <c:pt idx="94">
                  <c:v>8548</c:v>
                </c:pt>
                <c:pt idx="95">
                  <c:v>8566</c:v>
                </c:pt>
                <c:pt idx="96">
                  <c:v>7876</c:v>
                </c:pt>
                <c:pt idx="97">
                  <c:v>7534</c:v>
                </c:pt>
                <c:pt idx="98">
                  <c:v>7125</c:v>
                </c:pt>
                <c:pt idx="99">
                  <c:v>8743</c:v>
                </c:pt>
                <c:pt idx="100">
                  <c:v>9070</c:v>
                </c:pt>
                <c:pt idx="101">
                  <c:v>9132</c:v>
                </c:pt>
                <c:pt idx="102">
                  <c:v>10237</c:v>
                </c:pt>
                <c:pt idx="103">
                  <c:v>9414</c:v>
                </c:pt>
                <c:pt idx="104">
                  <c:v>9033</c:v>
                </c:pt>
                <c:pt idx="105">
                  <c:v>8375</c:v>
                </c:pt>
                <c:pt idx="106">
                  <c:v>8906</c:v>
                </c:pt>
                <c:pt idx="107">
                  <c:v>7122</c:v>
                </c:pt>
                <c:pt idx="108">
                  <c:v>7193</c:v>
                </c:pt>
                <c:pt idx="109">
                  <c:v>7619</c:v>
                </c:pt>
                <c:pt idx="110">
                  <c:v>7793</c:v>
                </c:pt>
                <c:pt idx="111">
                  <c:v>7434</c:v>
                </c:pt>
                <c:pt idx="112">
                  <c:v>10299</c:v>
                </c:pt>
                <c:pt idx="113">
                  <c:v>9082</c:v>
                </c:pt>
                <c:pt idx="114">
                  <c:v>9805</c:v>
                </c:pt>
                <c:pt idx="115">
                  <c:v>10482</c:v>
                </c:pt>
                <c:pt idx="116">
                  <c:v>10858</c:v>
                </c:pt>
              </c:numCache>
            </c:numRef>
          </c:val>
          <c:smooth val="0"/>
          <c:extLst>
            <c:ext xmlns:c16="http://schemas.microsoft.com/office/drawing/2014/chart" uri="{C3380CC4-5D6E-409C-BE32-E72D297353CC}">
              <c16:uniqueId val="{00000000-4394-4140-ADCA-A7A92685BDBA}"/>
            </c:ext>
          </c:extLst>
        </c:ser>
        <c:ser>
          <c:idx val="1"/>
          <c:order val="1"/>
          <c:tx>
            <c:v>Forecast</c:v>
          </c:tx>
          <c:spPr>
            <a:ln>
              <a:solidFill>
                <a:srgbClr val="993366"/>
              </a:solidFill>
              <a:prstDash val="solid"/>
            </a:ln>
          </c:spPr>
          <c:marker>
            <c:symbol val="none"/>
          </c:marker>
          <c:cat>
            <c:strRef>
              <c:f>'Winter''s Forecast(West) a(3)'!$A$85:$A$209</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'Winter''s Forecast(West) a(3)'!$F$85:$F$209</c:f>
              <c:numCache>
                <c:formatCode>0.00</c:formatCode>
                <c:ptCount val="125"/>
                <c:pt idx="1">
                  <c:v>8809.9136906010044</c:v>
                </c:pt>
                <c:pt idx="2">
                  <c:v>8878.4165495822854</c:v>
                </c:pt>
                <c:pt idx="3">
                  <c:v>9442.8861703293314</c:v>
                </c:pt>
                <c:pt idx="4">
                  <c:v>9759.4981014367877</c:v>
                </c:pt>
                <c:pt idx="5">
                  <c:v>10296.817624260451</c:v>
                </c:pt>
                <c:pt idx="6">
                  <c:v>10917.14579523907</c:v>
                </c:pt>
                <c:pt idx="7">
                  <c:v>10867.153777051915</c:v>
                </c:pt>
                <c:pt idx="8">
                  <c:v>10695.117694451632</c:v>
                </c:pt>
                <c:pt idx="9">
                  <c:v>10147.363153776834</c:v>
                </c:pt>
                <c:pt idx="10">
                  <c:v>9057.8136925684375</c:v>
                </c:pt>
                <c:pt idx="11">
                  <c:v>8350.8276889192675</c:v>
                </c:pt>
                <c:pt idx="12">
                  <c:v>7197.0007684584598</c:v>
                </c:pt>
                <c:pt idx="13">
                  <c:v>7768.1961830273158</c:v>
                </c:pt>
                <c:pt idx="14">
                  <c:v>8011.7487541924802</c:v>
                </c:pt>
                <c:pt idx="15">
                  <c:v>8467.3376371771883</c:v>
                </c:pt>
                <c:pt idx="16">
                  <c:v>8864.7976315896158</c:v>
                </c:pt>
                <c:pt idx="17">
                  <c:v>9516.2642001612567</c:v>
                </c:pt>
                <c:pt idx="18">
                  <c:v>9983.5431278158194</c:v>
                </c:pt>
                <c:pt idx="19">
                  <c:v>10075.824900431984</c:v>
                </c:pt>
                <c:pt idx="20">
                  <c:v>10017.554145010901</c:v>
                </c:pt>
                <c:pt idx="21">
                  <c:v>9597.8899245960165</c:v>
                </c:pt>
                <c:pt idx="22">
                  <c:v>8885.7761638469274</c:v>
                </c:pt>
                <c:pt idx="23">
                  <c:v>8244.9284111962224</c:v>
                </c:pt>
                <c:pt idx="24">
                  <c:v>7063.1945085160751</c:v>
                </c:pt>
                <c:pt idx="25">
                  <c:v>7628.4043409669111</c:v>
                </c:pt>
                <c:pt idx="26">
                  <c:v>7943.3884523601</c:v>
                </c:pt>
                <c:pt idx="27">
                  <c:v>8555.2135176674619</c:v>
                </c:pt>
                <c:pt idx="28">
                  <c:v>8967.2269736229355</c:v>
                </c:pt>
                <c:pt idx="29">
                  <c:v>9419.5126118549833</c:v>
                </c:pt>
                <c:pt idx="30">
                  <c:v>10021.5705208035</c:v>
                </c:pt>
                <c:pt idx="31">
                  <c:v>10138.034468916669</c:v>
                </c:pt>
                <c:pt idx="32">
                  <c:v>9841.555324192017</c:v>
                </c:pt>
                <c:pt idx="33">
                  <c:v>9373.3616896679305</c:v>
                </c:pt>
                <c:pt idx="34">
                  <c:v>8642.7064569630475</c:v>
                </c:pt>
                <c:pt idx="35">
                  <c:v>8111.1486216094763</c:v>
                </c:pt>
                <c:pt idx="36">
                  <c:v>7055.5061835910019</c:v>
                </c:pt>
                <c:pt idx="37">
                  <c:v>7679.908398692739</c:v>
                </c:pt>
                <c:pt idx="38">
                  <c:v>7979.4483729736558</c:v>
                </c:pt>
                <c:pt idx="39">
                  <c:v>8593.6960598489968</c:v>
                </c:pt>
                <c:pt idx="40">
                  <c:v>8894.6131005442039</c:v>
                </c:pt>
                <c:pt idx="41">
                  <c:v>9701.0546310370846</c:v>
                </c:pt>
                <c:pt idx="42">
                  <c:v>10363.070290468208</c:v>
                </c:pt>
                <c:pt idx="43">
                  <c:v>10485.416833725807</c:v>
                </c:pt>
                <c:pt idx="44">
                  <c:v>10157.401712989604</c:v>
                </c:pt>
                <c:pt idx="45">
                  <c:v>9443.1445281527049</c:v>
                </c:pt>
                <c:pt idx="46">
                  <c:v>8657.2843504760694</c:v>
                </c:pt>
                <c:pt idx="47">
                  <c:v>8366.6410045298671</c:v>
                </c:pt>
                <c:pt idx="48">
                  <c:v>7171.7655297736901</c:v>
                </c:pt>
                <c:pt idx="49">
                  <c:v>7631.8905519024174</c:v>
                </c:pt>
                <c:pt idx="50">
                  <c:v>7981.6263252196586</c:v>
                </c:pt>
                <c:pt idx="51">
                  <c:v>8600.2143580122993</c:v>
                </c:pt>
                <c:pt idx="52">
                  <c:v>8987.1523663392582</c:v>
                </c:pt>
                <c:pt idx="53">
                  <c:v>9801.9208318746751</c:v>
                </c:pt>
                <c:pt idx="54">
                  <c:v>10347.557057039181</c:v>
                </c:pt>
                <c:pt idx="55">
                  <c:v>10364.21046594685</c:v>
                </c:pt>
                <c:pt idx="56">
                  <c:v>9958.8481922225201</c:v>
                </c:pt>
                <c:pt idx="57">
                  <c:v>9516.9825331665324</c:v>
                </c:pt>
                <c:pt idx="58">
                  <c:v>8799.2076126477659</c:v>
                </c:pt>
                <c:pt idx="59">
                  <c:v>8248.4629564551251</c:v>
                </c:pt>
                <c:pt idx="60">
                  <c:v>7340.5503173406796</c:v>
                </c:pt>
                <c:pt idx="61">
                  <c:v>7948.2445432730128</c:v>
                </c:pt>
                <c:pt idx="62">
                  <c:v>8156.126600980715</c:v>
                </c:pt>
                <c:pt idx="63">
                  <c:v>8801.4221622857167</c:v>
                </c:pt>
                <c:pt idx="64">
                  <c:v>9147.7809401886188</c:v>
                </c:pt>
                <c:pt idx="65">
                  <c:v>9822.7751961432077</c:v>
                </c:pt>
                <c:pt idx="66">
                  <c:v>10399.037273604185</c:v>
                </c:pt>
                <c:pt idx="67">
                  <c:v>10283.030999952061</c:v>
                </c:pt>
                <c:pt idx="68">
                  <c:v>10099.919870682845</c:v>
                </c:pt>
                <c:pt idx="69">
                  <c:v>9716.8554217133005</c:v>
                </c:pt>
                <c:pt idx="70">
                  <c:v>8888.8189277324291</c:v>
                </c:pt>
                <c:pt idx="71">
                  <c:v>8335.8876131652978</c:v>
                </c:pt>
                <c:pt idx="72">
                  <c:v>7226.8854206702754</c:v>
                </c:pt>
                <c:pt idx="73">
                  <c:v>7659.2578785622909</c:v>
                </c:pt>
                <c:pt idx="74">
                  <c:v>7935.9239812838287</c:v>
                </c:pt>
                <c:pt idx="75">
                  <c:v>8562.3242730888142</c:v>
                </c:pt>
                <c:pt idx="76">
                  <c:v>8917.8013245113707</c:v>
                </c:pt>
                <c:pt idx="77">
                  <c:v>9630.5690413318298</c:v>
                </c:pt>
                <c:pt idx="78">
                  <c:v>10319.482422626603</c:v>
                </c:pt>
                <c:pt idx="79">
                  <c:v>10191.349740261547</c:v>
                </c:pt>
                <c:pt idx="80">
                  <c:v>9789.1441171189763</c:v>
                </c:pt>
                <c:pt idx="81">
                  <c:v>9457.941527583489</c:v>
                </c:pt>
                <c:pt idx="82">
                  <c:v>8719.9563401154192</c:v>
                </c:pt>
                <c:pt idx="83">
                  <c:v>8262.5404615556581</c:v>
                </c:pt>
                <c:pt idx="84">
                  <c:v>7004.014035836276</c:v>
                </c:pt>
                <c:pt idx="85">
                  <c:v>7499.9903879910462</c:v>
                </c:pt>
                <c:pt idx="86">
                  <c:v>8045.8696676986738</c:v>
                </c:pt>
                <c:pt idx="87">
                  <c:v>8576.0748667736007</c:v>
                </c:pt>
                <c:pt idx="88">
                  <c:v>9092.9451445613249</c:v>
                </c:pt>
                <c:pt idx="89">
                  <c:v>9810.3903487888256</c:v>
                </c:pt>
                <c:pt idx="90">
                  <c:v>10431.220941048659</c:v>
                </c:pt>
                <c:pt idx="91">
                  <c:v>10472.104032791978</c:v>
                </c:pt>
                <c:pt idx="92">
                  <c:v>9927.7452460746554</c:v>
                </c:pt>
                <c:pt idx="93">
                  <c:v>9630.0491621008132</c:v>
                </c:pt>
                <c:pt idx="94">
                  <c:v>8789.6382839120815</c:v>
                </c:pt>
                <c:pt idx="95">
                  <c:v>8235.833830880576</c:v>
                </c:pt>
                <c:pt idx="96">
                  <c:v>7150.7659113094132</c:v>
                </c:pt>
                <c:pt idx="97">
                  <c:v>7825.8973743633842</c:v>
                </c:pt>
                <c:pt idx="98">
                  <c:v>8111.1535399287723</c:v>
                </c:pt>
                <c:pt idx="99">
                  <c:v>8539.0572494297703</c:v>
                </c:pt>
                <c:pt idx="100">
                  <c:v>8963.1197011033455</c:v>
                </c:pt>
                <c:pt idx="101">
                  <c:v>9671.3473324624483</c:v>
                </c:pt>
                <c:pt idx="102">
                  <c:v>10174.865611428491</c:v>
                </c:pt>
                <c:pt idx="103">
                  <c:v>10208.693869486917</c:v>
                </c:pt>
                <c:pt idx="104">
                  <c:v>9802.809245127848</c:v>
                </c:pt>
                <c:pt idx="105">
                  <c:v>9254.2855305761987</c:v>
                </c:pt>
                <c:pt idx="106">
                  <c:v>8356.8262875374712</c:v>
                </c:pt>
                <c:pt idx="107">
                  <c:v>7932.9591906602291</c:v>
                </c:pt>
                <c:pt idx="108">
                  <c:v>6750.7769760183091</c:v>
                </c:pt>
                <c:pt idx="109">
                  <c:v>7351.1791297144955</c:v>
                </c:pt>
                <c:pt idx="110">
                  <c:v>7698.1731599716859</c:v>
                </c:pt>
                <c:pt idx="111">
                  <c:v>8259.0837450664694</c:v>
                </c:pt>
                <c:pt idx="112">
                  <c:v>8518.8984372459472</c:v>
                </c:pt>
                <c:pt idx="113">
                  <c:v>9445.6734453568479</c:v>
                </c:pt>
                <c:pt idx="114">
                  <c:v>9961.5988655696165</c:v>
                </c:pt>
                <c:pt idx="115">
                  <c:v>9963.9951746263796</c:v>
                </c:pt>
                <c:pt idx="116">
                  <c:v>9744.0772054378067</c:v>
                </c:pt>
                <c:pt idx="117">
                  <c:v>9450.6978070173518</c:v>
                </c:pt>
                <c:pt idx="118">
                  <c:v>8649.6966631537362</c:v>
                </c:pt>
                <c:pt idx="119">
                  <c:v>8136.0484254062039</c:v>
                </c:pt>
                <c:pt idx="120">
                  <c:v>7024.5367558891494</c:v>
                </c:pt>
                <c:pt idx="121">
                  <c:v>7579.7281131420323</c:v>
                </c:pt>
                <c:pt idx="122">
                  <c:v>7897.2404821265955</c:v>
                </c:pt>
                <c:pt idx="123">
                  <c:v>8458.1432498484955</c:v>
                </c:pt>
                <c:pt idx="124">
                  <c:v>8848.4657082248086</c:v>
                </c:pt>
              </c:numCache>
            </c:numRef>
          </c:val>
          <c:smooth val="0"/>
          <c:extLst>
            <c:ext xmlns:c16="http://schemas.microsoft.com/office/drawing/2014/chart" uri="{C3380CC4-5D6E-409C-BE32-E72D297353CC}">
              <c16:uniqueId val="{00000001-4394-4140-ADCA-A7A92685BDBA}"/>
            </c:ext>
          </c:extLst>
        </c:ser>
        <c:dLbls>
          <c:showLegendKey val="0"/>
          <c:showVal val="0"/>
          <c:showCatName val="0"/>
          <c:showSerName val="0"/>
          <c:showPercent val="0"/>
          <c:showBubbleSize val="0"/>
        </c:dLbls>
        <c:smooth val="0"/>
        <c:axId val="1714206800"/>
        <c:axId val="1714199120"/>
      </c:lineChart>
      <c:catAx>
        <c:axId val="1714206800"/>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714199120"/>
        <c:crosses val="autoZero"/>
        <c:auto val="1"/>
        <c:lblAlgn val="ctr"/>
        <c:lblOffset val="100"/>
        <c:noMultiLvlLbl val="0"/>
      </c:catAx>
      <c:valAx>
        <c:axId val="1714199120"/>
        <c:scaling>
          <c:orientation val="minMax"/>
        </c:scaling>
        <c:delete val="0"/>
        <c:axPos val="l"/>
        <c:numFmt formatCode="0.00" sourceLinked="0"/>
        <c:majorTickMark val="out"/>
        <c:minorTickMark val="none"/>
        <c:tickLblPos val="nextTo"/>
        <c:txPr>
          <a:bodyPr/>
          <a:lstStyle/>
          <a:p>
            <a:pPr>
              <a:defRPr sz="800" b="0"/>
            </a:pPr>
            <a:endParaRPr lang="en-US"/>
          </a:p>
        </c:txPr>
        <c:crossAx val="1714206800"/>
        <c:crosses val="autoZero"/>
        <c:crossBetween val="between"/>
      </c:valAx>
    </c:plotArea>
    <c:legend>
      <c:legendPos val="r"/>
      <c:overlay val="0"/>
      <c:spPr>
        <a:ln>
          <a:solidFill>
            <a:srgbClr val="000000"/>
          </a:solidFill>
          <a:prstDash val="solid"/>
        </a:ln>
      </c:sp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Original Observations</a:t>
            </a:r>
          </a:p>
        </c:rich>
      </c:tx>
      <c:overlay val="0"/>
    </c:title>
    <c:autoTitleDeleted val="0"/>
    <c:plotArea>
      <c:layout/>
      <c:lineChart>
        <c:grouping val="standard"/>
        <c:varyColors val="0"/>
        <c:ser>
          <c:idx val="0"/>
          <c:order val="0"/>
          <c:tx>
            <c:v>West</c:v>
          </c:tx>
          <c:spPr>
            <a:ln>
              <a:solidFill>
                <a:srgbClr val="333399"/>
              </a:solidFill>
              <a:prstDash val="solid"/>
            </a:ln>
          </c:spPr>
          <c:marker>
            <c:symbol val="none"/>
          </c:marker>
          <c:cat>
            <c:strRef>
              <c:f>'Winter''s Forecast(West) a(3)'!$A$85:$A$201</c:f>
              <c:strCache>
                <c:ptCount val="117"/>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strCache>
            </c:strRef>
          </c:cat>
          <c:val>
            <c:numRef>
              <c:f>'Winter''s Forecast(West) a(3)'!$B$85:$B$201</c:f>
              <c:numCache>
                <c:formatCode>0.00</c:formatCode>
                <c:ptCount val="117"/>
                <c:pt idx="0">
                  <c:v>8164</c:v>
                </c:pt>
                <c:pt idx="1">
                  <c:v>6751</c:v>
                </c:pt>
                <c:pt idx="2">
                  <c:v>8435</c:v>
                </c:pt>
                <c:pt idx="3">
                  <c:v>8628</c:v>
                </c:pt>
                <c:pt idx="4">
                  <c:v>8327</c:v>
                </c:pt>
                <c:pt idx="5">
                  <c:v>10286</c:v>
                </c:pt>
                <c:pt idx="6">
                  <c:v>10368</c:v>
                </c:pt>
                <c:pt idx="7">
                  <c:v>11926</c:v>
                </c:pt>
                <c:pt idx="8">
                  <c:v>10230</c:v>
                </c:pt>
                <c:pt idx="9">
                  <c:v>8359</c:v>
                </c:pt>
                <c:pt idx="10">
                  <c:v>7776</c:v>
                </c:pt>
                <c:pt idx="11">
                  <c:v>8243</c:v>
                </c:pt>
                <c:pt idx="12">
                  <c:v>7212</c:v>
                </c:pt>
                <c:pt idx="13">
                  <c:v>7208</c:v>
                </c:pt>
                <c:pt idx="14">
                  <c:v>7257</c:v>
                </c:pt>
                <c:pt idx="15">
                  <c:v>8513</c:v>
                </c:pt>
                <c:pt idx="16">
                  <c:v>8647</c:v>
                </c:pt>
                <c:pt idx="17">
                  <c:v>8797</c:v>
                </c:pt>
                <c:pt idx="18">
                  <c:v>10465</c:v>
                </c:pt>
                <c:pt idx="19">
                  <c:v>11803</c:v>
                </c:pt>
                <c:pt idx="20">
                  <c:v>10281</c:v>
                </c:pt>
                <c:pt idx="21">
                  <c:v>10386</c:v>
                </c:pt>
                <c:pt idx="22">
                  <c:v>8028</c:v>
                </c:pt>
                <c:pt idx="23">
                  <c:v>7788</c:v>
                </c:pt>
                <c:pt idx="24">
                  <c:v>7109</c:v>
                </c:pt>
                <c:pt idx="25">
                  <c:v>7597</c:v>
                </c:pt>
                <c:pt idx="26">
                  <c:v>8260</c:v>
                </c:pt>
                <c:pt idx="27">
                  <c:v>8672</c:v>
                </c:pt>
                <c:pt idx="28">
                  <c:v>7380</c:v>
                </c:pt>
                <c:pt idx="29">
                  <c:v>9645</c:v>
                </c:pt>
                <c:pt idx="30">
                  <c:v>10674</c:v>
                </c:pt>
                <c:pt idx="31">
                  <c:v>10131</c:v>
                </c:pt>
                <c:pt idx="32">
                  <c:v>9684</c:v>
                </c:pt>
                <c:pt idx="33">
                  <c:v>9870</c:v>
                </c:pt>
                <c:pt idx="34">
                  <c:v>8504</c:v>
                </c:pt>
                <c:pt idx="35">
                  <c:v>8544</c:v>
                </c:pt>
                <c:pt idx="36">
                  <c:v>7496</c:v>
                </c:pt>
                <c:pt idx="37">
                  <c:v>7528</c:v>
                </c:pt>
                <c:pt idx="38">
                  <c:v>8295</c:v>
                </c:pt>
                <c:pt idx="39">
                  <c:v>7942</c:v>
                </c:pt>
                <c:pt idx="40">
                  <c:v>9686</c:v>
                </c:pt>
                <c:pt idx="41">
                  <c:v>10214</c:v>
                </c:pt>
                <c:pt idx="42">
                  <c:v>11050</c:v>
                </c:pt>
                <c:pt idx="43">
                  <c:v>10320</c:v>
                </c:pt>
                <c:pt idx="44">
                  <c:v>8270</c:v>
                </c:pt>
                <c:pt idx="45">
                  <c:v>9556</c:v>
                </c:pt>
                <c:pt idx="46">
                  <c:v>10349</c:v>
                </c:pt>
                <c:pt idx="47">
                  <c:v>7938</c:v>
                </c:pt>
                <c:pt idx="48">
                  <c:v>6467</c:v>
                </c:pt>
                <c:pt idx="49">
                  <c:v>7837</c:v>
                </c:pt>
                <c:pt idx="50">
                  <c:v>8325</c:v>
                </c:pt>
                <c:pt idx="51">
                  <c:v>8532</c:v>
                </c:pt>
                <c:pt idx="52">
                  <c:v>9786</c:v>
                </c:pt>
                <c:pt idx="53">
                  <c:v>9492</c:v>
                </c:pt>
                <c:pt idx="54">
                  <c:v>10284</c:v>
                </c:pt>
                <c:pt idx="55">
                  <c:v>9606</c:v>
                </c:pt>
                <c:pt idx="56">
                  <c:v>10037</c:v>
                </c:pt>
                <c:pt idx="57">
                  <c:v>10208</c:v>
                </c:pt>
                <c:pt idx="58">
                  <c:v>8585</c:v>
                </c:pt>
                <c:pt idx="59">
                  <c:v>10054</c:v>
                </c:pt>
                <c:pt idx="60">
                  <c:v>7521</c:v>
                </c:pt>
                <c:pt idx="61">
                  <c:v>7092</c:v>
                </c:pt>
                <c:pt idx="62">
                  <c:v>8594</c:v>
                </c:pt>
                <c:pt idx="63">
                  <c:v>8393</c:v>
                </c:pt>
                <c:pt idx="64">
                  <c:v>8940</c:v>
                </c:pt>
                <c:pt idx="65">
                  <c:v>9710</c:v>
                </c:pt>
                <c:pt idx="66">
                  <c:v>9392</c:v>
                </c:pt>
                <c:pt idx="67">
                  <c:v>11138</c:v>
                </c:pt>
                <c:pt idx="68">
                  <c:v>10664</c:v>
                </c:pt>
                <c:pt idx="69">
                  <c:v>9681</c:v>
                </c:pt>
                <c:pt idx="70">
                  <c:v>8698</c:v>
                </c:pt>
                <c:pt idx="71">
                  <c:v>8581</c:v>
                </c:pt>
                <c:pt idx="72">
                  <c:v>6310</c:v>
                </c:pt>
                <c:pt idx="73">
                  <c:v>7357</c:v>
                </c:pt>
                <c:pt idx="74">
                  <c:v>8353</c:v>
                </c:pt>
                <c:pt idx="75">
                  <c:v>8292</c:v>
                </c:pt>
                <c:pt idx="76">
                  <c:v>9078</c:v>
                </c:pt>
                <c:pt idx="77">
                  <c:v>10353</c:v>
                </c:pt>
                <c:pt idx="78">
                  <c:v>9228</c:v>
                </c:pt>
                <c:pt idx="79">
                  <c:v>9420</c:v>
                </c:pt>
                <c:pt idx="80">
                  <c:v>10636</c:v>
                </c:pt>
                <c:pt idx="81">
                  <c:v>9953</c:v>
                </c:pt>
                <c:pt idx="82">
                  <c:v>9177</c:v>
                </c:pt>
                <c:pt idx="83">
                  <c:v>7192</c:v>
                </c:pt>
                <c:pt idx="84">
                  <c:v>6624</c:v>
                </c:pt>
                <c:pt idx="85">
                  <c:v>9084</c:v>
                </c:pt>
                <c:pt idx="86">
                  <c:v>7771</c:v>
                </c:pt>
                <c:pt idx="87">
                  <c:v>9400</c:v>
                </c:pt>
                <c:pt idx="88">
                  <c:v>9194</c:v>
                </c:pt>
                <c:pt idx="89">
                  <c:v>10002</c:v>
                </c:pt>
                <c:pt idx="90">
                  <c:v>10538</c:v>
                </c:pt>
                <c:pt idx="91">
                  <c:v>8717</c:v>
                </c:pt>
                <c:pt idx="92">
                  <c:v>11071</c:v>
                </c:pt>
                <c:pt idx="93">
                  <c:v>9441</c:v>
                </c:pt>
                <c:pt idx="94">
                  <c:v>8548</c:v>
                </c:pt>
                <c:pt idx="95">
                  <c:v>8566</c:v>
                </c:pt>
                <c:pt idx="96">
                  <c:v>7876</c:v>
                </c:pt>
                <c:pt idx="97">
                  <c:v>7534</c:v>
                </c:pt>
                <c:pt idx="98">
                  <c:v>7125</c:v>
                </c:pt>
                <c:pt idx="99">
                  <c:v>8743</c:v>
                </c:pt>
                <c:pt idx="100">
                  <c:v>9070</c:v>
                </c:pt>
                <c:pt idx="101">
                  <c:v>9132</c:v>
                </c:pt>
                <c:pt idx="102">
                  <c:v>10237</c:v>
                </c:pt>
                <c:pt idx="103">
                  <c:v>9414</c:v>
                </c:pt>
                <c:pt idx="104">
                  <c:v>9033</c:v>
                </c:pt>
                <c:pt idx="105">
                  <c:v>8375</c:v>
                </c:pt>
                <c:pt idx="106">
                  <c:v>8906</c:v>
                </c:pt>
                <c:pt idx="107">
                  <c:v>7122</c:v>
                </c:pt>
                <c:pt idx="108">
                  <c:v>7193</c:v>
                </c:pt>
                <c:pt idx="109">
                  <c:v>7619</c:v>
                </c:pt>
                <c:pt idx="110">
                  <c:v>7793</c:v>
                </c:pt>
                <c:pt idx="111">
                  <c:v>7434</c:v>
                </c:pt>
                <c:pt idx="112">
                  <c:v>10299</c:v>
                </c:pt>
                <c:pt idx="113">
                  <c:v>9082</c:v>
                </c:pt>
                <c:pt idx="114">
                  <c:v>9805</c:v>
                </c:pt>
                <c:pt idx="115">
                  <c:v>10482</c:v>
                </c:pt>
                <c:pt idx="116">
                  <c:v>10858</c:v>
                </c:pt>
              </c:numCache>
            </c:numRef>
          </c:val>
          <c:smooth val="0"/>
          <c:extLst>
            <c:ext xmlns:c16="http://schemas.microsoft.com/office/drawing/2014/chart" uri="{C3380CC4-5D6E-409C-BE32-E72D297353CC}">
              <c16:uniqueId val="{00000000-98E3-41EE-AD8F-398E244A9BC2}"/>
            </c:ext>
          </c:extLst>
        </c:ser>
        <c:dLbls>
          <c:showLegendKey val="0"/>
          <c:showVal val="0"/>
          <c:showCatName val="0"/>
          <c:showSerName val="0"/>
          <c:showPercent val="0"/>
          <c:showBubbleSize val="0"/>
        </c:dLbls>
        <c:smooth val="0"/>
        <c:axId val="1714200080"/>
        <c:axId val="1714193840"/>
      </c:lineChart>
      <c:catAx>
        <c:axId val="1714200080"/>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714193840"/>
        <c:crosses val="autoZero"/>
        <c:auto val="1"/>
        <c:lblAlgn val="ctr"/>
        <c:lblOffset val="100"/>
        <c:noMultiLvlLbl val="0"/>
      </c:catAx>
      <c:valAx>
        <c:axId val="1714193840"/>
        <c:scaling>
          <c:orientation val="minMax"/>
        </c:scaling>
        <c:delete val="0"/>
        <c:axPos val="l"/>
        <c:numFmt formatCode="0.00" sourceLinked="0"/>
        <c:majorTickMark val="out"/>
        <c:minorTickMark val="none"/>
        <c:tickLblPos val="nextTo"/>
        <c:txPr>
          <a:bodyPr/>
          <a:lstStyle/>
          <a:p>
            <a:pPr>
              <a:defRPr sz="800" b="0"/>
            </a:pPr>
            <a:endParaRPr lang="en-US"/>
          </a:p>
        </c:txPr>
        <c:crossAx val="1714200080"/>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Forecast Errors</a:t>
            </a:r>
          </a:p>
        </c:rich>
      </c:tx>
      <c:overlay val="0"/>
    </c:title>
    <c:autoTitleDeleted val="0"/>
    <c:plotArea>
      <c:layout/>
      <c:lineChart>
        <c:grouping val="standard"/>
        <c:varyColors val="0"/>
        <c:ser>
          <c:idx val="0"/>
          <c:order val="0"/>
          <c:tx>
            <c:v>Errors</c:v>
          </c:tx>
          <c:spPr>
            <a:ln>
              <a:solidFill>
                <a:srgbClr val="333399"/>
              </a:solidFill>
              <a:prstDash val="solid"/>
            </a:ln>
          </c:spPr>
          <c:marker>
            <c:symbol val="none"/>
          </c:marker>
          <c:cat>
            <c:strRef>
              <c:f>'Winter''s Forecast(West) a(3)'!$A$85:$A$201</c:f>
              <c:strCache>
                <c:ptCount val="117"/>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strCache>
            </c:strRef>
          </c:cat>
          <c:val>
            <c:numRef>
              <c:f>'Winter''s Forecast(West) a(3)'!$G$86:$G$209</c:f>
              <c:numCache>
                <c:formatCode>0.00</c:formatCode>
                <c:ptCount val="124"/>
                <c:pt idx="0">
                  <c:v>-2058.9136906010044</c:v>
                </c:pt>
                <c:pt idx="1">
                  <c:v>-443.41654958228537</c:v>
                </c:pt>
                <c:pt idx="2">
                  <c:v>-814.88617032933143</c:v>
                </c:pt>
                <c:pt idx="3">
                  <c:v>-1432.4981014367877</c:v>
                </c:pt>
                <c:pt idx="4">
                  <c:v>-10.817624260451339</c:v>
                </c:pt>
                <c:pt idx="5">
                  <c:v>-549.14579523907014</c:v>
                </c:pt>
                <c:pt idx="6">
                  <c:v>1058.8462229480847</c:v>
                </c:pt>
                <c:pt idx="7">
                  <c:v>-465.11769445163191</c:v>
                </c:pt>
                <c:pt idx="8">
                  <c:v>-1788.3631537768342</c:v>
                </c:pt>
                <c:pt idx="9">
                  <c:v>-1281.8136925684375</c:v>
                </c:pt>
                <c:pt idx="10">
                  <c:v>-107.82768891926753</c:v>
                </c:pt>
                <c:pt idx="11">
                  <c:v>14.999231541540212</c:v>
                </c:pt>
                <c:pt idx="12">
                  <c:v>-560.19618302731578</c:v>
                </c:pt>
                <c:pt idx="13">
                  <c:v>-754.74875419248019</c:v>
                </c:pt>
                <c:pt idx="14">
                  <c:v>45.662362822811701</c:v>
                </c:pt>
                <c:pt idx="15">
                  <c:v>-217.79763158961578</c:v>
                </c:pt>
                <c:pt idx="16">
                  <c:v>-719.26420016125667</c:v>
                </c:pt>
                <c:pt idx="17">
                  <c:v>481.45687218418061</c:v>
                </c:pt>
                <c:pt idx="18">
                  <c:v>1727.1750995680159</c:v>
                </c:pt>
                <c:pt idx="19">
                  <c:v>263.44585498909873</c:v>
                </c:pt>
                <c:pt idx="20">
                  <c:v>788.1100754039835</c:v>
                </c:pt>
                <c:pt idx="21">
                  <c:v>-857.77616384692737</c:v>
                </c:pt>
                <c:pt idx="22">
                  <c:v>-456.92841119622244</c:v>
                </c:pt>
                <c:pt idx="23">
                  <c:v>45.805491483924925</c:v>
                </c:pt>
                <c:pt idx="24">
                  <c:v>-31.40434096691115</c:v>
                </c:pt>
                <c:pt idx="25">
                  <c:v>316.61154763989998</c:v>
                </c:pt>
                <c:pt idx="26">
                  <c:v>116.78648233253807</c:v>
                </c:pt>
                <c:pt idx="27">
                  <c:v>-1587.2269736229355</c:v>
                </c:pt>
                <c:pt idx="28">
                  <c:v>225.48738814501667</c:v>
                </c:pt>
                <c:pt idx="29">
                  <c:v>652.42947919650032</c:v>
                </c:pt>
                <c:pt idx="30">
                  <c:v>-7.0344689166686294</c:v>
                </c:pt>
                <c:pt idx="31">
                  <c:v>-157.555324192017</c:v>
                </c:pt>
                <c:pt idx="32">
                  <c:v>496.63831033206952</c:v>
                </c:pt>
                <c:pt idx="33">
                  <c:v>-138.70645696304746</c:v>
                </c:pt>
                <c:pt idx="34">
                  <c:v>432.85137839052368</c:v>
                </c:pt>
                <c:pt idx="35">
                  <c:v>440.4938164089981</c:v>
                </c:pt>
                <c:pt idx="36">
                  <c:v>-151.90839869273896</c:v>
                </c:pt>
                <c:pt idx="37">
                  <c:v>315.55162702634425</c:v>
                </c:pt>
                <c:pt idx="38">
                  <c:v>-651.69605984899681</c:v>
                </c:pt>
                <c:pt idx="39">
                  <c:v>791.38689945579608</c:v>
                </c:pt>
                <c:pt idx="40">
                  <c:v>512.94536896291538</c:v>
                </c:pt>
                <c:pt idx="41">
                  <c:v>686.92970953179247</c:v>
                </c:pt>
                <c:pt idx="42">
                  <c:v>-165.41683372580701</c:v>
                </c:pt>
                <c:pt idx="43">
                  <c:v>-1887.4017129896038</c:v>
                </c:pt>
                <c:pt idx="44">
                  <c:v>112.85547184729512</c:v>
                </c:pt>
                <c:pt idx="45">
                  <c:v>1691.7156495239306</c:v>
                </c:pt>
                <c:pt idx="46">
                  <c:v>-428.64100452986713</c:v>
                </c:pt>
                <c:pt idx="47">
                  <c:v>-704.7655297736901</c:v>
                </c:pt>
                <c:pt idx="48">
                  <c:v>205.10944809758257</c:v>
                </c:pt>
                <c:pt idx="49">
                  <c:v>343.37367478034139</c:v>
                </c:pt>
                <c:pt idx="50">
                  <c:v>-68.214358012299272</c:v>
                </c:pt>
                <c:pt idx="51">
                  <c:v>798.84763366074185</c:v>
                </c:pt>
                <c:pt idx="52">
                  <c:v>-309.92083187467506</c:v>
                </c:pt>
                <c:pt idx="53">
                  <c:v>-63.557057039181018</c:v>
                </c:pt>
                <c:pt idx="54">
                  <c:v>-758.21046594684958</c:v>
                </c:pt>
                <c:pt idx="55">
                  <c:v>78.151807777479917</c:v>
                </c:pt>
                <c:pt idx="56">
                  <c:v>691.01746683346755</c:v>
                </c:pt>
                <c:pt idx="57">
                  <c:v>-214.20761264776593</c:v>
                </c:pt>
                <c:pt idx="58">
                  <c:v>1805.5370435448749</c:v>
                </c:pt>
                <c:pt idx="59">
                  <c:v>180.44968265932039</c:v>
                </c:pt>
                <c:pt idx="60">
                  <c:v>-856.24454327301282</c:v>
                </c:pt>
                <c:pt idx="61">
                  <c:v>437.87339901928499</c:v>
                </c:pt>
                <c:pt idx="62">
                  <c:v>-408.42216228571669</c:v>
                </c:pt>
                <c:pt idx="63">
                  <c:v>-207.78094018861884</c:v>
                </c:pt>
                <c:pt idx="64">
                  <c:v>-112.77519614320772</c:v>
                </c:pt>
                <c:pt idx="65">
                  <c:v>-1007.0372736041845</c:v>
                </c:pt>
                <c:pt idx="66">
                  <c:v>854.96900004793861</c:v>
                </c:pt>
                <c:pt idx="67">
                  <c:v>564.0801293171553</c:v>
                </c:pt>
                <c:pt idx="68">
                  <c:v>-35.85542171330053</c:v>
                </c:pt>
                <c:pt idx="69">
                  <c:v>-190.81892773242907</c:v>
                </c:pt>
                <c:pt idx="70">
                  <c:v>245.11238683470219</c:v>
                </c:pt>
                <c:pt idx="71">
                  <c:v>-916.88542067027538</c:v>
                </c:pt>
                <c:pt idx="72">
                  <c:v>-302.2578785622909</c:v>
                </c:pt>
                <c:pt idx="73">
                  <c:v>417.07601871617135</c:v>
                </c:pt>
                <c:pt idx="74">
                  <c:v>-270.32427308881415</c:v>
                </c:pt>
                <c:pt idx="75">
                  <c:v>160.19867548862931</c:v>
                </c:pt>
                <c:pt idx="76">
                  <c:v>722.43095866817021</c:v>
                </c:pt>
                <c:pt idx="77">
                  <c:v>-1091.4824226266028</c:v>
                </c:pt>
                <c:pt idx="78">
                  <c:v>-771.34974026154669</c:v>
                </c:pt>
                <c:pt idx="79">
                  <c:v>846.85588288102372</c:v>
                </c:pt>
                <c:pt idx="80">
                  <c:v>495.05847241651099</c:v>
                </c:pt>
                <c:pt idx="81">
                  <c:v>457.04365988458085</c:v>
                </c:pt>
                <c:pt idx="82">
                  <c:v>-1070.5404615556581</c:v>
                </c:pt>
                <c:pt idx="83">
                  <c:v>-380.01403583627598</c:v>
                </c:pt>
                <c:pt idx="84">
                  <c:v>1584.0096120089538</c:v>
                </c:pt>
                <c:pt idx="85">
                  <c:v>-274.86966769867377</c:v>
                </c:pt>
                <c:pt idx="86">
                  <c:v>823.92513322639934</c:v>
                </c:pt>
                <c:pt idx="87">
                  <c:v>101.05485543867508</c:v>
                </c:pt>
                <c:pt idx="88">
                  <c:v>191.60965121117442</c:v>
                </c:pt>
                <c:pt idx="89">
                  <c:v>106.77905895134063</c:v>
                </c:pt>
                <c:pt idx="90">
                  <c:v>-1755.1040327919782</c:v>
                </c:pt>
                <c:pt idx="91">
                  <c:v>1143.2547539253446</c:v>
                </c:pt>
                <c:pt idx="92">
                  <c:v>-189.04916210081319</c:v>
                </c:pt>
                <c:pt idx="93">
                  <c:v>-241.63828391208153</c:v>
                </c:pt>
                <c:pt idx="94">
                  <c:v>330.16616911942401</c:v>
                </c:pt>
                <c:pt idx="95">
                  <c:v>725.23408869058676</c:v>
                </c:pt>
                <c:pt idx="96">
                  <c:v>-291.89737436338419</c:v>
                </c:pt>
                <c:pt idx="97">
                  <c:v>-986.15353992877226</c:v>
                </c:pt>
                <c:pt idx="98">
                  <c:v>203.94275057022969</c:v>
                </c:pt>
                <c:pt idx="99">
                  <c:v>106.88029889665449</c:v>
                </c:pt>
                <c:pt idx="100">
                  <c:v>-539.34733246244832</c:v>
                </c:pt>
                <c:pt idx="101">
                  <c:v>62.13438857150868</c:v>
                </c:pt>
                <c:pt idx="102">
                  <c:v>-794.69386948691681</c:v>
                </c:pt>
                <c:pt idx="103">
                  <c:v>-769.80924512784804</c:v>
                </c:pt>
                <c:pt idx="104">
                  <c:v>-879.28553057619865</c:v>
                </c:pt>
                <c:pt idx="105">
                  <c:v>549.17371246252878</c:v>
                </c:pt>
                <c:pt idx="106">
                  <c:v>-810.95919066022907</c:v>
                </c:pt>
                <c:pt idx="107">
                  <c:v>442.22302398169086</c:v>
                </c:pt>
                <c:pt idx="108">
                  <c:v>267.8208702855045</c:v>
                </c:pt>
                <c:pt idx="109">
                  <c:v>94.826840028314109</c:v>
                </c:pt>
                <c:pt idx="110">
                  <c:v>-825.08374506646942</c:v>
                </c:pt>
                <c:pt idx="111">
                  <c:v>1780.1015627540528</c:v>
                </c:pt>
                <c:pt idx="112">
                  <c:v>-363.67344535684788</c:v>
                </c:pt>
                <c:pt idx="113">
                  <c:v>-156.59886556961646</c:v>
                </c:pt>
                <c:pt idx="114">
                  <c:v>518.00482537362041</c:v>
                </c:pt>
                <c:pt idx="115">
                  <c:v>1113.9227945621933</c:v>
                </c:pt>
              </c:numCache>
            </c:numRef>
          </c:val>
          <c:smooth val="0"/>
          <c:extLst>
            <c:ext xmlns:c16="http://schemas.microsoft.com/office/drawing/2014/chart" uri="{C3380CC4-5D6E-409C-BE32-E72D297353CC}">
              <c16:uniqueId val="{00000000-A2BA-47D4-A56D-BDFB7BDBB004}"/>
            </c:ext>
          </c:extLst>
        </c:ser>
        <c:dLbls>
          <c:showLegendKey val="0"/>
          <c:showVal val="0"/>
          <c:showCatName val="0"/>
          <c:showSerName val="0"/>
          <c:showPercent val="0"/>
          <c:showBubbleSize val="0"/>
        </c:dLbls>
        <c:smooth val="0"/>
        <c:axId val="1714194800"/>
        <c:axId val="1714201040"/>
      </c:lineChart>
      <c:catAx>
        <c:axId val="1714194800"/>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714201040"/>
        <c:crosses val="autoZero"/>
        <c:auto val="1"/>
        <c:lblAlgn val="ctr"/>
        <c:lblOffset val="100"/>
        <c:noMultiLvlLbl val="0"/>
      </c:catAx>
      <c:valAx>
        <c:axId val="1714201040"/>
        <c:scaling>
          <c:orientation val="minMax"/>
        </c:scaling>
        <c:delete val="0"/>
        <c:axPos val="l"/>
        <c:numFmt formatCode="0.00" sourceLinked="0"/>
        <c:majorTickMark val="out"/>
        <c:minorTickMark val="none"/>
        <c:tickLblPos val="nextTo"/>
        <c:txPr>
          <a:bodyPr/>
          <a:lstStyle/>
          <a:p>
            <a:pPr>
              <a:defRPr sz="800" b="0"/>
            </a:pPr>
            <a:endParaRPr lang="en-US"/>
          </a:p>
        </c:txPr>
        <c:crossAx val="1714194800"/>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Forecast and Original Observations</a:t>
            </a:r>
          </a:p>
        </c:rich>
      </c:tx>
      <c:layout/>
      <c:overlay val="0"/>
    </c:title>
    <c:autoTitleDeleted val="0"/>
    <c:plotArea>
      <c:layout/>
      <c:lineChart>
        <c:grouping val="standard"/>
        <c:varyColors val="0"/>
        <c:ser>
          <c:idx val="0"/>
          <c:order val="0"/>
          <c:tx>
            <c:v>West</c:v>
          </c:tx>
          <c:spPr>
            <a:ln>
              <a:solidFill>
                <a:srgbClr val="333399"/>
              </a:solidFill>
              <a:prstDash val="solid"/>
            </a:ln>
          </c:spPr>
          <c:marker>
            <c:symbol val="none"/>
          </c:marker>
          <c:cat>
            <c:strRef>
              <c:f>'Moving average DS(WEST)'!$A$146:$A$270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'Moving average DS(WEST)'!$B$146:$B$270</c:f>
              <c:numCache>
                <c:formatCode>0.00</c:formatCode>
                <c:ptCount val="125"/>
                <c:pt idx="0">
                  <c:v>8164</c:v>
                </c:pt>
                <c:pt idx="1">
                  <c:v>6751</c:v>
                </c:pt>
                <c:pt idx="2">
                  <c:v>8435</c:v>
                </c:pt>
                <c:pt idx="3">
                  <c:v>8628</c:v>
                </c:pt>
                <c:pt idx="4">
                  <c:v>8327</c:v>
                </c:pt>
                <c:pt idx="5">
                  <c:v>10286</c:v>
                </c:pt>
                <c:pt idx="6">
                  <c:v>10368</c:v>
                </c:pt>
                <c:pt idx="7">
                  <c:v>11926</c:v>
                </c:pt>
                <c:pt idx="8">
                  <c:v>10230</c:v>
                </c:pt>
                <c:pt idx="9">
                  <c:v>8359</c:v>
                </c:pt>
                <c:pt idx="10">
                  <c:v>7776</c:v>
                </c:pt>
                <c:pt idx="11">
                  <c:v>8243</c:v>
                </c:pt>
                <c:pt idx="12">
                  <c:v>7212</c:v>
                </c:pt>
                <c:pt idx="13">
                  <c:v>7208</c:v>
                </c:pt>
                <c:pt idx="14">
                  <c:v>7257</c:v>
                </c:pt>
                <c:pt idx="15">
                  <c:v>8513</c:v>
                </c:pt>
                <c:pt idx="16">
                  <c:v>8647</c:v>
                </c:pt>
                <c:pt idx="17">
                  <c:v>8797</c:v>
                </c:pt>
                <c:pt idx="18">
                  <c:v>10465</c:v>
                </c:pt>
                <c:pt idx="19">
                  <c:v>11803</c:v>
                </c:pt>
                <c:pt idx="20">
                  <c:v>10281</c:v>
                </c:pt>
                <c:pt idx="21">
                  <c:v>10386</c:v>
                </c:pt>
                <c:pt idx="22">
                  <c:v>8028</c:v>
                </c:pt>
                <c:pt idx="23">
                  <c:v>7788</c:v>
                </c:pt>
                <c:pt idx="24">
                  <c:v>7109</c:v>
                </c:pt>
                <c:pt idx="25">
                  <c:v>7597</c:v>
                </c:pt>
                <c:pt idx="26">
                  <c:v>8260</c:v>
                </c:pt>
                <c:pt idx="27">
                  <c:v>8672</c:v>
                </c:pt>
                <c:pt idx="28">
                  <c:v>7380</c:v>
                </c:pt>
                <c:pt idx="29">
                  <c:v>9645</c:v>
                </c:pt>
                <c:pt idx="30">
                  <c:v>10674</c:v>
                </c:pt>
                <c:pt idx="31">
                  <c:v>10131</c:v>
                </c:pt>
                <c:pt idx="32">
                  <c:v>9684</c:v>
                </c:pt>
                <c:pt idx="33">
                  <c:v>9870</c:v>
                </c:pt>
                <c:pt idx="34">
                  <c:v>8504</c:v>
                </c:pt>
                <c:pt idx="35">
                  <c:v>8544</c:v>
                </c:pt>
                <c:pt idx="36">
                  <c:v>7496</c:v>
                </c:pt>
                <c:pt idx="37">
                  <c:v>7528</c:v>
                </c:pt>
                <c:pt idx="38">
                  <c:v>8295</c:v>
                </c:pt>
                <c:pt idx="39">
                  <c:v>7942</c:v>
                </c:pt>
                <c:pt idx="40">
                  <c:v>9686</c:v>
                </c:pt>
                <c:pt idx="41">
                  <c:v>10214</c:v>
                </c:pt>
                <c:pt idx="42">
                  <c:v>11050</c:v>
                </c:pt>
                <c:pt idx="43">
                  <c:v>10320</c:v>
                </c:pt>
                <c:pt idx="44">
                  <c:v>8270</c:v>
                </c:pt>
                <c:pt idx="45">
                  <c:v>9556</c:v>
                </c:pt>
                <c:pt idx="46">
                  <c:v>10349</c:v>
                </c:pt>
                <c:pt idx="47">
                  <c:v>7938</c:v>
                </c:pt>
                <c:pt idx="48">
                  <c:v>6467</c:v>
                </c:pt>
                <c:pt idx="49">
                  <c:v>7837</c:v>
                </c:pt>
                <c:pt idx="50">
                  <c:v>8325</c:v>
                </c:pt>
                <c:pt idx="51">
                  <c:v>8532</c:v>
                </c:pt>
                <c:pt idx="52">
                  <c:v>9786</c:v>
                </c:pt>
                <c:pt idx="53">
                  <c:v>9492</c:v>
                </c:pt>
                <c:pt idx="54">
                  <c:v>10284</c:v>
                </c:pt>
                <c:pt idx="55">
                  <c:v>9606</c:v>
                </c:pt>
                <c:pt idx="56">
                  <c:v>10037</c:v>
                </c:pt>
                <c:pt idx="57">
                  <c:v>10208</c:v>
                </c:pt>
                <c:pt idx="58">
                  <c:v>8585</c:v>
                </c:pt>
                <c:pt idx="59">
                  <c:v>10054</c:v>
                </c:pt>
                <c:pt idx="60">
                  <c:v>7521</c:v>
                </c:pt>
                <c:pt idx="61">
                  <c:v>7092</c:v>
                </c:pt>
                <c:pt idx="62">
                  <c:v>8594</c:v>
                </c:pt>
                <c:pt idx="63">
                  <c:v>8393</c:v>
                </c:pt>
                <c:pt idx="64">
                  <c:v>8940</c:v>
                </c:pt>
                <c:pt idx="65">
                  <c:v>9710</c:v>
                </c:pt>
                <c:pt idx="66">
                  <c:v>9392</c:v>
                </c:pt>
                <c:pt idx="67">
                  <c:v>11138</c:v>
                </c:pt>
                <c:pt idx="68">
                  <c:v>10664</c:v>
                </c:pt>
                <c:pt idx="69">
                  <c:v>9681</c:v>
                </c:pt>
                <c:pt idx="70">
                  <c:v>8698</c:v>
                </c:pt>
                <c:pt idx="71">
                  <c:v>8581</c:v>
                </c:pt>
                <c:pt idx="72">
                  <c:v>6310</c:v>
                </c:pt>
                <c:pt idx="73">
                  <c:v>7357</c:v>
                </c:pt>
                <c:pt idx="74">
                  <c:v>8353</c:v>
                </c:pt>
                <c:pt idx="75">
                  <c:v>8292</c:v>
                </c:pt>
                <c:pt idx="76">
                  <c:v>9078</c:v>
                </c:pt>
                <c:pt idx="77">
                  <c:v>10353</c:v>
                </c:pt>
                <c:pt idx="78">
                  <c:v>9228</c:v>
                </c:pt>
                <c:pt idx="79">
                  <c:v>9420</c:v>
                </c:pt>
                <c:pt idx="80">
                  <c:v>10636</c:v>
                </c:pt>
                <c:pt idx="81">
                  <c:v>9953</c:v>
                </c:pt>
                <c:pt idx="82">
                  <c:v>9177</c:v>
                </c:pt>
                <c:pt idx="83">
                  <c:v>7192</c:v>
                </c:pt>
                <c:pt idx="84">
                  <c:v>6624</c:v>
                </c:pt>
                <c:pt idx="85">
                  <c:v>9084</c:v>
                </c:pt>
                <c:pt idx="86">
                  <c:v>7771</c:v>
                </c:pt>
                <c:pt idx="87">
                  <c:v>9400</c:v>
                </c:pt>
                <c:pt idx="88">
                  <c:v>9194</c:v>
                </c:pt>
                <c:pt idx="89">
                  <c:v>10002</c:v>
                </c:pt>
                <c:pt idx="90">
                  <c:v>10538</c:v>
                </c:pt>
                <c:pt idx="91">
                  <c:v>8717</c:v>
                </c:pt>
                <c:pt idx="92">
                  <c:v>11071</c:v>
                </c:pt>
                <c:pt idx="93">
                  <c:v>9441</c:v>
                </c:pt>
                <c:pt idx="94">
                  <c:v>8548</c:v>
                </c:pt>
                <c:pt idx="95">
                  <c:v>8566</c:v>
                </c:pt>
                <c:pt idx="96">
                  <c:v>7876</c:v>
                </c:pt>
                <c:pt idx="97">
                  <c:v>7534</c:v>
                </c:pt>
                <c:pt idx="98">
                  <c:v>7125</c:v>
                </c:pt>
                <c:pt idx="99">
                  <c:v>8743</c:v>
                </c:pt>
                <c:pt idx="100">
                  <c:v>9070</c:v>
                </c:pt>
                <c:pt idx="101">
                  <c:v>9132</c:v>
                </c:pt>
                <c:pt idx="102">
                  <c:v>10237</c:v>
                </c:pt>
                <c:pt idx="103">
                  <c:v>9414</c:v>
                </c:pt>
                <c:pt idx="104">
                  <c:v>9033</c:v>
                </c:pt>
                <c:pt idx="105">
                  <c:v>8375</c:v>
                </c:pt>
                <c:pt idx="106">
                  <c:v>8906</c:v>
                </c:pt>
                <c:pt idx="107">
                  <c:v>7122</c:v>
                </c:pt>
                <c:pt idx="108">
                  <c:v>7193</c:v>
                </c:pt>
                <c:pt idx="109">
                  <c:v>7619</c:v>
                </c:pt>
                <c:pt idx="110">
                  <c:v>7793</c:v>
                </c:pt>
                <c:pt idx="111">
                  <c:v>7434</c:v>
                </c:pt>
                <c:pt idx="112">
                  <c:v>10299</c:v>
                </c:pt>
                <c:pt idx="113">
                  <c:v>9082</c:v>
                </c:pt>
                <c:pt idx="114">
                  <c:v>9805</c:v>
                </c:pt>
                <c:pt idx="115">
                  <c:v>10482</c:v>
                </c:pt>
                <c:pt idx="116">
                  <c:v>10858</c:v>
                </c:pt>
              </c:numCache>
            </c:numRef>
          </c:val>
          <c:smooth val="0"/>
          <c:extLst>
            <c:ext xmlns:c16="http://schemas.microsoft.com/office/drawing/2014/chart" uri="{C3380CC4-5D6E-409C-BE32-E72D297353CC}">
              <c16:uniqueId val="{00000000-C435-4F51-AB71-FF07BF5F2445}"/>
            </c:ext>
          </c:extLst>
        </c:ser>
        <c:ser>
          <c:idx val="1"/>
          <c:order val="1"/>
          <c:tx>
            <c:v>Forecast</c:v>
          </c:tx>
          <c:spPr>
            <a:ln>
              <a:solidFill>
                <a:srgbClr val="993366"/>
              </a:solidFill>
              <a:prstDash val="solid"/>
            </a:ln>
          </c:spPr>
          <c:marker>
            <c:symbol val="none"/>
          </c:marker>
          <c:cat>
            <c:strRef>
              <c:f>'Moving average DS(WEST)'!$A$146:$A$270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'Moving average DS(WEST)'!$G$146:$G$270</c:f>
              <c:numCache>
                <c:formatCode>0.00</c:formatCode>
                <c:ptCount val="125"/>
                <c:pt idx="4">
                  <c:v>9173.0241314413997</c:v>
                </c:pt>
                <c:pt idx="5">
                  <c:v>9353.3244911022266</c:v>
                </c:pt>
                <c:pt idx="6">
                  <c:v>10394.871242190813</c:v>
                </c:pt>
                <c:pt idx="7">
                  <c:v>10313.132570038426</c:v>
                </c:pt>
                <c:pt idx="8">
                  <c:v>10398.793967427002</c:v>
                </c:pt>
                <c:pt idx="9">
                  <c:v>10159.376184785579</c:v>
                </c:pt>
                <c:pt idx="10">
                  <c:v>8892.2152465310683</c:v>
                </c:pt>
                <c:pt idx="11">
                  <c:v>8119.5418965643967</c:v>
                </c:pt>
                <c:pt idx="12">
                  <c:v>6734.9318735791376</c:v>
                </c:pt>
                <c:pt idx="13">
                  <c:v>7254.4099768473943</c:v>
                </c:pt>
                <c:pt idx="14">
                  <c:v>7689.9130028794962</c:v>
                </c:pt>
                <c:pt idx="15">
                  <c:v>8278.6133697835412</c:v>
                </c:pt>
                <c:pt idx="16">
                  <c:v>8645.7464808797922</c:v>
                </c:pt>
                <c:pt idx="17">
                  <c:v>9195.0705079827076</c:v>
                </c:pt>
                <c:pt idx="18">
                  <c:v>9679.2874854006004</c:v>
                </c:pt>
                <c:pt idx="19">
                  <c:v>9998.5749191312025</c:v>
                </c:pt>
                <c:pt idx="20">
                  <c:v>10096.895967148736</c:v>
                </c:pt>
                <c:pt idx="21">
                  <c:v>9798.0911174495268</c:v>
                </c:pt>
                <c:pt idx="22">
                  <c:v>9361.9561650704218</c:v>
                </c:pt>
                <c:pt idx="23">
                  <c:v>8601.4695540677076</c:v>
                </c:pt>
                <c:pt idx="24">
                  <c:v>7074.221145893197</c:v>
                </c:pt>
                <c:pt idx="25">
                  <c:v>7583.1250619819803</c:v>
                </c:pt>
                <c:pt idx="26">
                  <c:v>7709.3647669283091</c:v>
                </c:pt>
                <c:pt idx="27">
                  <c:v>8506.3913670094953</c:v>
                </c:pt>
                <c:pt idx="28">
                  <c:v>9049.8162967469198</c:v>
                </c:pt>
                <c:pt idx="29">
                  <c:v>9324.2174269654715</c:v>
                </c:pt>
                <c:pt idx="30">
                  <c:v>9911.195779918382</c:v>
                </c:pt>
                <c:pt idx="31">
                  <c:v>9961.0150545643501</c:v>
                </c:pt>
                <c:pt idx="32">
                  <c:v>9608.0232278127842</c:v>
                </c:pt>
                <c:pt idx="33">
                  <c:v>9525.6590243598384</c:v>
                </c:pt>
                <c:pt idx="34">
                  <c:v>8802.6907983658039</c:v>
                </c:pt>
                <c:pt idx="35">
                  <c:v>8145.2229575144192</c:v>
                </c:pt>
                <c:pt idx="36">
                  <c:v>7132.0717115857187</c:v>
                </c:pt>
                <c:pt idx="37">
                  <c:v>7864.6084479339497</c:v>
                </c:pt>
                <c:pt idx="38">
                  <c:v>8092.9022365811934</c:v>
                </c:pt>
                <c:pt idx="39">
                  <c:v>8810.0890859004849</c:v>
                </c:pt>
                <c:pt idx="40">
                  <c:v>8970.5704417464403</c:v>
                </c:pt>
                <c:pt idx="41">
                  <c:v>9728.5162572127319</c:v>
                </c:pt>
                <c:pt idx="42">
                  <c:v>10514.110776148402</c:v>
                </c:pt>
                <c:pt idx="43">
                  <c:v>10648.767559827678</c:v>
                </c:pt>
                <c:pt idx="44">
                  <c:v>10534.801735552976</c:v>
                </c:pt>
                <c:pt idx="45">
                  <c:v>9459.7763356413216</c:v>
                </c:pt>
                <c:pt idx="46">
                  <c:v>8541.8728104160364</c:v>
                </c:pt>
                <c:pt idx="47">
                  <c:v>8258.4701278134526</c:v>
                </c:pt>
                <c:pt idx="48">
                  <c:v>7066.3915397964774</c:v>
                </c:pt>
                <c:pt idx="49">
                  <c:v>7787.3360674722262</c:v>
                </c:pt>
                <c:pt idx="50">
                  <c:v>8158.6526210729644</c:v>
                </c:pt>
                <c:pt idx="51">
                  <c:v>8436.3305041219264</c:v>
                </c:pt>
                <c:pt idx="52">
                  <c:v>8898.9538383181116</c:v>
                </c:pt>
                <c:pt idx="53">
                  <c:v>10028.280663848736</c:v>
                </c:pt>
                <c:pt idx="54">
                  <c:v>10537.357197060926</c:v>
                </c:pt>
                <c:pt idx="55">
                  <c:v>10470.360281990157</c:v>
                </c:pt>
                <c:pt idx="56">
                  <c:v>10016.109659456071</c:v>
                </c:pt>
                <c:pt idx="57">
                  <c:v>9359.6888843972738</c:v>
                </c:pt>
                <c:pt idx="58">
                  <c:v>8762.6655124923327</c:v>
                </c:pt>
                <c:pt idx="59">
                  <c:v>8204.8029933681573</c:v>
                </c:pt>
                <c:pt idx="60">
                  <c:v>7600.2974173557823</c:v>
                </c:pt>
                <c:pt idx="61">
                  <c:v>8309.1148965621978</c:v>
                </c:pt>
                <c:pt idx="62">
                  <c:v>8371.8507342518424</c:v>
                </c:pt>
                <c:pt idx="63">
                  <c:v>9169.2587338913254</c:v>
                </c:pt>
                <c:pt idx="64">
                  <c:v>9052.8699967226312</c:v>
                </c:pt>
                <c:pt idx="65">
                  <c:v>9607.7067681694898</c:v>
                </c:pt>
                <c:pt idx="66">
                  <c:v>10397.998138103494</c:v>
                </c:pt>
                <c:pt idx="67">
                  <c:v>10020.400286730694</c:v>
                </c:pt>
                <c:pt idx="68">
                  <c:v>9991.5885623965478</c:v>
                </c:pt>
                <c:pt idx="69">
                  <c:v>9711.0224817556646</c:v>
                </c:pt>
                <c:pt idx="70">
                  <c:v>8914.4756298197481</c:v>
                </c:pt>
                <c:pt idx="71">
                  <c:v>8553.0987757267976</c:v>
                </c:pt>
                <c:pt idx="72">
                  <c:v>7318.522801172835</c:v>
                </c:pt>
                <c:pt idx="73">
                  <c:v>7557.7200847370168</c:v>
                </c:pt>
                <c:pt idx="74">
                  <c:v>7768.0107965443503</c:v>
                </c:pt>
                <c:pt idx="75">
                  <c:v>8429.9183210721931</c:v>
                </c:pt>
                <c:pt idx="76">
                  <c:v>8654.1409435509031</c:v>
                </c:pt>
                <c:pt idx="77">
                  <c:v>9627.0585534005404</c:v>
                </c:pt>
                <c:pt idx="78">
                  <c:v>10500.496159231227</c:v>
                </c:pt>
                <c:pt idx="79">
                  <c:v>10159.590364291875</c:v>
                </c:pt>
                <c:pt idx="80">
                  <c:v>9739.0326637049184</c:v>
                </c:pt>
                <c:pt idx="81">
                  <c:v>9426.4140610500926</c:v>
                </c:pt>
                <c:pt idx="82">
                  <c:v>8570.7928758759736</c:v>
                </c:pt>
                <c:pt idx="83">
                  <c:v>8375.2306562558006</c:v>
                </c:pt>
                <c:pt idx="84">
                  <c:v>7161.5540364085409</c:v>
                </c:pt>
                <c:pt idx="85">
                  <c:v>7478.3773996578084</c:v>
                </c:pt>
                <c:pt idx="86">
                  <c:v>8078.4026912550371</c:v>
                </c:pt>
                <c:pt idx="87">
                  <c:v>8489.2026754043836</c:v>
                </c:pt>
                <c:pt idx="88">
                  <c:v>9384.8114392975767</c:v>
                </c:pt>
                <c:pt idx="89">
                  <c:v>10339.016827512705</c:v>
                </c:pt>
                <c:pt idx="90">
                  <c:v>10585.479120151271</c:v>
                </c:pt>
                <c:pt idx="91">
                  <c:v>10760.487853360481</c:v>
                </c:pt>
                <c:pt idx="92">
                  <c:v>9828.9989464606024</c:v>
                </c:pt>
                <c:pt idx="93">
                  <c:v>9585.3490411675666</c:v>
                </c:pt>
                <c:pt idx="94">
                  <c:v>8678.4517290945714</c:v>
                </c:pt>
                <c:pt idx="95">
                  <c:v>8065.9175868355205</c:v>
                </c:pt>
                <c:pt idx="96">
                  <c:v>7312.4765160789584</c:v>
                </c:pt>
                <c:pt idx="97">
                  <c:v>7895.7532912645956</c:v>
                </c:pt>
                <c:pt idx="98">
                  <c:v>8216.7957464256324</c:v>
                </c:pt>
                <c:pt idx="99">
                  <c:v>8618.6242472736267</c:v>
                </c:pt>
                <c:pt idx="100">
                  <c:v>8973.7682182866374</c:v>
                </c:pt>
                <c:pt idx="101">
                  <c:v>9436.7291854169434</c:v>
                </c:pt>
                <c:pt idx="102">
                  <c:v>9915.5566867149864</c:v>
                </c:pt>
                <c:pt idx="103">
                  <c:v>10220.834831759279</c:v>
                </c:pt>
                <c:pt idx="104">
                  <c:v>9665.5883718945934</c:v>
                </c:pt>
                <c:pt idx="105">
                  <c:v>8975.6438616694777</c:v>
                </c:pt>
                <c:pt idx="106">
                  <c:v>8072.7090313215031</c:v>
                </c:pt>
                <c:pt idx="107">
                  <c:v>7640.4167205198846</c:v>
                </c:pt>
                <c:pt idx="108">
                  <c:v>6512.7035807314369</c:v>
                </c:pt>
                <c:pt idx="109">
                  <c:v>7239.0832804173442</c:v>
                </c:pt>
                <c:pt idx="110">
                  <c:v>7777.6961087407353</c:v>
                </c:pt>
                <c:pt idx="111">
                  <c:v>8239.2867744698979</c:v>
                </c:pt>
                <c:pt idx="112">
                  <c:v>8627.8454581114165</c:v>
                </c:pt>
                <c:pt idx="113">
                  <c:v>9627.3658732815438</c:v>
                </c:pt>
                <c:pt idx="114">
                  <c:v>10076.135920066496</c:v>
                </c:pt>
                <c:pt idx="115">
                  <c:v>10058.738527001256</c:v>
                </c:pt>
                <c:pt idx="116">
                  <c:v>10149.098045802744</c:v>
                </c:pt>
                <c:pt idx="117">
                  <c:v>9546.2747183286046</c:v>
                </c:pt>
                <c:pt idx="118">
                  <c:v>8874.7027875969925</c:v>
                </c:pt>
                <c:pt idx="119">
                  <c:v>8474.440112879498</c:v>
                </c:pt>
                <c:pt idx="120">
                  <c:v>7340.8349589647733</c:v>
                </c:pt>
                <c:pt idx="121">
                  <c:v>7822.8041475093714</c:v>
                </c:pt>
                <c:pt idx="122">
                  <c:v>8193.9639400851866</c:v>
                </c:pt>
                <c:pt idx="123">
                  <c:v>8800.4513543239318</c:v>
                </c:pt>
                <c:pt idx="124">
                  <c:v>9204.0844052658013</c:v>
                </c:pt>
              </c:numCache>
            </c:numRef>
          </c:val>
          <c:smooth val="0"/>
          <c:extLst>
            <c:ext xmlns:c16="http://schemas.microsoft.com/office/drawing/2014/chart" uri="{C3380CC4-5D6E-409C-BE32-E72D297353CC}">
              <c16:uniqueId val="{00000001-C435-4F51-AB71-FF07BF5F2445}"/>
            </c:ext>
          </c:extLst>
        </c:ser>
        <c:dLbls>
          <c:showLegendKey val="0"/>
          <c:showVal val="0"/>
          <c:showCatName val="0"/>
          <c:showSerName val="0"/>
          <c:showPercent val="0"/>
          <c:showBubbleSize val="0"/>
        </c:dLbls>
        <c:smooth val="0"/>
        <c:axId val="110932479"/>
        <c:axId val="110932959"/>
      </c:lineChart>
      <c:catAx>
        <c:axId val="110932479"/>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10932959"/>
        <c:crosses val="autoZero"/>
        <c:auto val="1"/>
        <c:lblAlgn val="ctr"/>
        <c:lblOffset val="100"/>
        <c:noMultiLvlLbl val="0"/>
      </c:catAx>
      <c:valAx>
        <c:axId val="110932959"/>
        <c:scaling>
          <c:orientation val="minMax"/>
        </c:scaling>
        <c:delete val="0"/>
        <c:axPos val="l"/>
        <c:numFmt formatCode="0.00" sourceLinked="0"/>
        <c:majorTickMark val="out"/>
        <c:minorTickMark val="none"/>
        <c:tickLblPos val="nextTo"/>
        <c:txPr>
          <a:bodyPr/>
          <a:lstStyle/>
          <a:p>
            <a:pPr>
              <a:defRPr sz="800" b="0"/>
            </a:pPr>
            <a:endParaRPr lang="en-US"/>
          </a:p>
        </c:txPr>
        <c:crossAx val="110932479"/>
        <c:crosses val="autoZero"/>
        <c:crossBetween val="between"/>
      </c:valAx>
    </c:plotArea>
    <c:legend>
      <c:legendPos val="r"/>
      <c:layout/>
      <c:overlay val="0"/>
      <c:spPr>
        <a:ln>
          <a:solidFill>
            <a:srgbClr val="000000"/>
          </a:solidFill>
          <a:prstDash val="solid"/>
        </a:ln>
      </c:sp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Original Observations</a:t>
            </a:r>
          </a:p>
        </c:rich>
      </c:tx>
      <c:overlay val="0"/>
    </c:title>
    <c:autoTitleDeleted val="0"/>
    <c:plotArea>
      <c:layout/>
      <c:lineChart>
        <c:grouping val="standard"/>
        <c:varyColors val="0"/>
        <c:ser>
          <c:idx val="0"/>
          <c:order val="0"/>
          <c:tx>
            <c:v>West</c:v>
          </c:tx>
          <c:spPr>
            <a:ln>
              <a:solidFill>
                <a:srgbClr val="333399"/>
              </a:solidFill>
              <a:prstDash val="solid"/>
            </a:ln>
          </c:spPr>
          <c:marker>
            <c:symbol val="none"/>
          </c:marker>
          <c:cat>
            <c:strRef>
              <c:f>'Moving average DS(WEST)'!$A$146:$A$262</c:f>
              <c:strCache>
                <c:ptCount val="117"/>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strCache>
            </c:strRef>
          </c:cat>
          <c:val>
            <c:numRef>
              <c:f>'Moving average DS(WEST)'!$B$146:$B$262</c:f>
              <c:numCache>
                <c:formatCode>0.00</c:formatCode>
                <c:ptCount val="117"/>
                <c:pt idx="0">
                  <c:v>8164</c:v>
                </c:pt>
                <c:pt idx="1">
                  <c:v>6751</c:v>
                </c:pt>
                <c:pt idx="2">
                  <c:v>8435</c:v>
                </c:pt>
                <c:pt idx="3">
                  <c:v>8628</c:v>
                </c:pt>
                <c:pt idx="4">
                  <c:v>8327</c:v>
                </c:pt>
                <c:pt idx="5">
                  <c:v>10286</c:v>
                </c:pt>
                <c:pt idx="6">
                  <c:v>10368</c:v>
                </c:pt>
                <c:pt idx="7">
                  <c:v>11926</c:v>
                </c:pt>
                <c:pt idx="8">
                  <c:v>10230</c:v>
                </c:pt>
                <c:pt idx="9">
                  <c:v>8359</c:v>
                </c:pt>
                <c:pt idx="10">
                  <c:v>7776</c:v>
                </c:pt>
                <c:pt idx="11">
                  <c:v>8243</c:v>
                </c:pt>
                <c:pt idx="12">
                  <c:v>7212</c:v>
                </c:pt>
                <c:pt idx="13">
                  <c:v>7208</c:v>
                </c:pt>
                <c:pt idx="14">
                  <c:v>7257</c:v>
                </c:pt>
                <c:pt idx="15">
                  <c:v>8513</c:v>
                </c:pt>
                <c:pt idx="16">
                  <c:v>8647</c:v>
                </c:pt>
                <c:pt idx="17">
                  <c:v>8797</c:v>
                </c:pt>
                <c:pt idx="18">
                  <c:v>10465</c:v>
                </c:pt>
                <c:pt idx="19">
                  <c:v>11803</c:v>
                </c:pt>
                <c:pt idx="20">
                  <c:v>10281</c:v>
                </c:pt>
                <c:pt idx="21">
                  <c:v>10386</c:v>
                </c:pt>
                <c:pt idx="22">
                  <c:v>8028</c:v>
                </c:pt>
                <c:pt idx="23">
                  <c:v>7788</c:v>
                </c:pt>
                <c:pt idx="24">
                  <c:v>7109</c:v>
                </c:pt>
                <c:pt idx="25">
                  <c:v>7597</c:v>
                </c:pt>
                <c:pt idx="26">
                  <c:v>8260</c:v>
                </c:pt>
                <c:pt idx="27">
                  <c:v>8672</c:v>
                </c:pt>
                <c:pt idx="28">
                  <c:v>7380</c:v>
                </c:pt>
                <c:pt idx="29">
                  <c:v>9645</c:v>
                </c:pt>
                <c:pt idx="30">
                  <c:v>10674</c:v>
                </c:pt>
                <c:pt idx="31">
                  <c:v>10131</c:v>
                </c:pt>
                <c:pt idx="32">
                  <c:v>9684</c:v>
                </c:pt>
                <c:pt idx="33">
                  <c:v>9870</c:v>
                </c:pt>
                <c:pt idx="34">
                  <c:v>8504</c:v>
                </c:pt>
                <c:pt idx="35">
                  <c:v>8544</c:v>
                </c:pt>
                <c:pt idx="36">
                  <c:v>7496</c:v>
                </c:pt>
                <c:pt idx="37">
                  <c:v>7528</c:v>
                </c:pt>
                <c:pt idx="38">
                  <c:v>8295</c:v>
                </c:pt>
                <c:pt idx="39">
                  <c:v>7942</c:v>
                </c:pt>
                <c:pt idx="40">
                  <c:v>9686</c:v>
                </c:pt>
                <c:pt idx="41">
                  <c:v>10214</c:v>
                </c:pt>
                <c:pt idx="42">
                  <c:v>11050</c:v>
                </c:pt>
                <c:pt idx="43">
                  <c:v>10320</c:v>
                </c:pt>
                <c:pt idx="44">
                  <c:v>8270</c:v>
                </c:pt>
                <c:pt idx="45">
                  <c:v>9556</c:v>
                </c:pt>
                <c:pt idx="46">
                  <c:v>10349</c:v>
                </c:pt>
                <c:pt idx="47">
                  <c:v>7938</c:v>
                </c:pt>
                <c:pt idx="48">
                  <c:v>6467</c:v>
                </c:pt>
                <c:pt idx="49">
                  <c:v>7837</c:v>
                </c:pt>
                <c:pt idx="50">
                  <c:v>8325</c:v>
                </c:pt>
                <c:pt idx="51">
                  <c:v>8532</c:v>
                </c:pt>
                <c:pt idx="52">
                  <c:v>9786</c:v>
                </c:pt>
                <c:pt idx="53">
                  <c:v>9492</c:v>
                </c:pt>
                <c:pt idx="54">
                  <c:v>10284</c:v>
                </c:pt>
                <c:pt idx="55">
                  <c:v>9606</c:v>
                </c:pt>
                <c:pt idx="56">
                  <c:v>10037</c:v>
                </c:pt>
                <c:pt idx="57">
                  <c:v>10208</c:v>
                </c:pt>
                <c:pt idx="58">
                  <c:v>8585</c:v>
                </c:pt>
                <c:pt idx="59">
                  <c:v>10054</c:v>
                </c:pt>
                <c:pt idx="60">
                  <c:v>7521</c:v>
                </c:pt>
                <c:pt idx="61">
                  <c:v>7092</c:v>
                </c:pt>
                <c:pt idx="62">
                  <c:v>8594</c:v>
                </c:pt>
                <c:pt idx="63">
                  <c:v>8393</c:v>
                </c:pt>
                <c:pt idx="64">
                  <c:v>8940</c:v>
                </c:pt>
                <c:pt idx="65">
                  <c:v>9710</c:v>
                </c:pt>
                <c:pt idx="66">
                  <c:v>9392</c:v>
                </c:pt>
                <c:pt idx="67">
                  <c:v>11138</c:v>
                </c:pt>
                <c:pt idx="68">
                  <c:v>10664</c:v>
                </c:pt>
                <c:pt idx="69">
                  <c:v>9681</c:v>
                </c:pt>
                <c:pt idx="70">
                  <c:v>8698</c:v>
                </c:pt>
                <c:pt idx="71">
                  <c:v>8581</c:v>
                </c:pt>
                <c:pt idx="72">
                  <c:v>6310</c:v>
                </c:pt>
                <c:pt idx="73">
                  <c:v>7357</c:v>
                </c:pt>
                <c:pt idx="74">
                  <c:v>8353</c:v>
                </c:pt>
                <c:pt idx="75">
                  <c:v>8292</c:v>
                </c:pt>
                <c:pt idx="76">
                  <c:v>9078</c:v>
                </c:pt>
                <c:pt idx="77">
                  <c:v>10353</c:v>
                </c:pt>
                <c:pt idx="78">
                  <c:v>9228</c:v>
                </c:pt>
                <c:pt idx="79">
                  <c:v>9420</c:v>
                </c:pt>
                <c:pt idx="80">
                  <c:v>10636</c:v>
                </c:pt>
                <c:pt idx="81">
                  <c:v>9953</c:v>
                </c:pt>
                <c:pt idx="82">
                  <c:v>9177</c:v>
                </c:pt>
                <c:pt idx="83">
                  <c:v>7192</c:v>
                </c:pt>
                <c:pt idx="84">
                  <c:v>6624</c:v>
                </c:pt>
                <c:pt idx="85">
                  <c:v>9084</c:v>
                </c:pt>
                <c:pt idx="86">
                  <c:v>7771</c:v>
                </c:pt>
                <c:pt idx="87">
                  <c:v>9400</c:v>
                </c:pt>
                <c:pt idx="88">
                  <c:v>9194</c:v>
                </c:pt>
                <c:pt idx="89">
                  <c:v>10002</c:v>
                </c:pt>
                <c:pt idx="90">
                  <c:v>10538</c:v>
                </c:pt>
                <c:pt idx="91">
                  <c:v>8717</c:v>
                </c:pt>
                <c:pt idx="92">
                  <c:v>11071</c:v>
                </c:pt>
                <c:pt idx="93">
                  <c:v>9441</c:v>
                </c:pt>
                <c:pt idx="94">
                  <c:v>8548</c:v>
                </c:pt>
                <c:pt idx="95">
                  <c:v>8566</c:v>
                </c:pt>
                <c:pt idx="96">
                  <c:v>7876</c:v>
                </c:pt>
                <c:pt idx="97">
                  <c:v>7534</c:v>
                </c:pt>
                <c:pt idx="98">
                  <c:v>7125</c:v>
                </c:pt>
                <c:pt idx="99">
                  <c:v>8743</c:v>
                </c:pt>
                <c:pt idx="100">
                  <c:v>9070</c:v>
                </c:pt>
                <c:pt idx="101">
                  <c:v>9132</c:v>
                </c:pt>
                <c:pt idx="102">
                  <c:v>10237</c:v>
                </c:pt>
                <c:pt idx="103">
                  <c:v>9414</c:v>
                </c:pt>
                <c:pt idx="104">
                  <c:v>9033</c:v>
                </c:pt>
                <c:pt idx="105">
                  <c:v>8375</c:v>
                </c:pt>
                <c:pt idx="106">
                  <c:v>8906</c:v>
                </c:pt>
                <c:pt idx="107">
                  <c:v>7122</c:v>
                </c:pt>
                <c:pt idx="108">
                  <c:v>7193</c:v>
                </c:pt>
                <c:pt idx="109">
                  <c:v>7619</c:v>
                </c:pt>
                <c:pt idx="110">
                  <c:v>7793</c:v>
                </c:pt>
                <c:pt idx="111">
                  <c:v>7434</c:v>
                </c:pt>
                <c:pt idx="112">
                  <c:v>10299</c:v>
                </c:pt>
                <c:pt idx="113">
                  <c:v>9082</c:v>
                </c:pt>
                <c:pt idx="114">
                  <c:v>9805</c:v>
                </c:pt>
                <c:pt idx="115">
                  <c:v>10482</c:v>
                </c:pt>
                <c:pt idx="116">
                  <c:v>10858</c:v>
                </c:pt>
              </c:numCache>
            </c:numRef>
          </c:val>
          <c:smooth val="0"/>
          <c:extLst>
            <c:ext xmlns:c16="http://schemas.microsoft.com/office/drawing/2014/chart" uri="{C3380CC4-5D6E-409C-BE32-E72D297353CC}">
              <c16:uniqueId val="{00000000-6140-4AB6-A4FF-6BD6B2B3D8A2}"/>
            </c:ext>
          </c:extLst>
        </c:ser>
        <c:dLbls>
          <c:showLegendKey val="0"/>
          <c:showVal val="0"/>
          <c:showCatName val="0"/>
          <c:showSerName val="0"/>
          <c:showPercent val="0"/>
          <c:showBubbleSize val="0"/>
        </c:dLbls>
        <c:smooth val="0"/>
        <c:axId val="1361872991"/>
        <c:axId val="1361873951"/>
      </c:lineChart>
      <c:catAx>
        <c:axId val="1361872991"/>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361873951"/>
        <c:crosses val="autoZero"/>
        <c:auto val="1"/>
        <c:lblAlgn val="ctr"/>
        <c:lblOffset val="100"/>
        <c:noMultiLvlLbl val="0"/>
      </c:catAx>
      <c:valAx>
        <c:axId val="1361873951"/>
        <c:scaling>
          <c:orientation val="minMax"/>
        </c:scaling>
        <c:delete val="0"/>
        <c:axPos val="l"/>
        <c:numFmt formatCode="0.00" sourceLinked="0"/>
        <c:majorTickMark val="out"/>
        <c:minorTickMark val="none"/>
        <c:tickLblPos val="nextTo"/>
        <c:txPr>
          <a:bodyPr/>
          <a:lstStyle/>
          <a:p>
            <a:pPr>
              <a:defRPr sz="800" b="0"/>
            </a:pPr>
            <a:endParaRPr lang="en-US"/>
          </a:p>
        </c:txPr>
        <c:crossAx val="1361872991"/>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Forecast Errors</a:t>
            </a:r>
          </a:p>
        </c:rich>
      </c:tx>
      <c:overlay val="0"/>
    </c:title>
    <c:autoTitleDeleted val="0"/>
    <c:plotArea>
      <c:layout/>
      <c:lineChart>
        <c:grouping val="standard"/>
        <c:varyColors val="0"/>
        <c:ser>
          <c:idx val="0"/>
          <c:order val="0"/>
          <c:tx>
            <c:v>Errors</c:v>
          </c:tx>
          <c:spPr>
            <a:ln>
              <a:solidFill>
                <a:srgbClr val="333399"/>
              </a:solidFill>
              <a:prstDash val="solid"/>
            </a:ln>
          </c:spPr>
          <c:marker>
            <c:symbol val="none"/>
          </c:marker>
          <c:cat>
            <c:strRef>
              <c:f>'Moving average DS(WEST)'!$A$146:$A$262</c:f>
              <c:strCache>
                <c:ptCount val="117"/>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strCache>
            </c:strRef>
          </c:cat>
          <c:val>
            <c:numRef>
              <c:f>'Moving average DS(WEST)'!$H$150:$H$270</c:f>
              <c:numCache>
                <c:formatCode>0.00</c:formatCode>
                <c:ptCount val="121"/>
                <c:pt idx="0">
                  <c:v>-846.02413144139973</c:v>
                </c:pt>
                <c:pt idx="1">
                  <c:v>932.6755088977734</c:v>
                </c:pt>
                <c:pt idx="2">
                  <c:v>-26.871242190813064</c:v>
                </c:pt>
                <c:pt idx="3">
                  <c:v>1612.8674299615741</c:v>
                </c:pt>
                <c:pt idx="4">
                  <c:v>-168.79396742700192</c:v>
                </c:pt>
                <c:pt idx="5">
                  <c:v>-1800.3761847855785</c:v>
                </c:pt>
                <c:pt idx="6">
                  <c:v>-1116.2152465310683</c:v>
                </c:pt>
                <c:pt idx="7">
                  <c:v>123.45810343560333</c:v>
                </c:pt>
                <c:pt idx="8">
                  <c:v>477.06812642086243</c:v>
                </c:pt>
                <c:pt idx="9">
                  <c:v>-46.409976847394319</c:v>
                </c:pt>
                <c:pt idx="10">
                  <c:v>-432.91300287949616</c:v>
                </c:pt>
                <c:pt idx="11">
                  <c:v>234.3866302164588</c:v>
                </c:pt>
                <c:pt idx="12">
                  <c:v>1.253519120207784</c:v>
                </c:pt>
                <c:pt idx="13">
                  <c:v>-398.07050798270757</c:v>
                </c:pt>
                <c:pt idx="14">
                  <c:v>785.71251459939958</c:v>
                </c:pt>
                <c:pt idx="15">
                  <c:v>1804.4250808687975</c:v>
                </c:pt>
                <c:pt idx="16">
                  <c:v>184.10403285126449</c:v>
                </c:pt>
                <c:pt idx="17">
                  <c:v>587.90888255047321</c:v>
                </c:pt>
                <c:pt idx="18">
                  <c:v>-1333.9561650704218</c:v>
                </c:pt>
                <c:pt idx="19">
                  <c:v>-813.46955406770758</c:v>
                </c:pt>
                <c:pt idx="20">
                  <c:v>34.77885410680301</c:v>
                </c:pt>
                <c:pt idx="21">
                  <c:v>13.874938018019748</c:v>
                </c:pt>
                <c:pt idx="22">
                  <c:v>550.63523307169089</c:v>
                </c:pt>
                <c:pt idx="23">
                  <c:v>165.6086329905047</c:v>
                </c:pt>
                <c:pt idx="24">
                  <c:v>-1669.8162967469198</c:v>
                </c:pt>
                <c:pt idx="25">
                  <c:v>320.78257303452847</c:v>
                </c:pt>
                <c:pt idx="26">
                  <c:v>762.80422008161804</c:v>
                </c:pt>
                <c:pt idx="27">
                  <c:v>169.98494543564993</c:v>
                </c:pt>
                <c:pt idx="28">
                  <c:v>75.976772187215829</c:v>
                </c:pt>
                <c:pt idx="29">
                  <c:v>344.34097564016156</c:v>
                </c:pt>
                <c:pt idx="30">
                  <c:v>-298.69079836580386</c:v>
                </c:pt>
                <c:pt idx="31">
                  <c:v>398.77704248558075</c:v>
                </c:pt>
                <c:pt idx="32">
                  <c:v>363.92828841428127</c:v>
                </c:pt>
                <c:pt idx="33">
                  <c:v>-336.60844793394972</c:v>
                </c:pt>
                <c:pt idx="34">
                  <c:v>202.09776341880661</c:v>
                </c:pt>
                <c:pt idx="35">
                  <c:v>-868.08908590048486</c:v>
                </c:pt>
                <c:pt idx="36">
                  <c:v>715.42955825355966</c:v>
                </c:pt>
                <c:pt idx="37">
                  <c:v>485.48374278726806</c:v>
                </c:pt>
                <c:pt idx="38">
                  <c:v>535.88922385159822</c:v>
                </c:pt>
                <c:pt idx="39">
                  <c:v>-328.76755982767827</c:v>
                </c:pt>
                <c:pt idx="40">
                  <c:v>-2264.8017355529755</c:v>
                </c:pt>
                <c:pt idx="41">
                  <c:v>96.223664358678434</c:v>
                </c:pt>
                <c:pt idx="42">
                  <c:v>1807.1271895839636</c:v>
                </c:pt>
                <c:pt idx="43">
                  <c:v>-320.47012781345256</c:v>
                </c:pt>
                <c:pt idx="44">
                  <c:v>-599.39153979647745</c:v>
                </c:pt>
                <c:pt idx="45">
                  <c:v>49.663932527773795</c:v>
                </c:pt>
                <c:pt idx="46">
                  <c:v>166.34737892703561</c:v>
                </c:pt>
                <c:pt idx="47">
                  <c:v>95.669495878073576</c:v>
                </c:pt>
                <c:pt idx="48">
                  <c:v>887.04616168188841</c:v>
                </c:pt>
                <c:pt idx="49">
                  <c:v>-536.28066384873637</c:v>
                </c:pt>
                <c:pt idx="50">
                  <c:v>-253.35719706092641</c:v>
                </c:pt>
                <c:pt idx="51">
                  <c:v>-864.36028199015709</c:v>
                </c:pt>
                <c:pt idx="52">
                  <c:v>20.890340543928687</c:v>
                </c:pt>
                <c:pt idx="53">
                  <c:v>848.3111156027262</c:v>
                </c:pt>
                <c:pt idx="54">
                  <c:v>-177.66551249233271</c:v>
                </c:pt>
                <c:pt idx="55">
                  <c:v>1849.1970066318427</c:v>
                </c:pt>
                <c:pt idx="56">
                  <c:v>-79.297417355782272</c:v>
                </c:pt>
                <c:pt idx="57">
                  <c:v>-1217.1148965621978</c:v>
                </c:pt>
                <c:pt idx="58">
                  <c:v>222.14926574815763</c:v>
                </c:pt>
                <c:pt idx="59">
                  <c:v>-776.25873389132539</c:v>
                </c:pt>
                <c:pt idx="60">
                  <c:v>-112.86999672263119</c:v>
                </c:pt>
                <c:pt idx="61">
                  <c:v>102.29323183051019</c:v>
                </c:pt>
                <c:pt idx="62">
                  <c:v>-1005.9981381034941</c:v>
                </c:pt>
                <c:pt idx="63">
                  <c:v>1117.5997132693064</c:v>
                </c:pt>
                <c:pt idx="64">
                  <c:v>672.41143760345221</c:v>
                </c:pt>
                <c:pt idx="65">
                  <c:v>-30.022481755664558</c:v>
                </c:pt>
                <c:pt idx="66">
                  <c:v>-216.47562981974806</c:v>
                </c:pt>
                <c:pt idx="67">
                  <c:v>27.901224273202388</c:v>
                </c:pt>
                <c:pt idx="68">
                  <c:v>-1008.522801172835</c:v>
                </c:pt>
                <c:pt idx="69">
                  <c:v>-200.7200847370168</c:v>
                </c:pt>
                <c:pt idx="70">
                  <c:v>584.98920345564966</c:v>
                </c:pt>
                <c:pt idx="71">
                  <c:v>-137.91832107219307</c:v>
                </c:pt>
                <c:pt idx="72">
                  <c:v>423.8590564490969</c:v>
                </c:pt>
                <c:pt idx="73">
                  <c:v>725.9414465994596</c:v>
                </c:pt>
                <c:pt idx="74">
                  <c:v>-1272.4961592312266</c:v>
                </c:pt>
                <c:pt idx="75">
                  <c:v>-739.59036429187472</c:v>
                </c:pt>
                <c:pt idx="76">
                  <c:v>896.96733629508162</c:v>
                </c:pt>
                <c:pt idx="77">
                  <c:v>526.58593894990736</c:v>
                </c:pt>
                <c:pt idx="78">
                  <c:v>606.20712412402645</c:v>
                </c:pt>
                <c:pt idx="79">
                  <c:v>-1183.2306562558006</c:v>
                </c:pt>
                <c:pt idx="80">
                  <c:v>-537.55403640854092</c:v>
                </c:pt>
                <c:pt idx="81">
                  <c:v>1605.6226003421916</c:v>
                </c:pt>
                <c:pt idx="82">
                  <c:v>-307.4026912550371</c:v>
                </c:pt>
                <c:pt idx="83">
                  <c:v>910.79732459561637</c:v>
                </c:pt>
                <c:pt idx="84">
                  <c:v>-190.81143929757673</c:v>
                </c:pt>
                <c:pt idx="85">
                  <c:v>-337.01682751270528</c:v>
                </c:pt>
                <c:pt idx="86">
                  <c:v>-47.479120151270763</c:v>
                </c:pt>
                <c:pt idx="87">
                  <c:v>-2043.4878533604806</c:v>
                </c:pt>
                <c:pt idx="88">
                  <c:v>1242.0010535393976</c:v>
                </c:pt>
                <c:pt idx="89">
                  <c:v>-144.34904116756661</c:v>
                </c:pt>
                <c:pt idx="90">
                  <c:v>-130.45172909457142</c:v>
                </c:pt>
                <c:pt idx="91">
                  <c:v>500.08241316447948</c:v>
                </c:pt>
                <c:pt idx="92">
                  <c:v>563.52348392104159</c:v>
                </c:pt>
                <c:pt idx="93">
                  <c:v>-361.75329126459565</c:v>
                </c:pt>
                <c:pt idx="94">
                  <c:v>-1091.7957464256324</c:v>
                </c:pt>
                <c:pt idx="95">
                  <c:v>124.37575272637332</c:v>
                </c:pt>
                <c:pt idx="96">
                  <c:v>96.231781713362579</c:v>
                </c:pt>
                <c:pt idx="97">
                  <c:v>-304.72918541694344</c:v>
                </c:pt>
                <c:pt idx="98">
                  <c:v>321.44331328501357</c:v>
                </c:pt>
                <c:pt idx="99">
                  <c:v>-806.83483175927904</c:v>
                </c:pt>
                <c:pt idx="100">
                  <c:v>-632.58837189459337</c:v>
                </c:pt>
                <c:pt idx="101">
                  <c:v>-600.6438616694777</c:v>
                </c:pt>
                <c:pt idx="102">
                  <c:v>833.29096867849694</c:v>
                </c:pt>
                <c:pt idx="103">
                  <c:v>-518.41672051988462</c:v>
                </c:pt>
                <c:pt idx="104">
                  <c:v>680.29641926856311</c:v>
                </c:pt>
                <c:pt idx="105">
                  <c:v>379.91671958265579</c:v>
                </c:pt>
                <c:pt idx="106">
                  <c:v>15.303891259264674</c:v>
                </c:pt>
                <c:pt idx="107">
                  <c:v>-805.28677446989786</c:v>
                </c:pt>
                <c:pt idx="108">
                  <c:v>1671.1545418885835</c:v>
                </c:pt>
                <c:pt idx="109">
                  <c:v>-545.36587328154383</c:v>
                </c:pt>
                <c:pt idx="110">
                  <c:v>-271.1359200664956</c:v>
                </c:pt>
                <c:pt idx="111">
                  <c:v>423.26147299874356</c:v>
                </c:pt>
                <c:pt idx="112">
                  <c:v>708.90195419725569</c:v>
                </c:pt>
              </c:numCache>
            </c:numRef>
          </c:val>
          <c:smooth val="0"/>
          <c:extLst>
            <c:ext xmlns:c16="http://schemas.microsoft.com/office/drawing/2014/chart" uri="{C3380CC4-5D6E-409C-BE32-E72D297353CC}">
              <c16:uniqueId val="{00000000-245F-41FC-AF94-BA1CEF36FF5D}"/>
            </c:ext>
          </c:extLst>
        </c:ser>
        <c:dLbls>
          <c:showLegendKey val="0"/>
          <c:showVal val="0"/>
          <c:showCatName val="0"/>
          <c:showSerName val="0"/>
          <c:showPercent val="0"/>
          <c:showBubbleSize val="0"/>
        </c:dLbls>
        <c:smooth val="0"/>
        <c:axId val="53511295"/>
        <c:axId val="53513215"/>
      </c:lineChart>
      <c:catAx>
        <c:axId val="53511295"/>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53513215"/>
        <c:crosses val="autoZero"/>
        <c:auto val="1"/>
        <c:lblAlgn val="ctr"/>
        <c:lblOffset val="100"/>
        <c:noMultiLvlLbl val="0"/>
      </c:catAx>
      <c:valAx>
        <c:axId val="53513215"/>
        <c:scaling>
          <c:orientation val="minMax"/>
        </c:scaling>
        <c:delete val="0"/>
        <c:axPos val="l"/>
        <c:numFmt formatCode="0.00" sourceLinked="0"/>
        <c:majorTickMark val="out"/>
        <c:minorTickMark val="none"/>
        <c:tickLblPos val="nextTo"/>
        <c:txPr>
          <a:bodyPr/>
          <a:lstStyle/>
          <a:p>
            <a:pPr>
              <a:defRPr sz="800" b="0"/>
            </a:pPr>
            <a:endParaRPr lang="en-US"/>
          </a:p>
        </c:txPr>
        <c:crossAx val="53511295"/>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Deseasonalized Forecast and Original Observations</a:t>
            </a:r>
          </a:p>
        </c:rich>
      </c:tx>
      <c:overlay val="0"/>
    </c:title>
    <c:autoTitleDeleted val="0"/>
    <c:plotArea>
      <c:layout/>
      <c:lineChart>
        <c:grouping val="standard"/>
        <c:varyColors val="0"/>
        <c:ser>
          <c:idx val="0"/>
          <c:order val="0"/>
          <c:tx>
            <c:v>West</c:v>
          </c:tx>
          <c:spPr>
            <a:ln>
              <a:solidFill>
                <a:srgbClr val="333399"/>
              </a:solidFill>
              <a:prstDash val="solid"/>
            </a:ln>
          </c:spPr>
          <c:marker>
            <c:symbol val="none"/>
          </c:marker>
          <c:cat>
            <c:strRef>
              <c:f>'Moving average DS(WEST)'!$A$146:$A$270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'Moving average DS(WEST)'!$D$146:$D$270</c:f>
              <c:numCache>
                <c:formatCode>0.00</c:formatCode>
                <c:ptCount val="125"/>
                <c:pt idx="0">
                  <c:v>10247.558620448146</c:v>
                </c:pt>
                <c:pt idx="1">
                  <c:v>7849.0159715704067</c:v>
                </c:pt>
                <c:pt idx="2">
                  <c:v>9407.5374884790526</c:v>
                </c:pt>
                <c:pt idx="3">
                  <c:v>8979.8009216662467</c:v>
                </c:pt>
                <c:pt idx="4">
                  <c:v>8279.7542886568372</c:v>
                </c:pt>
                <c:pt idx="5">
                  <c:v>9489.4786907369908</c:v>
                </c:pt>
                <c:pt idx="6">
                  <c:v>9015.7762283098291</c:v>
                </c:pt>
                <c:pt idx="7">
                  <c:v>10339.514272366137</c:v>
                </c:pt>
                <c:pt idx="8">
                  <c:v>9130.4788899256546</c:v>
                </c:pt>
                <c:pt idx="9">
                  <c:v>7811.3826316248669</c:v>
                </c:pt>
                <c:pt idx="10">
                  <c:v>7935.2176679185795</c:v>
                </c:pt>
                <c:pt idx="11">
                  <c:v>8938.0159497895384</c:v>
                </c:pt>
                <c:pt idx="12">
                  <c:v>9052.5958807780535</c:v>
                </c:pt>
                <c:pt idx="13">
                  <c:v>8380.344707906901</c:v>
                </c:pt>
                <c:pt idx="14">
                  <c:v>8093.7166038995247</c:v>
                </c:pt>
                <c:pt idx="15">
                  <c:v>8860.1118736839071</c:v>
                </c:pt>
                <c:pt idx="16">
                  <c:v>8597.9386734737218</c:v>
                </c:pt>
                <c:pt idx="17">
                  <c:v>8115.7830101510126</c:v>
                </c:pt>
                <c:pt idx="18">
                  <c:v>9100.1252150137316</c:v>
                </c:pt>
                <c:pt idx="19">
                  <c:v>10232.876652418037</c:v>
                </c:pt>
                <c:pt idx="20">
                  <c:v>9175.9974063856953</c:v>
                </c:pt>
                <c:pt idx="21">
                  <c:v>9705.5891867515093</c:v>
                </c:pt>
                <c:pt idx="22">
                  <c:v>8192.3774997492746</c:v>
                </c:pt>
                <c:pt idx="23">
                  <c:v>8444.6522160573732</c:v>
                </c:pt>
                <c:pt idx="24">
                  <c:v>8923.3089457087044</c:v>
                </c:pt>
                <c:pt idx="25">
                  <c:v>8832.6135885084259</c:v>
                </c:pt>
                <c:pt idx="26">
                  <c:v>9212.3603621620605</c:v>
                </c:pt>
                <c:pt idx="27">
                  <c:v>9025.5949921986194</c:v>
                </c:pt>
                <c:pt idx="28">
                  <c:v>7338.1273748393733</c:v>
                </c:pt>
                <c:pt idx="29">
                  <c:v>8898.1160774021282</c:v>
                </c:pt>
                <c:pt idx="30">
                  <c:v>9281.8668461592515</c:v>
                </c:pt>
                <c:pt idx="31">
                  <c:v>8783.2985991398073</c:v>
                </c:pt>
                <c:pt idx="32">
                  <c:v>8643.1630078240505</c:v>
                </c:pt>
                <c:pt idx="33">
                  <c:v>9223.393536803138</c:v>
                </c:pt>
                <c:pt idx="34">
                  <c:v>8678.1238487628088</c:v>
                </c:pt>
                <c:pt idx="35">
                  <c:v>9264.3950351815856</c:v>
                </c:pt>
                <c:pt idx="36">
                  <c:v>9409.0763619401405</c:v>
                </c:pt>
                <c:pt idx="37">
                  <c:v>8752.3910878361767</c:v>
                </c:pt>
                <c:pt idx="38">
                  <c:v>9251.3957874254593</c:v>
                </c:pt>
                <c:pt idx="39">
                  <c:v>8265.8297310933394</c:v>
                </c:pt>
                <c:pt idx="40">
                  <c:v>9631.0435979260383</c:v>
                </c:pt>
                <c:pt idx="41">
                  <c:v>9423.054185026991</c:v>
                </c:pt>
                <c:pt idx="42">
                  <c:v>9608.8278667846862</c:v>
                </c:pt>
                <c:pt idx="43">
                  <c:v>8947.1564054015198</c:v>
                </c:pt>
                <c:pt idx="44">
                  <c:v>7381.1398259711796</c:v>
                </c:pt>
                <c:pt idx="45">
                  <c:v>8929.9644009818439</c:v>
                </c:pt>
                <c:pt idx="46">
                  <c:v>10560.901188951822</c:v>
                </c:pt>
                <c:pt idx="47">
                  <c:v>8607.299600804241</c:v>
                </c:pt>
                <c:pt idx="48">
                  <c:v>8117.4622242084961</c:v>
                </c:pt>
                <c:pt idx="49">
                  <c:v>9111.6483734553822</c:v>
                </c:pt>
                <c:pt idx="50">
                  <c:v>9284.8547233655154</c:v>
                </c:pt>
                <c:pt idx="51">
                  <c:v>8879.8865859592515</c:v>
                </c:pt>
                <c:pt idx="52">
                  <c:v>9730.4762181813148</c:v>
                </c:pt>
                <c:pt idx="53">
                  <c:v>8756.9640027683763</c:v>
                </c:pt>
                <c:pt idx="54">
                  <c:v>8942.7317449786151</c:v>
                </c:pt>
                <c:pt idx="55">
                  <c:v>8328.1380261906015</c:v>
                </c:pt>
                <c:pt idx="56">
                  <c:v>8958.2225433219755</c:v>
                </c:pt>
                <c:pt idx="57">
                  <c:v>9539.2503772731961</c:v>
                </c:pt>
                <c:pt idx="58">
                  <c:v>8760.7823661369603</c:v>
                </c:pt>
                <c:pt idx="59">
                  <c:v>10901.712041633387</c:v>
                </c:pt>
                <c:pt idx="60">
                  <c:v>9440.4566859860988</c:v>
                </c:pt>
                <c:pt idx="61">
                  <c:v>8245.4778951825392</c:v>
                </c:pt>
                <c:pt idx="62">
                  <c:v>9584.8698489613489</c:v>
                </c:pt>
                <c:pt idx="63">
                  <c:v>8735.2189540501622</c:v>
                </c:pt>
                <c:pt idx="64">
                  <c:v>8889.2762508216802</c:v>
                </c:pt>
                <c:pt idx="65">
                  <c:v>8958.0826450569893</c:v>
                </c:pt>
                <c:pt idx="66">
                  <c:v>8167.0688981757257</c:v>
                </c:pt>
                <c:pt idx="67">
                  <c:v>9656.3399266823781</c:v>
                </c:pt>
                <c:pt idx="68">
                  <c:v>9517.8325398012894</c:v>
                </c:pt>
                <c:pt idx="69">
                  <c:v>9046.775362694143</c:v>
                </c:pt>
                <c:pt idx="70">
                  <c:v>8876.0961002515178</c:v>
                </c:pt>
                <c:pt idx="71">
                  <c:v>9304.5147234191463</c:v>
                </c:pt>
                <c:pt idx="72">
                  <c:v>7920.3937891998776</c:v>
                </c:pt>
                <c:pt idx="73">
                  <c:v>8553.5788035614696</c:v>
                </c:pt>
                <c:pt idx="74">
                  <c:v>9316.0830635762341</c:v>
                </c:pt>
                <c:pt idx="75">
                  <c:v>8630.1007466917617</c:v>
                </c:pt>
                <c:pt idx="76">
                  <c:v>9026.4932667739613</c:v>
                </c:pt>
                <c:pt idx="77">
                  <c:v>9551.290383550464</c:v>
                </c:pt>
                <c:pt idx="78">
                  <c:v>8024.4582402433552</c:v>
                </c:pt>
                <c:pt idx="79">
                  <c:v>8166.8811374885972</c:v>
                </c:pt>
                <c:pt idx="80">
                  <c:v>9492.8419817447957</c:v>
                </c:pt>
                <c:pt idx="81">
                  <c:v>9300.9560153801049</c:v>
                </c:pt>
                <c:pt idx="82">
                  <c:v>9364.903875834465</c:v>
                </c:pt>
                <c:pt idx="83">
                  <c:v>7798.399940663151</c:v>
                </c:pt>
                <c:pt idx="84">
                  <c:v>8314.5306592171146</c:v>
                </c:pt>
                <c:pt idx="85">
                  <c:v>10561.466610242273</c:v>
                </c:pt>
                <c:pt idx="86">
                  <c:v>8666.9797063391488</c:v>
                </c:pt>
                <c:pt idx="87">
                  <c:v>9783.2787046433368</c:v>
                </c:pt>
                <c:pt idx="88">
                  <c:v>9141.8351062700804</c:v>
                </c:pt>
                <c:pt idx="89">
                  <c:v>9227.4709182142124</c:v>
                </c:pt>
                <c:pt idx="90">
                  <c:v>9163.6043493372872</c:v>
                </c:pt>
                <c:pt idx="91">
                  <c:v>7557.3994559966141</c:v>
                </c:pt>
                <c:pt idx="92">
                  <c:v>9881.0881515510191</c:v>
                </c:pt>
                <c:pt idx="93">
                  <c:v>8822.4983162065291</c:v>
                </c:pt>
                <c:pt idx="94">
                  <c:v>8723.024771780867</c:v>
                </c:pt>
                <c:pt idx="95">
                  <c:v>9288.2499849444594</c:v>
                </c:pt>
                <c:pt idx="96">
                  <c:v>9886.0572874387053</c:v>
                </c:pt>
                <c:pt idx="97">
                  <c:v>8759.3669574598498</c:v>
                </c:pt>
                <c:pt idx="98">
                  <c:v>7946.4972857632783</c:v>
                </c:pt>
                <c:pt idx="99">
                  <c:v>9099.4899696485845</c:v>
                </c:pt>
                <c:pt idx="100">
                  <c:v>9018.5386571535382</c:v>
                </c:pt>
                <c:pt idx="101">
                  <c:v>8424.8414742183759</c:v>
                </c:pt>
                <c:pt idx="102">
                  <c:v>8901.8616174004364</c:v>
                </c:pt>
                <c:pt idx="103">
                  <c:v>8161.679302369178</c:v>
                </c:pt>
                <c:pt idx="104">
                  <c:v>8062.1325330106001</c:v>
                </c:pt>
                <c:pt idx="105">
                  <c:v>7826.3344347240409</c:v>
                </c:pt>
                <c:pt idx="106">
                  <c:v>9088.3550090641547</c:v>
                </c:pt>
                <c:pt idx="107">
                  <c:v>7722.4978277812797</c:v>
                </c:pt>
                <c:pt idx="108">
                  <c:v>9028.7468345031248</c:v>
                </c:pt>
                <c:pt idx="109">
                  <c:v>8858.1917771285625</c:v>
                </c:pt>
                <c:pt idx="110">
                  <c:v>8691.516259361857</c:v>
                </c:pt>
                <c:pt idx="111">
                  <c:v>7737.1163713104861</c:v>
                </c:pt>
                <c:pt idx="112">
                  <c:v>10240.565560090881</c:v>
                </c:pt>
                <c:pt idx="113">
                  <c:v>8378.7133452530979</c:v>
                </c:pt>
                <c:pt idx="114">
                  <c:v>8526.204274554193</c:v>
                </c:pt>
                <c:pt idx="115">
                  <c:v>9087.6059536258472</c:v>
                </c:pt>
                <c:pt idx="116">
                  <c:v>9690.9814063355589</c:v>
                </c:pt>
              </c:numCache>
            </c:numRef>
          </c:val>
          <c:smooth val="0"/>
          <c:extLst>
            <c:ext xmlns:c16="http://schemas.microsoft.com/office/drawing/2014/chart" uri="{C3380CC4-5D6E-409C-BE32-E72D297353CC}">
              <c16:uniqueId val="{00000000-15E7-4066-8CFB-30108DC0CDF9}"/>
            </c:ext>
          </c:extLst>
        </c:ser>
        <c:ser>
          <c:idx val="1"/>
          <c:order val="1"/>
          <c:tx>
            <c:v>Deseasonalized Forecast</c:v>
          </c:tx>
          <c:spPr>
            <a:ln>
              <a:solidFill>
                <a:srgbClr val="993366"/>
              </a:solidFill>
              <a:prstDash val="solid"/>
            </a:ln>
          </c:spPr>
          <c:marker>
            <c:symbol val="none"/>
          </c:marker>
          <c:cat>
            <c:strRef>
              <c:f>'Moving average DS(WEST)'!$A$146:$A$270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'Moving average DS(WEST)'!$E$146:$E$270</c:f>
              <c:numCache>
                <c:formatCode>0.00</c:formatCode>
                <c:ptCount val="125"/>
                <c:pt idx="4">
                  <c:v>9120.9782505409621</c:v>
                </c:pt>
                <c:pt idx="5">
                  <c:v>8629.0271675931363</c:v>
                </c:pt>
                <c:pt idx="6">
                  <c:v>9039.1428473847809</c:v>
                </c:pt>
                <c:pt idx="7">
                  <c:v>8941.202532342475</c:v>
                </c:pt>
                <c:pt idx="8">
                  <c:v>9281.1308700174486</c:v>
                </c:pt>
                <c:pt idx="9">
                  <c:v>9493.8120203346534</c:v>
                </c:pt>
                <c:pt idx="10">
                  <c:v>9074.288005556622</c:v>
                </c:pt>
                <c:pt idx="11">
                  <c:v>8804.1483654588101</c:v>
                </c:pt>
                <c:pt idx="12">
                  <c:v>8453.7737848146589</c:v>
                </c:pt>
                <c:pt idx="13">
                  <c:v>8434.3030325277596</c:v>
                </c:pt>
                <c:pt idx="14">
                  <c:v>8576.5435515982681</c:v>
                </c:pt>
                <c:pt idx="15">
                  <c:v>8616.1682855935051</c:v>
                </c:pt>
                <c:pt idx="16">
                  <c:v>8596.6922665670972</c:v>
                </c:pt>
                <c:pt idx="17">
                  <c:v>8483.0279647410134</c:v>
                </c:pt>
                <c:pt idx="18">
                  <c:v>8416.8875403020411</c:v>
                </c:pt>
                <c:pt idx="19">
                  <c:v>8668.4896930805935</c:v>
                </c:pt>
                <c:pt idx="20">
                  <c:v>9011.680887764127</c:v>
                </c:pt>
                <c:pt idx="21">
                  <c:v>9156.1955709921185</c:v>
                </c:pt>
                <c:pt idx="22">
                  <c:v>9553.6471151422429</c:v>
                </c:pt>
                <c:pt idx="23">
                  <c:v>9326.7101863261287</c:v>
                </c:pt>
                <c:pt idx="24">
                  <c:v>8879.6540772359622</c:v>
                </c:pt>
                <c:pt idx="25">
                  <c:v>8816.4819620667149</c:v>
                </c:pt>
                <c:pt idx="26">
                  <c:v>8598.238062505945</c:v>
                </c:pt>
                <c:pt idx="27">
                  <c:v>8853.233778109141</c:v>
                </c:pt>
                <c:pt idx="28">
                  <c:v>8998.4694721444521</c:v>
                </c:pt>
                <c:pt idx="29">
                  <c:v>8602.1740794271191</c:v>
                </c:pt>
                <c:pt idx="30">
                  <c:v>8618.5497016505451</c:v>
                </c:pt>
                <c:pt idx="31">
                  <c:v>8635.9263226498442</c:v>
                </c:pt>
                <c:pt idx="32">
                  <c:v>8575.3522243851403</c:v>
                </c:pt>
                <c:pt idx="33">
                  <c:v>8901.6111326313094</c:v>
                </c:pt>
                <c:pt idx="34">
                  <c:v>8982.9304974815623</c:v>
                </c:pt>
                <c:pt idx="35">
                  <c:v>8831.9947481324507</c:v>
                </c:pt>
                <c:pt idx="36">
                  <c:v>8952.2688571428953</c:v>
                </c:pt>
                <c:pt idx="37">
                  <c:v>9143.7471956719182</c:v>
                </c:pt>
                <c:pt idx="38">
                  <c:v>9025.9965834301784</c:v>
                </c:pt>
                <c:pt idx="39">
                  <c:v>9169.3145680958405</c:v>
                </c:pt>
                <c:pt idx="40">
                  <c:v>8919.673242073779</c:v>
                </c:pt>
                <c:pt idx="41">
                  <c:v>8975.165051070253</c:v>
                </c:pt>
                <c:pt idx="42">
                  <c:v>9142.830825367957</c:v>
                </c:pt>
                <c:pt idx="43">
                  <c:v>9232.1888452077637</c:v>
                </c:pt>
                <c:pt idx="44">
                  <c:v>9402.5205137848097</c:v>
                </c:pt>
                <c:pt idx="45">
                  <c:v>8840.0445707960935</c:v>
                </c:pt>
                <c:pt idx="46">
                  <c:v>8716.7721247848076</c:v>
                </c:pt>
                <c:pt idx="47">
                  <c:v>8954.7904553265907</c:v>
                </c:pt>
                <c:pt idx="48">
                  <c:v>8869.826254177271</c:v>
                </c:pt>
                <c:pt idx="49">
                  <c:v>9053.9068537366002</c:v>
                </c:pt>
                <c:pt idx="50">
                  <c:v>9099.3278468549852</c:v>
                </c:pt>
                <c:pt idx="51">
                  <c:v>8780.3162304584075</c:v>
                </c:pt>
                <c:pt idx="52">
                  <c:v>8848.4629767471615</c:v>
                </c:pt>
                <c:pt idx="53">
                  <c:v>9251.716475240366</c:v>
                </c:pt>
                <c:pt idx="54">
                  <c:v>9163.0453825686145</c:v>
                </c:pt>
                <c:pt idx="55">
                  <c:v>9077.5146379718899</c:v>
                </c:pt>
                <c:pt idx="56">
                  <c:v>8939.5774980297265</c:v>
                </c:pt>
                <c:pt idx="57">
                  <c:v>8746.514079314893</c:v>
                </c:pt>
                <c:pt idx="58">
                  <c:v>8942.0856729410971</c:v>
                </c:pt>
                <c:pt idx="59">
                  <c:v>8896.5983282306843</c:v>
                </c:pt>
                <c:pt idx="60">
                  <c:v>9539.9918320913803</c:v>
                </c:pt>
                <c:pt idx="61">
                  <c:v>9660.5503677574106</c:v>
                </c:pt>
                <c:pt idx="62">
                  <c:v>9337.1072472347478</c:v>
                </c:pt>
                <c:pt idx="63">
                  <c:v>9543.1291179408436</c:v>
                </c:pt>
                <c:pt idx="64">
                  <c:v>9001.5058460450364</c:v>
                </c:pt>
                <c:pt idx="65">
                  <c:v>8863.7107372539322</c:v>
                </c:pt>
                <c:pt idx="66">
                  <c:v>9041.8619247225452</c:v>
                </c:pt>
                <c:pt idx="67">
                  <c:v>8687.4116870261387</c:v>
                </c:pt>
                <c:pt idx="68">
                  <c:v>8917.6919301841936</c:v>
                </c:pt>
                <c:pt idx="69">
                  <c:v>9074.831002429095</c:v>
                </c:pt>
                <c:pt idx="70">
                  <c:v>9097.0041818383834</c:v>
                </c:pt>
                <c:pt idx="71">
                  <c:v>9274.2609823573312</c:v>
                </c:pt>
                <c:pt idx="72">
                  <c:v>9186.3046815415237</c:v>
                </c:pt>
                <c:pt idx="73">
                  <c:v>8786.9449938911712</c:v>
                </c:pt>
                <c:pt idx="74">
                  <c:v>8663.6458541080028</c:v>
                </c:pt>
                <c:pt idx="75">
                  <c:v>8773.6425949391814</c:v>
                </c:pt>
                <c:pt idx="76">
                  <c:v>8605.0391007573344</c:v>
                </c:pt>
                <c:pt idx="77">
                  <c:v>8881.5639701508571</c:v>
                </c:pt>
                <c:pt idx="78">
                  <c:v>9130.9918651481057</c:v>
                </c:pt>
                <c:pt idx="79">
                  <c:v>8808.0856593148856</c:v>
                </c:pt>
                <c:pt idx="80">
                  <c:v>8692.280757014094</c:v>
                </c:pt>
                <c:pt idx="81">
                  <c:v>8808.8679357568035</c:v>
                </c:pt>
                <c:pt idx="82">
                  <c:v>8746.2843437142128</c:v>
                </c:pt>
                <c:pt idx="83">
                  <c:v>9081.3957526119921</c:v>
                </c:pt>
                <c:pt idx="84">
                  <c:v>8989.2754534056294</c:v>
                </c:pt>
                <c:pt idx="85">
                  <c:v>8694.6976227737086</c:v>
                </c:pt>
                <c:pt idx="86">
                  <c:v>9009.8252714892515</c:v>
                </c:pt>
                <c:pt idx="87">
                  <c:v>8835.3442291154206</c:v>
                </c:pt>
                <c:pt idx="88">
                  <c:v>9331.5639201104677</c:v>
                </c:pt>
                <c:pt idx="89">
                  <c:v>9538.3900318737105</c:v>
                </c:pt>
                <c:pt idx="90">
                  <c:v>9204.8911088666937</c:v>
                </c:pt>
                <c:pt idx="91">
                  <c:v>9329.0472696162287</c:v>
                </c:pt>
                <c:pt idx="92">
                  <c:v>8772.5774574545485</c:v>
                </c:pt>
                <c:pt idx="93">
                  <c:v>8957.3907187747827</c:v>
                </c:pt>
                <c:pt idx="94">
                  <c:v>8856.1475682728633</c:v>
                </c:pt>
                <c:pt idx="95">
                  <c:v>8746.0026738837587</c:v>
                </c:pt>
                <c:pt idx="96">
                  <c:v>9178.7153061207191</c:v>
                </c:pt>
                <c:pt idx="97">
                  <c:v>9179.9575900926411</c:v>
                </c:pt>
                <c:pt idx="98">
                  <c:v>9164.1747504059713</c:v>
                </c:pt>
                <c:pt idx="99">
                  <c:v>8970.0428789015732</c:v>
                </c:pt>
                <c:pt idx="100">
                  <c:v>8922.852875077604</c:v>
                </c:pt>
                <c:pt idx="101">
                  <c:v>8705.9732175063127</c:v>
                </c:pt>
                <c:pt idx="102">
                  <c:v>8622.3418466959447</c:v>
                </c:pt>
                <c:pt idx="103">
                  <c:v>8861.1829296052329</c:v>
                </c:pt>
                <c:pt idx="104">
                  <c:v>8626.7302627853824</c:v>
                </c:pt>
                <c:pt idx="105">
                  <c:v>8387.6287317496481</c:v>
                </c:pt>
                <c:pt idx="106">
                  <c:v>8238.0019718760632</c:v>
                </c:pt>
                <c:pt idx="107">
                  <c:v>8284.6253197919941</c:v>
                </c:pt>
                <c:pt idx="108">
                  <c:v>8174.8299511450195</c:v>
                </c:pt>
                <c:pt idx="109">
                  <c:v>8416.48352651815</c:v>
                </c:pt>
                <c:pt idx="110">
                  <c:v>8674.4478621192793</c:v>
                </c:pt>
                <c:pt idx="111">
                  <c:v>8575.2381746937062</c:v>
                </c:pt>
                <c:pt idx="112">
                  <c:v>8578.8928105760078</c:v>
                </c:pt>
                <c:pt idx="113">
                  <c:v>8881.847491972947</c:v>
                </c:pt>
                <c:pt idx="114">
                  <c:v>8761.9778840040799</c:v>
                </c:pt>
                <c:pt idx="115">
                  <c:v>8720.6498878021648</c:v>
                </c:pt>
                <c:pt idx="116">
                  <c:v>9058.2722833810039</c:v>
                </c:pt>
                <c:pt idx="117">
                  <c:v>8920.8762449421738</c:v>
                </c:pt>
                <c:pt idx="118">
                  <c:v>9056.4169698644437</c:v>
                </c:pt>
                <c:pt idx="119">
                  <c:v>9188.9701436920059</c:v>
                </c:pt>
                <c:pt idx="120">
                  <c:v>9214.311191208546</c:v>
                </c:pt>
                <c:pt idx="121">
                  <c:v>9095.1436374267923</c:v>
                </c:pt>
                <c:pt idx="122">
                  <c:v>9138.7104855479465</c:v>
                </c:pt>
                <c:pt idx="123">
                  <c:v>9159.2838644688236</c:v>
                </c:pt>
                <c:pt idx="124">
                  <c:v>9151.8622946630276</c:v>
                </c:pt>
              </c:numCache>
            </c:numRef>
          </c:val>
          <c:smooth val="0"/>
          <c:extLst>
            <c:ext xmlns:c16="http://schemas.microsoft.com/office/drawing/2014/chart" uri="{C3380CC4-5D6E-409C-BE32-E72D297353CC}">
              <c16:uniqueId val="{00000001-15E7-4066-8CFB-30108DC0CDF9}"/>
            </c:ext>
          </c:extLst>
        </c:ser>
        <c:dLbls>
          <c:showLegendKey val="0"/>
          <c:showVal val="0"/>
          <c:showCatName val="0"/>
          <c:showSerName val="0"/>
          <c:showPercent val="0"/>
          <c:showBubbleSize val="0"/>
        </c:dLbls>
        <c:smooth val="0"/>
        <c:axId val="1548720127"/>
        <c:axId val="1548718207"/>
      </c:lineChart>
      <c:catAx>
        <c:axId val="1548720127"/>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548718207"/>
        <c:crosses val="autoZero"/>
        <c:auto val="1"/>
        <c:lblAlgn val="ctr"/>
        <c:lblOffset val="100"/>
        <c:noMultiLvlLbl val="0"/>
      </c:catAx>
      <c:valAx>
        <c:axId val="1548718207"/>
        <c:scaling>
          <c:orientation val="minMax"/>
        </c:scaling>
        <c:delete val="0"/>
        <c:axPos val="l"/>
        <c:numFmt formatCode="0.00" sourceLinked="0"/>
        <c:majorTickMark val="out"/>
        <c:minorTickMark val="none"/>
        <c:tickLblPos val="nextTo"/>
        <c:txPr>
          <a:bodyPr/>
          <a:lstStyle/>
          <a:p>
            <a:pPr>
              <a:defRPr sz="800" b="0"/>
            </a:pPr>
            <a:endParaRPr lang="en-US"/>
          </a:p>
        </c:txPr>
        <c:crossAx val="1548720127"/>
        <c:crosses val="autoZero"/>
        <c:crossBetween val="between"/>
      </c:valAx>
    </c:plotArea>
    <c:legend>
      <c:legendPos val="r"/>
      <c:overlay val="0"/>
      <c:spPr>
        <a:ln>
          <a:solidFill>
            <a:srgbClr val="000000"/>
          </a:solidFill>
          <a:prstDash val="solid"/>
        </a:ln>
      </c:sp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Deseasonalized Observations</a:t>
            </a:r>
          </a:p>
        </c:rich>
      </c:tx>
      <c:overlay val="0"/>
    </c:title>
    <c:autoTitleDeleted val="0"/>
    <c:plotArea>
      <c:layout/>
      <c:lineChart>
        <c:grouping val="standard"/>
        <c:varyColors val="0"/>
        <c:ser>
          <c:idx val="0"/>
          <c:order val="0"/>
          <c:tx>
            <c:v>West</c:v>
          </c:tx>
          <c:spPr>
            <a:ln>
              <a:solidFill>
                <a:srgbClr val="333399"/>
              </a:solidFill>
              <a:prstDash val="solid"/>
            </a:ln>
          </c:spPr>
          <c:marker>
            <c:symbol val="none"/>
          </c:marker>
          <c:cat>
            <c:strRef>
              <c:f>'Moving average DS(WEST)'!$A$146:$A$270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'Moving average DS(WEST)'!$D$146:$D$270</c:f>
              <c:numCache>
                <c:formatCode>0.00</c:formatCode>
                <c:ptCount val="125"/>
                <c:pt idx="0">
                  <c:v>10247.558620448146</c:v>
                </c:pt>
                <c:pt idx="1">
                  <c:v>7849.0159715704067</c:v>
                </c:pt>
                <c:pt idx="2">
                  <c:v>9407.5374884790526</c:v>
                </c:pt>
                <c:pt idx="3">
                  <c:v>8979.8009216662467</c:v>
                </c:pt>
                <c:pt idx="4">
                  <c:v>8279.7542886568372</c:v>
                </c:pt>
                <c:pt idx="5">
                  <c:v>9489.4786907369908</c:v>
                </c:pt>
                <c:pt idx="6">
                  <c:v>9015.7762283098291</c:v>
                </c:pt>
                <c:pt idx="7">
                  <c:v>10339.514272366137</c:v>
                </c:pt>
                <c:pt idx="8">
                  <c:v>9130.4788899256546</c:v>
                </c:pt>
                <c:pt idx="9">
                  <c:v>7811.3826316248669</c:v>
                </c:pt>
                <c:pt idx="10">
                  <c:v>7935.2176679185795</c:v>
                </c:pt>
                <c:pt idx="11">
                  <c:v>8938.0159497895384</c:v>
                </c:pt>
                <c:pt idx="12">
                  <c:v>9052.5958807780535</c:v>
                </c:pt>
                <c:pt idx="13">
                  <c:v>8380.344707906901</c:v>
                </c:pt>
                <c:pt idx="14">
                  <c:v>8093.7166038995247</c:v>
                </c:pt>
                <c:pt idx="15">
                  <c:v>8860.1118736839071</c:v>
                </c:pt>
                <c:pt idx="16">
                  <c:v>8597.9386734737218</c:v>
                </c:pt>
                <c:pt idx="17">
                  <c:v>8115.7830101510126</c:v>
                </c:pt>
                <c:pt idx="18">
                  <c:v>9100.1252150137316</c:v>
                </c:pt>
                <c:pt idx="19">
                  <c:v>10232.876652418037</c:v>
                </c:pt>
                <c:pt idx="20">
                  <c:v>9175.9974063856953</c:v>
                </c:pt>
                <c:pt idx="21">
                  <c:v>9705.5891867515093</c:v>
                </c:pt>
                <c:pt idx="22">
                  <c:v>8192.3774997492746</c:v>
                </c:pt>
                <c:pt idx="23">
                  <c:v>8444.6522160573732</c:v>
                </c:pt>
                <c:pt idx="24">
                  <c:v>8923.3089457087044</c:v>
                </c:pt>
                <c:pt idx="25">
                  <c:v>8832.6135885084259</c:v>
                </c:pt>
                <c:pt idx="26">
                  <c:v>9212.3603621620605</c:v>
                </c:pt>
                <c:pt idx="27">
                  <c:v>9025.5949921986194</c:v>
                </c:pt>
                <c:pt idx="28">
                  <c:v>7338.1273748393733</c:v>
                </c:pt>
                <c:pt idx="29">
                  <c:v>8898.1160774021282</c:v>
                </c:pt>
                <c:pt idx="30">
                  <c:v>9281.8668461592515</c:v>
                </c:pt>
                <c:pt idx="31">
                  <c:v>8783.2985991398073</c:v>
                </c:pt>
                <c:pt idx="32">
                  <c:v>8643.1630078240505</c:v>
                </c:pt>
                <c:pt idx="33">
                  <c:v>9223.393536803138</c:v>
                </c:pt>
                <c:pt idx="34">
                  <c:v>8678.1238487628088</c:v>
                </c:pt>
                <c:pt idx="35">
                  <c:v>9264.3950351815856</c:v>
                </c:pt>
                <c:pt idx="36">
                  <c:v>9409.0763619401405</c:v>
                </c:pt>
                <c:pt idx="37">
                  <c:v>8752.3910878361767</c:v>
                </c:pt>
                <c:pt idx="38">
                  <c:v>9251.3957874254593</c:v>
                </c:pt>
                <c:pt idx="39">
                  <c:v>8265.8297310933394</c:v>
                </c:pt>
                <c:pt idx="40">
                  <c:v>9631.0435979260383</c:v>
                </c:pt>
                <c:pt idx="41">
                  <c:v>9423.054185026991</c:v>
                </c:pt>
                <c:pt idx="42">
                  <c:v>9608.8278667846862</c:v>
                </c:pt>
                <c:pt idx="43">
                  <c:v>8947.1564054015198</c:v>
                </c:pt>
                <c:pt idx="44">
                  <c:v>7381.1398259711796</c:v>
                </c:pt>
                <c:pt idx="45">
                  <c:v>8929.9644009818439</c:v>
                </c:pt>
                <c:pt idx="46">
                  <c:v>10560.901188951822</c:v>
                </c:pt>
                <c:pt idx="47">
                  <c:v>8607.299600804241</c:v>
                </c:pt>
                <c:pt idx="48">
                  <c:v>8117.4622242084961</c:v>
                </c:pt>
                <c:pt idx="49">
                  <c:v>9111.6483734553822</c:v>
                </c:pt>
                <c:pt idx="50">
                  <c:v>9284.8547233655154</c:v>
                </c:pt>
                <c:pt idx="51">
                  <c:v>8879.8865859592515</c:v>
                </c:pt>
                <c:pt idx="52">
                  <c:v>9730.4762181813148</c:v>
                </c:pt>
                <c:pt idx="53">
                  <c:v>8756.9640027683763</c:v>
                </c:pt>
                <c:pt idx="54">
                  <c:v>8942.7317449786151</c:v>
                </c:pt>
                <c:pt idx="55">
                  <c:v>8328.1380261906015</c:v>
                </c:pt>
                <c:pt idx="56">
                  <c:v>8958.2225433219755</c:v>
                </c:pt>
                <c:pt idx="57">
                  <c:v>9539.2503772731961</c:v>
                </c:pt>
                <c:pt idx="58">
                  <c:v>8760.7823661369603</c:v>
                </c:pt>
                <c:pt idx="59">
                  <c:v>10901.712041633387</c:v>
                </c:pt>
                <c:pt idx="60">
                  <c:v>9440.4566859860988</c:v>
                </c:pt>
                <c:pt idx="61">
                  <c:v>8245.4778951825392</c:v>
                </c:pt>
                <c:pt idx="62">
                  <c:v>9584.8698489613489</c:v>
                </c:pt>
                <c:pt idx="63">
                  <c:v>8735.2189540501622</c:v>
                </c:pt>
                <c:pt idx="64">
                  <c:v>8889.2762508216802</c:v>
                </c:pt>
                <c:pt idx="65">
                  <c:v>8958.0826450569893</c:v>
                </c:pt>
                <c:pt idx="66">
                  <c:v>8167.0688981757257</c:v>
                </c:pt>
                <c:pt idx="67">
                  <c:v>9656.3399266823781</c:v>
                </c:pt>
                <c:pt idx="68">
                  <c:v>9517.8325398012894</c:v>
                </c:pt>
                <c:pt idx="69">
                  <c:v>9046.775362694143</c:v>
                </c:pt>
                <c:pt idx="70">
                  <c:v>8876.0961002515178</c:v>
                </c:pt>
                <c:pt idx="71">
                  <c:v>9304.5147234191463</c:v>
                </c:pt>
                <c:pt idx="72">
                  <c:v>7920.3937891998776</c:v>
                </c:pt>
                <c:pt idx="73">
                  <c:v>8553.5788035614696</c:v>
                </c:pt>
                <c:pt idx="74">
                  <c:v>9316.0830635762341</c:v>
                </c:pt>
                <c:pt idx="75">
                  <c:v>8630.1007466917617</c:v>
                </c:pt>
                <c:pt idx="76">
                  <c:v>9026.4932667739613</c:v>
                </c:pt>
                <c:pt idx="77">
                  <c:v>9551.290383550464</c:v>
                </c:pt>
                <c:pt idx="78">
                  <c:v>8024.4582402433552</c:v>
                </c:pt>
                <c:pt idx="79">
                  <c:v>8166.8811374885972</c:v>
                </c:pt>
                <c:pt idx="80">
                  <c:v>9492.8419817447957</c:v>
                </c:pt>
                <c:pt idx="81">
                  <c:v>9300.9560153801049</c:v>
                </c:pt>
                <c:pt idx="82">
                  <c:v>9364.903875834465</c:v>
                </c:pt>
                <c:pt idx="83">
                  <c:v>7798.399940663151</c:v>
                </c:pt>
                <c:pt idx="84">
                  <c:v>8314.5306592171146</c:v>
                </c:pt>
                <c:pt idx="85">
                  <c:v>10561.466610242273</c:v>
                </c:pt>
                <c:pt idx="86">
                  <c:v>8666.9797063391488</c:v>
                </c:pt>
                <c:pt idx="87">
                  <c:v>9783.2787046433368</c:v>
                </c:pt>
                <c:pt idx="88">
                  <c:v>9141.8351062700804</c:v>
                </c:pt>
                <c:pt idx="89">
                  <c:v>9227.4709182142124</c:v>
                </c:pt>
                <c:pt idx="90">
                  <c:v>9163.6043493372872</c:v>
                </c:pt>
                <c:pt idx="91">
                  <c:v>7557.3994559966141</c:v>
                </c:pt>
                <c:pt idx="92">
                  <c:v>9881.0881515510191</c:v>
                </c:pt>
                <c:pt idx="93">
                  <c:v>8822.4983162065291</c:v>
                </c:pt>
                <c:pt idx="94">
                  <c:v>8723.024771780867</c:v>
                </c:pt>
                <c:pt idx="95">
                  <c:v>9288.2499849444594</c:v>
                </c:pt>
                <c:pt idx="96">
                  <c:v>9886.0572874387053</c:v>
                </c:pt>
                <c:pt idx="97">
                  <c:v>8759.3669574598498</c:v>
                </c:pt>
                <c:pt idx="98">
                  <c:v>7946.4972857632783</c:v>
                </c:pt>
                <c:pt idx="99">
                  <c:v>9099.4899696485845</c:v>
                </c:pt>
                <c:pt idx="100">
                  <c:v>9018.5386571535382</c:v>
                </c:pt>
                <c:pt idx="101">
                  <c:v>8424.8414742183759</c:v>
                </c:pt>
                <c:pt idx="102">
                  <c:v>8901.8616174004364</c:v>
                </c:pt>
                <c:pt idx="103">
                  <c:v>8161.679302369178</c:v>
                </c:pt>
                <c:pt idx="104">
                  <c:v>8062.1325330106001</c:v>
                </c:pt>
                <c:pt idx="105">
                  <c:v>7826.3344347240409</c:v>
                </c:pt>
                <c:pt idx="106">
                  <c:v>9088.3550090641547</c:v>
                </c:pt>
                <c:pt idx="107">
                  <c:v>7722.4978277812797</c:v>
                </c:pt>
                <c:pt idx="108">
                  <c:v>9028.7468345031248</c:v>
                </c:pt>
                <c:pt idx="109">
                  <c:v>8858.1917771285625</c:v>
                </c:pt>
                <c:pt idx="110">
                  <c:v>8691.516259361857</c:v>
                </c:pt>
                <c:pt idx="111">
                  <c:v>7737.1163713104861</c:v>
                </c:pt>
                <c:pt idx="112">
                  <c:v>10240.565560090881</c:v>
                </c:pt>
                <c:pt idx="113">
                  <c:v>8378.7133452530979</c:v>
                </c:pt>
                <c:pt idx="114">
                  <c:v>8526.204274554193</c:v>
                </c:pt>
                <c:pt idx="115">
                  <c:v>9087.6059536258472</c:v>
                </c:pt>
                <c:pt idx="116">
                  <c:v>9690.9814063355589</c:v>
                </c:pt>
              </c:numCache>
            </c:numRef>
          </c:val>
          <c:smooth val="0"/>
          <c:extLst>
            <c:ext xmlns:c16="http://schemas.microsoft.com/office/drawing/2014/chart" uri="{C3380CC4-5D6E-409C-BE32-E72D297353CC}">
              <c16:uniqueId val="{00000000-106F-46BD-AFE4-D690AF023F5C}"/>
            </c:ext>
          </c:extLst>
        </c:ser>
        <c:dLbls>
          <c:showLegendKey val="0"/>
          <c:showVal val="0"/>
          <c:showCatName val="0"/>
          <c:showSerName val="0"/>
          <c:showPercent val="0"/>
          <c:showBubbleSize val="0"/>
        </c:dLbls>
        <c:smooth val="0"/>
        <c:axId val="1548721087"/>
        <c:axId val="1548719647"/>
      </c:lineChart>
      <c:catAx>
        <c:axId val="1548721087"/>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548719647"/>
        <c:crosses val="autoZero"/>
        <c:auto val="1"/>
        <c:lblAlgn val="ctr"/>
        <c:lblOffset val="100"/>
        <c:noMultiLvlLbl val="0"/>
      </c:catAx>
      <c:valAx>
        <c:axId val="1548719647"/>
        <c:scaling>
          <c:orientation val="minMax"/>
        </c:scaling>
        <c:delete val="0"/>
        <c:axPos val="l"/>
        <c:numFmt formatCode="0.00" sourceLinked="0"/>
        <c:majorTickMark val="out"/>
        <c:minorTickMark val="none"/>
        <c:tickLblPos val="nextTo"/>
        <c:txPr>
          <a:bodyPr/>
          <a:lstStyle/>
          <a:p>
            <a:pPr>
              <a:defRPr sz="800" b="0"/>
            </a:pPr>
            <a:endParaRPr lang="en-US"/>
          </a:p>
        </c:txPr>
        <c:crossAx val="1548721087"/>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Forecast Errors</a:t>
            </a:r>
          </a:p>
        </c:rich>
      </c:tx>
      <c:overlay val="0"/>
    </c:title>
    <c:autoTitleDeleted val="0"/>
    <c:plotArea>
      <c:layout/>
      <c:lineChart>
        <c:grouping val="standard"/>
        <c:varyColors val="0"/>
        <c:ser>
          <c:idx val="0"/>
          <c:order val="0"/>
          <c:tx>
            <c:v>Errors</c:v>
          </c:tx>
          <c:spPr>
            <a:ln>
              <a:solidFill>
                <a:srgbClr val="333399"/>
              </a:solidFill>
              <a:prstDash val="solid"/>
            </a:ln>
          </c:spPr>
          <c:marker>
            <c:symbol val="none"/>
          </c:marker>
          <c:cat>
            <c:strRef>
              <c:f>'Moving Averages Ds(East) a(3)'!$A$146:$A$262</c:f>
              <c:strCache>
                <c:ptCount val="117"/>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strCache>
            </c:strRef>
          </c:cat>
          <c:val>
            <c:numRef>
              <c:f>'Moving Averages Ds(East) a(3)'!$H$150:$H$270</c:f>
              <c:numCache>
                <c:formatCode>0.00</c:formatCode>
                <c:ptCount val="121"/>
                <c:pt idx="0">
                  <c:v>1652.9654696717698</c:v>
                </c:pt>
                <c:pt idx="1">
                  <c:v>367.27562314951138</c:v>
                </c:pt>
                <c:pt idx="2">
                  <c:v>-775.66272837080032</c:v>
                </c:pt>
                <c:pt idx="3">
                  <c:v>3558.4261216523828</c:v>
                </c:pt>
                <c:pt idx="4">
                  <c:v>1082.5273458361262</c:v>
                </c:pt>
                <c:pt idx="5">
                  <c:v>-324.88856282316738</c:v>
                </c:pt>
                <c:pt idx="6">
                  <c:v>-1287.1497782844453</c:v>
                </c:pt>
                <c:pt idx="7">
                  <c:v>-1820.02485437629</c:v>
                </c:pt>
                <c:pt idx="8">
                  <c:v>105.12095371611031</c:v>
                </c:pt>
                <c:pt idx="9">
                  <c:v>-132.44943588400747</c:v>
                </c:pt>
                <c:pt idx="10">
                  <c:v>-76.55486778078739</c:v>
                </c:pt>
                <c:pt idx="11">
                  <c:v>2150.0259616534422</c:v>
                </c:pt>
                <c:pt idx="12">
                  <c:v>-805.80622652845886</c:v>
                </c:pt>
                <c:pt idx="13">
                  <c:v>848.34737891875011</c:v>
                </c:pt>
                <c:pt idx="14">
                  <c:v>819.46064569886221</c:v>
                </c:pt>
                <c:pt idx="15">
                  <c:v>-1938.2885341132278</c:v>
                </c:pt>
                <c:pt idx="16">
                  <c:v>-647.48053179034105</c:v>
                </c:pt>
                <c:pt idx="17">
                  <c:v>-3467.0336156699595</c:v>
                </c:pt>
                <c:pt idx="18">
                  <c:v>2683.4451856696833</c:v>
                </c:pt>
                <c:pt idx="19">
                  <c:v>900.25959075780702</c:v>
                </c:pt>
                <c:pt idx="20">
                  <c:v>2420.0501417876239</c:v>
                </c:pt>
                <c:pt idx="21">
                  <c:v>533.00610515135668</c:v>
                </c:pt>
                <c:pt idx="22">
                  <c:v>-2675.7647036890285</c:v>
                </c:pt>
                <c:pt idx="23">
                  <c:v>-1190.8587349102127</c:v>
                </c:pt>
                <c:pt idx="24">
                  <c:v>-1103.4402508311141</c:v>
                </c:pt>
                <c:pt idx="25">
                  <c:v>416.31711461874511</c:v>
                </c:pt>
                <c:pt idx="26">
                  <c:v>-1926.4559166438939</c:v>
                </c:pt>
                <c:pt idx="27">
                  <c:v>1333.1505717503642</c:v>
                </c:pt>
                <c:pt idx="28">
                  <c:v>-1394.2129514210774</c:v>
                </c:pt>
                <c:pt idx="29">
                  <c:v>2217.091244213143</c:v>
                </c:pt>
                <c:pt idx="30">
                  <c:v>278.46223539694802</c:v>
                </c:pt>
                <c:pt idx="31">
                  <c:v>1087.7240273709685</c:v>
                </c:pt>
                <c:pt idx="32">
                  <c:v>218.24106404476879</c:v>
                </c:pt>
                <c:pt idx="33">
                  <c:v>-2705.8265815415507</c:v>
                </c:pt>
                <c:pt idx="34">
                  <c:v>-229.18451638774604</c:v>
                </c:pt>
                <c:pt idx="35">
                  <c:v>98.367874167466653</c:v>
                </c:pt>
                <c:pt idx="36">
                  <c:v>422.65861133631552</c:v>
                </c:pt>
                <c:pt idx="37">
                  <c:v>1665.3530742993917</c:v>
                </c:pt>
                <c:pt idx="38">
                  <c:v>-715.65483160489748</c:v>
                </c:pt>
                <c:pt idx="39">
                  <c:v>-184.63969559423276</c:v>
                </c:pt>
                <c:pt idx="40">
                  <c:v>-280.7460457249199</c:v>
                </c:pt>
                <c:pt idx="41">
                  <c:v>-1252.127641605508</c:v>
                </c:pt>
                <c:pt idx="42">
                  <c:v>908.65095880749504</c:v>
                </c:pt>
                <c:pt idx="43">
                  <c:v>-750.44042531347259</c:v>
                </c:pt>
                <c:pt idx="44">
                  <c:v>296.99320059178899</c:v>
                </c:pt>
                <c:pt idx="45">
                  <c:v>845.82917509550862</c:v>
                </c:pt>
                <c:pt idx="46">
                  <c:v>2387.0362209471605</c:v>
                </c:pt>
                <c:pt idx="47">
                  <c:v>-1086.2063616382238</c:v>
                </c:pt>
                <c:pt idx="48">
                  <c:v>2956.1187805037462</c:v>
                </c:pt>
                <c:pt idx="49">
                  <c:v>-2397.5642536464202</c:v>
                </c:pt>
                <c:pt idx="50">
                  <c:v>-512.9489698629568</c:v>
                </c:pt>
                <c:pt idx="51">
                  <c:v>83.832055189584935</c:v>
                </c:pt>
                <c:pt idx="52">
                  <c:v>-1944.4767391129681</c:v>
                </c:pt>
                <c:pt idx="53">
                  <c:v>976.06156727652888</c:v>
                </c:pt>
                <c:pt idx="54">
                  <c:v>-1902.8768605139085</c:v>
                </c:pt>
                <c:pt idx="55">
                  <c:v>-337.12386006644556</c:v>
                </c:pt>
                <c:pt idx="56">
                  <c:v>-834.57454157869142</c:v>
                </c:pt>
                <c:pt idx="57">
                  <c:v>1051.6231763987053</c:v>
                </c:pt>
                <c:pt idx="58">
                  <c:v>609.58666667047873</c:v>
                </c:pt>
                <c:pt idx="59">
                  <c:v>-1091.7390433171331</c:v>
                </c:pt>
                <c:pt idx="60">
                  <c:v>2280.1062404448676</c:v>
                </c:pt>
                <c:pt idx="61">
                  <c:v>-1664.4390025383473</c:v>
                </c:pt>
                <c:pt idx="62">
                  <c:v>492.74920789030875</c:v>
                </c:pt>
                <c:pt idx="63">
                  <c:v>273.69376714416103</c:v>
                </c:pt>
                <c:pt idx="64">
                  <c:v>644.81150284092109</c:v>
                </c:pt>
                <c:pt idx="65">
                  <c:v>1254.9512257997794</c:v>
                </c:pt>
                <c:pt idx="66">
                  <c:v>1416.9023434182345</c:v>
                </c:pt>
                <c:pt idx="67">
                  <c:v>184.2773187357725</c:v>
                </c:pt>
                <c:pt idx="68">
                  <c:v>-351.00739708596484</c:v>
                </c:pt>
                <c:pt idx="69">
                  <c:v>20.225631138102472</c:v>
                </c:pt>
                <c:pt idx="70">
                  <c:v>-1846.2815838731312</c:v>
                </c:pt>
                <c:pt idx="71">
                  <c:v>-877.15001601790027</c:v>
                </c:pt>
                <c:pt idx="72">
                  <c:v>-2599.7840013837995</c:v>
                </c:pt>
                <c:pt idx="73">
                  <c:v>-656.4239146708951</c:v>
                </c:pt>
                <c:pt idx="74">
                  <c:v>1076.5428756716337</c:v>
                </c:pt>
                <c:pt idx="75">
                  <c:v>-516.83685847230481</c:v>
                </c:pt>
                <c:pt idx="76">
                  <c:v>1728.547780271485</c:v>
                </c:pt>
                <c:pt idx="77">
                  <c:v>-49.635823525388332</c:v>
                </c:pt>
                <c:pt idx="78">
                  <c:v>-299.65075671659724</c:v>
                </c:pt>
                <c:pt idx="79">
                  <c:v>2012.1699698412704</c:v>
                </c:pt>
                <c:pt idx="80">
                  <c:v>-630.83918740881199</c:v>
                </c:pt>
                <c:pt idx="81">
                  <c:v>-62.732317783547842</c:v>
                </c:pt>
                <c:pt idx="82">
                  <c:v>-162.61770826189968</c:v>
                </c:pt>
                <c:pt idx="83">
                  <c:v>-249.16452103294796</c:v>
                </c:pt>
                <c:pt idx="84">
                  <c:v>-1139.0081877726825</c:v>
                </c:pt>
                <c:pt idx="85">
                  <c:v>543.87295916063158</c:v>
                </c:pt>
                <c:pt idx="86">
                  <c:v>1918.5887556247053</c:v>
                </c:pt>
                <c:pt idx="87">
                  <c:v>-1298.1736208873826</c:v>
                </c:pt>
                <c:pt idx="88">
                  <c:v>154.96301461579242</c:v>
                </c:pt>
                <c:pt idx="89">
                  <c:v>-501.86263698020593</c:v>
                </c:pt>
                <c:pt idx="90">
                  <c:v>-2281.1379296429404</c:v>
                </c:pt>
                <c:pt idx="91">
                  <c:v>406.04984049294944</c:v>
                </c:pt>
                <c:pt idx="92">
                  <c:v>483.11336638827561</c:v>
                </c:pt>
                <c:pt idx="93">
                  <c:v>-341.70300120746924</c:v>
                </c:pt>
                <c:pt idx="94">
                  <c:v>539.35673783619131</c:v>
                </c:pt>
                <c:pt idx="95">
                  <c:v>1237.7256658851202</c:v>
                </c:pt>
                <c:pt idx="96">
                  <c:v>-330.41378726092989</c:v>
                </c:pt>
                <c:pt idx="97">
                  <c:v>1293.5897866544055</c:v>
                </c:pt>
                <c:pt idx="98">
                  <c:v>-417.6392691705787</c:v>
                </c:pt>
                <c:pt idx="99">
                  <c:v>-544.35041653503686</c:v>
                </c:pt>
                <c:pt idx="100">
                  <c:v>328.41208104990073</c:v>
                </c:pt>
                <c:pt idx="101">
                  <c:v>973.06791113932559</c:v>
                </c:pt>
                <c:pt idx="102">
                  <c:v>938.83796240646006</c:v>
                </c:pt>
                <c:pt idx="103">
                  <c:v>-1811.6549659920402</c:v>
                </c:pt>
                <c:pt idx="104">
                  <c:v>-1510.3113987264096</c:v>
                </c:pt>
                <c:pt idx="105">
                  <c:v>735.83892505324002</c:v>
                </c:pt>
                <c:pt idx="106">
                  <c:v>1165.1330885544139</c:v>
                </c:pt>
                <c:pt idx="107">
                  <c:v>1746.8262105800113</c:v>
                </c:pt>
                <c:pt idx="108">
                  <c:v>1034.0237362879325</c:v>
                </c:pt>
                <c:pt idx="109">
                  <c:v>-606.23956306551008</c:v>
                </c:pt>
                <c:pt idx="110">
                  <c:v>-8.5406863085881923</c:v>
                </c:pt>
                <c:pt idx="111">
                  <c:v>-3013.8763377200976</c:v>
                </c:pt>
                <c:pt idx="112">
                  <c:v>1342.6801480716167</c:v>
                </c:pt>
              </c:numCache>
            </c:numRef>
          </c:val>
          <c:smooth val="0"/>
          <c:extLst>
            <c:ext xmlns:c16="http://schemas.microsoft.com/office/drawing/2014/chart" uri="{C3380CC4-5D6E-409C-BE32-E72D297353CC}">
              <c16:uniqueId val="{00000000-B717-413A-962E-B211B05908C5}"/>
            </c:ext>
          </c:extLst>
        </c:ser>
        <c:dLbls>
          <c:showLegendKey val="0"/>
          <c:showVal val="0"/>
          <c:showCatName val="0"/>
          <c:showSerName val="0"/>
          <c:showPercent val="0"/>
          <c:showBubbleSize val="0"/>
        </c:dLbls>
        <c:smooth val="0"/>
        <c:axId val="562943679"/>
        <c:axId val="562945119"/>
      </c:lineChart>
      <c:catAx>
        <c:axId val="562943679"/>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562945119"/>
        <c:crosses val="autoZero"/>
        <c:auto val="1"/>
        <c:lblAlgn val="ctr"/>
        <c:lblOffset val="100"/>
        <c:noMultiLvlLbl val="0"/>
      </c:catAx>
      <c:valAx>
        <c:axId val="562945119"/>
        <c:scaling>
          <c:orientation val="minMax"/>
        </c:scaling>
        <c:delete val="0"/>
        <c:axPos val="l"/>
        <c:numFmt formatCode="0.00" sourceLinked="0"/>
        <c:majorTickMark val="out"/>
        <c:minorTickMark val="none"/>
        <c:tickLblPos val="nextTo"/>
        <c:txPr>
          <a:bodyPr/>
          <a:lstStyle/>
          <a:p>
            <a:pPr>
              <a:defRPr sz="800" b="0"/>
            </a:pPr>
            <a:endParaRPr lang="en-US"/>
          </a:p>
        </c:txPr>
        <c:crossAx val="562943679"/>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Deseasonalized Errors</a:t>
            </a:r>
          </a:p>
        </c:rich>
      </c:tx>
      <c:overlay val="0"/>
    </c:title>
    <c:autoTitleDeleted val="0"/>
    <c:plotArea>
      <c:layout/>
      <c:lineChart>
        <c:grouping val="standard"/>
        <c:varyColors val="0"/>
        <c:ser>
          <c:idx val="0"/>
          <c:order val="0"/>
          <c:tx>
            <c:v>Deseasonalized Errors</c:v>
          </c:tx>
          <c:spPr>
            <a:ln>
              <a:solidFill>
                <a:srgbClr val="333399"/>
              </a:solidFill>
              <a:prstDash val="solid"/>
            </a:ln>
          </c:spPr>
          <c:marker>
            <c:symbol val="none"/>
          </c:marker>
          <c:cat>
            <c:strRef>
              <c:f>'Moving average DS(WEST)'!$A$146:$A$270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'Moving average DS(WEST)'!$F$150:$F$270</c:f>
              <c:numCache>
                <c:formatCode>0.00</c:formatCode>
                <c:ptCount val="121"/>
                <c:pt idx="0">
                  <c:v>-841.22396188412495</c:v>
                </c:pt>
                <c:pt idx="1">
                  <c:v>860.4515231438545</c:v>
                </c:pt>
                <c:pt idx="2">
                  <c:v>-23.366619074951814</c:v>
                </c:pt>
                <c:pt idx="3">
                  <c:v>1398.3117400236624</c:v>
                </c:pt>
                <c:pt idx="4">
                  <c:v>-150.65198009179403</c:v>
                </c:pt>
                <c:pt idx="5">
                  <c:v>-1682.4293887097865</c:v>
                </c:pt>
                <c:pt idx="6">
                  <c:v>-1139.0703376380425</c:v>
                </c:pt>
                <c:pt idx="7">
                  <c:v>133.86758433072828</c:v>
                </c:pt>
                <c:pt idx="8">
                  <c:v>598.82209596339453</c:v>
                </c:pt>
                <c:pt idx="9">
                  <c:v>-53.958324620858548</c:v>
                </c:pt>
                <c:pt idx="10">
                  <c:v>-482.82694769874342</c:v>
                </c:pt>
                <c:pt idx="11">
                  <c:v>243.94358809040205</c:v>
                </c:pt>
                <c:pt idx="12">
                  <c:v>1.2464069066245429</c:v>
                </c:pt>
                <c:pt idx="13">
                  <c:v>-367.24495459000082</c:v>
                </c:pt>
                <c:pt idx="14">
                  <c:v>683.23767471169049</c:v>
                </c:pt>
                <c:pt idx="15">
                  <c:v>1564.3869593374438</c:v>
                </c:pt>
                <c:pt idx="16">
                  <c:v>164.31651862156832</c:v>
                </c:pt>
                <c:pt idx="17">
                  <c:v>549.39361575939074</c:v>
                </c:pt>
                <c:pt idx="18">
                  <c:v>-1361.2696153929683</c:v>
                </c:pt>
                <c:pt idx="19">
                  <c:v>-882.05797026875553</c:v>
                </c:pt>
                <c:pt idx="20">
                  <c:v>43.654868472742237</c:v>
                </c:pt>
                <c:pt idx="21">
                  <c:v>16.131626441710978</c:v>
                </c:pt>
                <c:pt idx="22">
                  <c:v>614.1222996561155</c:v>
                </c:pt>
                <c:pt idx="23">
                  <c:v>172.36121408947838</c:v>
                </c:pt>
                <c:pt idx="24">
                  <c:v>-1660.3420973050788</c:v>
                </c:pt>
                <c:pt idx="25">
                  <c:v>295.94199797500914</c:v>
                </c:pt>
                <c:pt idx="26">
                  <c:v>663.31714450870641</c:v>
                </c:pt>
                <c:pt idx="27">
                  <c:v>147.37227648996304</c:v>
                </c:pt>
                <c:pt idx="28">
                  <c:v>67.810783438910221</c:v>
                </c:pt>
                <c:pt idx="29">
                  <c:v>321.7824041718286</c:v>
                </c:pt>
                <c:pt idx="30">
                  <c:v>-304.80664871875342</c:v>
                </c:pt>
                <c:pt idx="31">
                  <c:v>432.40028704913493</c:v>
                </c:pt>
                <c:pt idx="32">
                  <c:v>456.8075047972452</c:v>
                </c:pt>
                <c:pt idx="33">
                  <c:v>-391.35610783574157</c:v>
                </c:pt>
                <c:pt idx="34">
                  <c:v>225.39920399528091</c:v>
                </c:pt>
                <c:pt idx="35">
                  <c:v>-903.48483700250108</c:v>
                </c:pt>
                <c:pt idx="36">
                  <c:v>711.37035585225931</c:v>
                </c:pt>
                <c:pt idx="37">
                  <c:v>447.88913395673808</c:v>
                </c:pt>
                <c:pt idx="38">
                  <c:v>465.99704141672919</c:v>
                </c:pt>
                <c:pt idx="39">
                  <c:v>-285.03243980624393</c:v>
                </c:pt>
                <c:pt idx="40">
                  <c:v>-2021.3806878136302</c:v>
                </c:pt>
                <c:pt idx="41">
                  <c:v>89.91983018575047</c:v>
                </c:pt>
                <c:pt idx="42">
                  <c:v>1844.1290641670148</c:v>
                </c:pt>
                <c:pt idx="43">
                  <c:v>-347.49085452234976</c:v>
                </c:pt>
                <c:pt idx="44">
                  <c:v>-752.36402996877496</c:v>
                </c:pt>
                <c:pt idx="45">
                  <c:v>57.741519718782001</c:v>
                </c:pt>
                <c:pt idx="46">
                  <c:v>185.5268765105302</c:v>
                </c:pt>
                <c:pt idx="47">
                  <c:v>99.570355500844016</c:v>
                </c:pt>
                <c:pt idx="48">
                  <c:v>882.01324143415331</c:v>
                </c:pt>
                <c:pt idx="49">
                  <c:v>-494.75247247198968</c:v>
                </c:pt>
                <c:pt idx="50">
                  <c:v>-220.31363758999942</c:v>
                </c:pt>
                <c:pt idx="51">
                  <c:v>-749.37661178128837</c:v>
                </c:pt>
                <c:pt idx="52">
                  <c:v>18.645045292249051</c:v>
                </c:pt>
                <c:pt idx="53">
                  <c:v>792.73629795830311</c:v>
                </c:pt>
                <c:pt idx="54">
                  <c:v>-181.30330680413681</c:v>
                </c:pt>
                <c:pt idx="55">
                  <c:v>2005.1137134027031</c:v>
                </c:pt>
                <c:pt idx="56">
                  <c:v>-99.535146105281456</c:v>
                </c:pt>
                <c:pt idx="57">
                  <c:v>-1415.0724725748714</c:v>
                </c:pt>
                <c:pt idx="58">
                  <c:v>247.76260172660113</c:v>
                </c:pt>
                <c:pt idx="59">
                  <c:v>-807.91016389068136</c:v>
                </c:pt>
                <c:pt idx="60">
                  <c:v>-112.22959522335623</c:v>
                </c:pt>
                <c:pt idx="61">
                  <c:v>94.371907803057184</c:v>
                </c:pt>
                <c:pt idx="62">
                  <c:v>-874.79302654681942</c:v>
                </c:pt>
                <c:pt idx="63">
                  <c:v>968.92823965623938</c:v>
                </c:pt>
                <c:pt idx="64">
                  <c:v>600.14060961709583</c:v>
                </c:pt>
                <c:pt idx="65">
                  <c:v>-28.05563973495191</c:v>
                </c:pt>
                <c:pt idx="66">
                  <c:v>-220.90808158686559</c:v>
                </c:pt>
                <c:pt idx="67">
                  <c:v>30.253741061815163</c:v>
                </c:pt>
                <c:pt idx="68">
                  <c:v>-1265.9108923416461</c:v>
                </c:pt>
                <c:pt idx="69">
                  <c:v>-233.36619032970157</c:v>
                </c:pt>
                <c:pt idx="70">
                  <c:v>652.43720946823123</c:v>
                </c:pt>
                <c:pt idx="71">
                  <c:v>-143.54184824741969</c:v>
                </c:pt>
                <c:pt idx="72">
                  <c:v>421.45416601662691</c:v>
                </c:pt>
                <c:pt idx="73">
                  <c:v>669.72641339960683</c:v>
                </c:pt>
                <c:pt idx="74">
                  <c:v>-1106.5336249047505</c:v>
                </c:pt>
                <c:pt idx="75">
                  <c:v>-641.20452182628833</c:v>
                </c:pt>
                <c:pt idx="76">
                  <c:v>800.56122473070172</c:v>
                </c:pt>
                <c:pt idx="77">
                  <c:v>492.08807962330138</c:v>
                </c:pt>
                <c:pt idx="78">
                  <c:v>618.61953212025219</c:v>
                </c:pt>
                <c:pt idx="79">
                  <c:v>-1282.995811948841</c:v>
                </c:pt>
                <c:pt idx="80">
                  <c:v>-674.74479418851479</c:v>
                </c:pt>
                <c:pt idx="81">
                  <c:v>1866.7689874685639</c:v>
                </c:pt>
                <c:pt idx="82">
                  <c:v>-342.84556515010263</c:v>
                </c:pt>
                <c:pt idx="83">
                  <c:v>947.93447552791622</c:v>
                </c:pt>
                <c:pt idx="84">
                  <c:v>-189.72881384038737</c:v>
                </c:pt>
                <c:pt idx="85">
                  <c:v>-310.91911365949818</c:v>
                </c:pt>
                <c:pt idx="86">
                  <c:v>-41.286759529406481</c:v>
                </c:pt>
                <c:pt idx="87">
                  <c:v>-1771.6478136196147</c:v>
                </c:pt>
                <c:pt idx="88">
                  <c:v>1108.5106940964706</c:v>
                </c:pt>
                <c:pt idx="89">
                  <c:v>-134.8924025682536</c:v>
                </c:pt>
                <c:pt idx="90">
                  <c:v>-133.12279649199627</c:v>
                </c:pt>
                <c:pt idx="91">
                  <c:v>542.24731106070067</c:v>
                </c:pt>
                <c:pt idx="92">
                  <c:v>707.34198131798621</c:v>
                </c:pt>
                <c:pt idx="93">
                  <c:v>-420.59063263279131</c:v>
                </c:pt>
                <c:pt idx="94">
                  <c:v>-1217.6774646426929</c:v>
                </c:pt>
                <c:pt idx="95">
                  <c:v>129.44709074701132</c:v>
                </c:pt>
                <c:pt idx="96">
                  <c:v>95.685782075934185</c:v>
                </c:pt>
                <c:pt idx="97">
                  <c:v>-281.13174328793684</c:v>
                </c:pt>
                <c:pt idx="98">
                  <c:v>279.51977070449175</c:v>
                </c:pt>
                <c:pt idx="99">
                  <c:v>-699.50362723605485</c:v>
                </c:pt>
                <c:pt idx="100">
                  <c:v>-564.59772977478224</c:v>
                </c:pt>
                <c:pt idx="101">
                  <c:v>-561.29429702560719</c:v>
                </c:pt>
                <c:pt idx="102">
                  <c:v>850.35303718809155</c:v>
                </c:pt>
                <c:pt idx="103">
                  <c:v>-562.12749201071438</c:v>
                </c:pt>
                <c:pt idx="104">
                  <c:v>853.91688335810522</c:v>
                </c:pt>
                <c:pt idx="105">
                  <c:v>441.70825061041251</c:v>
                </c:pt>
                <c:pt idx="106">
                  <c:v>17.068397242577703</c:v>
                </c:pt>
                <c:pt idx="107">
                  <c:v>-838.12180338322014</c:v>
                </c:pt>
                <c:pt idx="108">
                  <c:v>1661.6727495148734</c:v>
                </c:pt>
                <c:pt idx="109">
                  <c:v>-503.13414671984901</c:v>
                </c:pt>
                <c:pt idx="110">
                  <c:v>-235.77360944988686</c:v>
                </c:pt>
                <c:pt idx="111">
                  <c:v>366.95606582368237</c:v>
                </c:pt>
                <c:pt idx="112">
                  <c:v>632.70912295455491</c:v>
                </c:pt>
              </c:numCache>
            </c:numRef>
          </c:val>
          <c:smooth val="0"/>
          <c:extLst>
            <c:ext xmlns:c16="http://schemas.microsoft.com/office/drawing/2014/chart" uri="{C3380CC4-5D6E-409C-BE32-E72D297353CC}">
              <c16:uniqueId val="{00000000-86F6-43A6-8A74-7A66822CE627}"/>
            </c:ext>
          </c:extLst>
        </c:ser>
        <c:dLbls>
          <c:showLegendKey val="0"/>
          <c:showVal val="0"/>
          <c:showCatName val="0"/>
          <c:showSerName val="0"/>
          <c:showPercent val="0"/>
          <c:showBubbleSize val="0"/>
        </c:dLbls>
        <c:smooth val="0"/>
        <c:axId val="233786959"/>
        <c:axId val="233787439"/>
      </c:lineChart>
      <c:catAx>
        <c:axId val="233786959"/>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233787439"/>
        <c:crosses val="autoZero"/>
        <c:auto val="1"/>
        <c:lblAlgn val="ctr"/>
        <c:lblOffset val="100"/>
        <c:noMultiLvlLbl val="0"/>
      </c:catAx>
      <c:valAx>
        <c:axId val="233787439"/>
        <c:scaling>
          <c:orientation val="minMax"/>
        </c:scaling>
        <c:delete val="0"/>
        <c:axPos val="l"/>
        <c:numFmt formatCode="0.00" sourceLinked="0"/>
        <c:majorTickMark val="out"/>
        <c:minorTickMark val="none"/>
        <c:tickLblPos val="nextTo"/>
        <c:txPr>
          <a:bodyPr/>
          <a:lstStyle/>
          <a:p>
            <a:pPr>
              <a:defRPr sz="800" b="0"/>
            </a:pPr>
            <a:endParaRPr lang="en-US"/>
          </a:p>
        </c:txPr>
        <c:crossAx val="233786959"/>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Forecast and Original Observations</a:t>
            </a:r>
          </a:p>
        </c:rich>
      </c:tx>
      <c:layout/>
      <c:overlay val="0"/>
    </c:title>
    <c:autoTitleDeleted val="0"/>
    <c:plotArea>
      <c:layout/>
      <c:lineChart>
        <c:grouping val="standard"/>
        <c:varyColors val="0"/>
        <c:ser>
          <c:idx val="0"/>
          <c:order val="0"/>
          <c:tx>
            <c:v>West</c:v>
          </c:tx>
          <c:spPr>
            <a:ln>
              <a:solidFill>
                <a:srgbClr val="333399"/>
              </a:solidFill>
              <a:prstDash val="solid"/>
            </a:ln>
          </c:spPr>
          <c:marker>
            <c:symbol val="none"/>
          </c:marker>
          <c:cat>
            <c:strRef>
              <c:f>'Simple Expo. DS(West)'!$A$146:$A$270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'Simple Expo. DS(West)'!$B$146:$B$270</c:f>
              <c:numCache>
                <c:formatCode>0.00</c:formatCode>
                <c:ptCount val="125"/>
                <c:pt idx="0">
                  <c:v>8164</c:v>
                </c:pt>
                <c:pt idx="1">
                  <c:v>6751</c:v>
                </c:pt>
                <c:pt idx="2">
                  <c:v>8435</c:v>
                </c:pt>
                <c:pt idx="3">
                  <c:v>8628</c:v>
                </c:pt>
                <c:pt idx="4">
                  <c:v>8327</c:v>
                </c:pt>
                <c:pt idx="5">
                  <c:v>10286</c:v>
                </c:pt>
                <c:pt idx="6">
                  <c:v>10368</c:v>
                </c:pt>
                <c:pt idx="7">
                  <c:v>11926</c:v>
                </c:pt>
                <c:pt idx="8">
                  <c:v>10230</c:v>
                </c:pt>
                <c:pt idx="9">
                  <c:v>8359</c:v>
                </c:pt>
                <c:pt idx="10">
                  <c:v>7776</c:v>
                </c:pt>
                <c:pt idx="11">
                  <c:v>8243</c:v>
                </c:pt>
                <c:pt idx="12">
                  <c:v>7212</c:v>
                </c:pt>
                <c:pt idx="13">
                  <c:v>7208</c:v>
                </c:pt>
                <c:pt idx="14">
                  <c:v>7257</c:v>
                </c:pt>
                <c:pt idx="15">
                  <c:v>8513</c:v>
                </c:pt>
                <c:pt idx="16">
                  <c:v>8647</c:v>
                </c:pt>
                <c:pt idx="17">
                  <c:v>8797</c:v>
                </c:pt>
                <c:pt idx="18">
                  <c:v>10465</c:v>
                </c:pt>
                <c:pt idx="19">
                  <c:v>11803</c:v>
                </c:pt>
                <c:pt idx="20">
                  <c:v>10281</c:v>
                </c:pt>
                <c:pt idx="21">
                  <c:v>10386</c:v>
                </c:pt>
                <c:pt idx="22">
                  <c:v>8028</c:v>
                </c:pt>
                <c:pt idx="23">
                  <c:v>7788</c:v>
                </c:pt>
                <c:pt idx="24">
                  <c:v>7109</c:v>
                </c:pt>
                <c:pt idx="25">
                  <c:v>7597</c:v>
                </c:pt>
                <c:pt idx="26">
                  <c:v>8260</c:v>
                </c:pt>
                <c:pt idx="27">
                  <c:v>8672</c:v>
                </c:pt>
                <c:pt idx="28">
                  <c:v>7380</c:v>
                </c:pt>
                <c:pt idx="29">
                  <c:v>9645</c:v>
                </c:pt>
                <c:pt idx="30">
                  <c:v>10674</c:v>
                </c:pt>
                <c:pt idx="31">
                  <c:v>10131</c:v>
                </c:pt>
                <c:pt idx="32">
                  <c:v>9684</c:v>
                </c:pt>
                <c:pt idx="33">
                  <c:v>9870</c:v>
                </c:pt>
                <c:pt idx="34">
                  <c:v>8504</c:v>
                </c:pt>
                <c:pt idx="35">
                  <c:v>8544</c:v>
                </c:pt>
                <c:pt idx="36">
                  <c:v>7496</c:v>
                </c:pt>
                <c:pt idx="37">
                  <c:v>7528</c:v>
                </c:pt>
                <c:pt idx="38">
                  <c:v>8295</c:v>
                </c:pt>
                <c:pt idx="39">
                  <c:v>7942</c:v>
                </c:pt>
                <c:pt idx="40">
                  <c:v>9686</c:v>
                </c:pt>
                <c:pt idx="41">
                  <c:v>10214</c:v>
                </c:pt>
                <c:pt idx="42">
                  <c:v>11050</c:v>
                </c:pt>
                <c:pt idx="43">
                  <c:v>10320</c:v>
                </c:pt>
                <c:pt idx="44">
                  <c:v>8270</c:v>
                </c:pt>
                <c:pt idx="45">
                  <c:v>9556</c:v>
                </c:pt>
                <c:pt idx="46">
                  <c:v>10349</c:v>
                </c:pt>
                <c:pt idx="47">
                  <c:v>7938</c:v>
                </c:pt>
                <c:pt idx="48">
                  <c:v>6467</c:v>
                </c:pt>
                <c:pt idx="49">
                  <c:v>7837</c:v>
                </c:pt>
                <c:pt idx="50">
                  <c:v>8325</c:v>
                </c:pt>
                <c:pt idx="51">
                  <c:v>8532</c:v>
                </c:pt>
                <c:pt idx="52">
                  <c:v>9786</c:v>
                </c:pt>
                <c:pt idx="53">
                  <c:v>9492</c:v>
                </c:pt>
                <c:pt idx="54">
                  <c:v>10284</c:v>
                </c:pt>
                <c:pt idx="55">
                  <c:v>9606</c:v>
                </c:pt>
                <c:pt idx="56">
                  <c:v>10037</c:v>
                </c:pt>
                <c:pt idx="57">
                  <c:v>10208</c:v>
                </c:pt>
                <c:pt idx="58">
                  <c:v>8585</c:v>
                </c:pt>
                <c:pt idx="59">
                  <c:v>10054</c:v>
                </c:pt>
                <c:pt idx="60">
                  <c:v>7521</c:v>
                </c:pt>
                <c:pt idx="61">
                  <c:v>7092</c:v>
                </c:pt>
                <c:pt idx="62">
                  <c:v>8594</c:v>
                </c:pt>
                <c:pt idx="63">
                  <c:v>8393</c:v>
                </c:pt>
                <c:pt idx="64">
                  <c:v>8940</c:v>
                </c:pt>
                <c:pt idx="65">
                  <c:v>9710</c:v>
                </c:pt>
                <c:pt idx="66">
                  <c:v>9392</c:v>
                </c:pt>
                <c:pt idx="67">
                  <c:v>11138</c:v>
                </c:pt>
                <c:pt idx="68">
                  <c:v>10664</c:v>
                </c:pt>
                <c:pt idx="69">
                  <c:v>9681</c:v>
                </c:pt>
                <c:pt idx="70">
                  <c:v>8698</c:v>
                </c:pt>
                <c:pt idx="71">
                  <c:v>8581</c:v>
                </c:pt>
                <c:pt idx="72">
                  <c:v>6310</c:v>
                </c:pt>
                <c:pt idx="73">
                  <c:v>7357</c:v>
                </c:pt>
                <c:pt idx="74">
                  <c:v>8353</c:v>
                </c:pt>
                <c:pt idx="75">
                  <c:v>8292</c:v>
                </c:pt>
                <c:pt idx="76">
                  <c:v>9078</c:v>
                </c:pt>
                <c:pt idx="77">
                  <c:v>10353</c:v>
                </c:pt>
                <c:pt idx="78">
                  <c:v>9228</c:v>
                </c:pt>
                <c:pt idx="79">
                  <c:v>9420</c:v>
                </c:pt>
                <c:pt idx="80">
                  <c:v>10636</c:v>
                </c:pt>
                <c:pt idx="81">
                  <c:v>9953</c:v>
                </c:pt>
                <c:pt idx="82">
                  <c:v>9177</c:v>
                </c:pt>
                <c:pt idx="83">
                  <c:v>7192</c:v>
                </c:pt>
                <c:pt idx="84">
                  <c:v>6624</c:v>
                </c:pt>
                <c:pt idx="85">
                  <c:v>9084</c:v>
                </c:pt>
                <c:pt idx="86">
                  <c:v>7771</c:v>
                </c:pt>
                <c:pt idx="87">
                  <c:v>9400</c:v>
                </c:pt>
                <c:pt idx="88">
                  <c:v>9194</c:v>
                </c:pt>
                <c:pt idx="89">
                  <c:v>10002</c:v>
                </c:pt>
                <c:pt idx="90">
                  <c:v>10538</c:v>
                </c:pt>
                <c:pt idx="91">
                  <c:v>8717</c:v>
                </c:pt>
                <c:pt idx="92">
                  <c:v>11071</c:v>
                </c:pt>
                <c:pt idx="93">
                  <c:v>9441</c:v>
                </c:pt>
                <c:pt idx="94">
                  <c:v>8548</c:v>
                </c:pt>
                <c:pt idx="95">
                  <c:v>8566</c:v>
                </c:pt>
                <c:pt idx="96">
                  <c:v>7876</c:v>
                </c:pt>
                <c:pt idx="97">
                  <c:v>7534</c:v>
                </c:pt>
                <c:pt idx="98">
                  <c:v>7125</c:v>
                </c:pt>
                <c:pt idx="99">
                  <c:v>8743</c:v>
                </c:pt>
                <c:pt idx="100">
                  <c:v>9070</c:v>
                </c:pt>
                <c:pt idx="101">
                  <c:v>9132</c:v>
                </c:pt>
                <c:pt idx="102">
                  <c:v>10237</c:v>
                </c:pt>
                <c:pt idx="103">
                  <c:v>9414</c:v>
                </c:pt>
                <c:pt idx="104">
                  <c:v>9033</c:v>
                </c:pt>
                <c:pt idx="105">
                  <c:v>8375</c:v>
                </c:pt>
                <c:pt idx="106">
                  <c:v>8906</c:v>
                </c:pt>
                <c:pt idx="107">
                  <c:v>7122</c:v>
                </c:pt>
                <c:pt idx="108">
                  <c:v>7193</c:v>
                </c:pt>
                <c:pt idx="109">
                  <c:v>7619</c:v>
                </c:pt>
                <c:pt idx="110">
                  <c:v>7793</c:v>
                </c:pt>
                <c:pt idx="111">
                  <c:v>7434</c:v>
                </c:pt>
                <c:pt idx="112">
                  <c:v>10299</c:v>
                </c:pt>
                <c:pt idx="113">
                  <c:v>9082</c:v>
                </c:pt>
                <c:pt idx="114">
                  <c:v>9805</c:v>
                </c:pt>
                <c:pt idx="115">
                  <c:v>10482</c:v>
                </c:pt>
                <c:pt idx="116">
                  <c:v>10858</c:v>
                </c:pt>
              </c:numCache>
            </c:numRef>
          </c:val>
          <c:smooth val="0"/>
          <c:extLst>
            <c:ext xmlns:c16="http://schemas.microsoft.com/office/drawing/2014/chart" uri="{C3380CC4-5D6E-409C-BE32-E72D297353CC}">
              <c16:uniqueId val="{00000000-2D25-43EF-87B6-2B971CAD978E}"/>
            </c:ext>
          </c:extLst>
        </c:ser>
        <c:ser>
          <c:idx val="1"/>
          <c:order val="1"/>
          <c:tx>
            <c:v>Forecast</c:v>
          </c:tx>
          <c:spPr>
            <a:ln>
              <a:solidFill>
                <a:srgbClr val="993366"/>
              </a:solidFill>
              <a:prstDash val="solid"/>
            </a:ln>
          </c:spPr>
          <c:marker>
            <c:symbol val="none"/>
          </c:marker>
          <c:cat>
            <c:strRef>
              <c:f>'Simple Expo. DS(West)'!$A$146:$A$270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'Simple Expo. DS(West)'!$H$146:$H$270</c:f>
              <c:numCache>
                <c:formatCode>0.00</c:formatCode>
                <c:ptCount val="125"/>
                <c:pt idx="1">
                  <c:v>8814.0052838755855</c:v>
                </c:pt>
                <c:pt idx="2">
                  <c:v>8904.3883693368425</c:v>
                </c:pt>
                <c:pt idx="3">
                  <c:v>9475.6015818472024</c:v>
                </c:pt>
                <c:pt idx="4">
                  <c:v>9801.1620172732019</c:v>
                </c:pt>
                <c:pt idx="5">
                  <c:v>10353.904172287806</c:v>
                </c:pt>
                <c:pt idx="6">
                  <c:v>10975.285395125853</c:v>
                </c:pt>
                <c:pt idx="7">
                  <c:v>10927.880116264692</c:v>
                </c:pt>
                <c:pt idx="8">
                  <c:v>10743.023889131735</c:v>
                </c:pt>
                <c:pt idx="9">
                  <c:v>10195.896977921881</c:v>
                </c:pt>
                <c:pt idx="10">
                  <c:v>9114.7920297516157</c:v>
                </c:pt>
                <c:pt idx="11">
                  <c:v>8411.8815590677514</c:v>
                </c:pt>
                <c:pt idx="12">
                  <c:v>7247.3535742388785</c:v>
                </c:pt>
                <c:pt idx="13">
                  <c:v>7819.34013770409</c:v>
                </c:pt>
                <c:pt idx="14">
                  <c:v>8067.1922956077333</c:v>
                </c:pt>
                <c:pt idx="15">
                  <c:v>8530.2660411089037</c:v>
                </c:pt>
                <c:pt idx="16">
                  <c:v>8926.3569271185534</c:v>
                </c:pt>
                <c:pt idx="17">
                  <c:v>9580.9821659903719</c:v>
                </c:pt>
                <c:pt idx="18">
                  <c:v>10055.015540625824</c:v>
                </c:pt>
                <c:pt idx="19">
                  <c:v>10139.488383362544</c:v>
                </c:pt>
                <c:pt idx="20">
                  <c:v>10062.491209257061</c:v>
                </c:pt>
                <c:pt idx="21">
                  <c:v>9638.1251897345537</c:v>
                </c:pt>
                <c:pt idx="22">
                  <c:v>8916.3667513131513</c:v>
                </c:pt>
                <c:pt idx="23">
                  <c:v>8281.0777154046809</c:v>
                </c:pt>
                <c:pt idx="24">
                  <c:v>7097.4021603635301</c:v>
                </c:pt>
                <c:pt idx="25">
                  <c:v>7664.1388551961145</c:v>
                </c:pt>
                <c:pt idx="26">
                  <c:v>7980.2641510218937</c:v>
                </c:pt>
                <c:pt idx="27">
                  <c:v>8591.2397685304277</c:v>
                </c:pt>
                <c:pt idx="28">
                  <c:v>9003.7188062368277</c:v>
                </c:pt>
                <c:pt idx="29">
                  <c:v>9473.159238939792</c:v>
                </c:pt>
                <c:pt idx="30">
                  <c:v>10074.439199914963</c:v>
                </c:pt>
                <c:pt idx="31">
                  <c:v>10184.062175681671</c:v>
                </c:pt>
                <c:pt idx="32">
                  <c:v>9885.7527986074692</c:v>
                </c:pt>
                <c:pt idx="33">
                  <c:v>9416.3567008489608</c:v>
                </c:pt>
                <c:pt idx="34">
                  <c:v>8677.7297051398709</c:v>
                </c:pt>
                <c:pt idx="35">
                  <c:v>8145.2424291272064</c:v>
                </c:pt>
                <c:pt idx="36">
                  <c:v>7081.7249148848323</c:v>
                </c:pt>
                <c:pt idx="37">
                  <c:v>7704.581700481076</c:v>
                </c:pt>
                <c:pt idx="38">
                  <c:v>8007.3686374473718</c:v>
                </c:pt>
                <c:pt idx="39">
                  <c:v>8621.4015439293144</c:v>
                </c:pt>
                <c:pt idx="40">
                  <c:v>8930.2922135127556</c:v>
                </c:pt>
                <c:pt idx="41">
                  <c:v>9732.4361909435938</c:v>
                </c:pt>
                <c:pt idx="42">
                  <c:v>10392.876152941775</c:v>
                </c:pt>
                <c:pt idx="43">
                  <c:v>10511.074694132101</c:v>
                </c:pt>
                <c:pt idx="44">
                  <c:v>10185.714021154577</c:v>
                </c:pt>
                <c:pt idx="45">
                  <c:v>9486.8287464375117</c:v>
                </c:pt>
                <c:pt idx="46">
                  <c:v>8695.8034862133518</c:v>
                </c:pt>
                <c:pt idx="47">
                  <c:v>8389.1404858706064</c:v>
                </c:pt>
                <c:pt idx="48">
                  <c:v>7195.5328028655695</c:v>
                </c:pt>
                <c:pt idx="49">
                  <c:v>7664.6381893391372</c:v>
                </c:pt>
                <c:pt idx="50">
                  <c:v>8013.7310445567409</c:v>
                </c:pt>
                <c:pt idx="51">
                  <c:v>8631.5621062232149</c:v>
                </c:pt>
                <c:pt idx="52">
                  <c:v>9021.0177111324338</c:v>
                </c:pt>
                <c:pt idx="53">
                  <c:v>9831.5380482041855</c:v>
                </c:pt>
                <c:pt idx="54">
                  <c:v>10383.061159009636</c:v>
                </c:pt>
                <c:pt idx="55">
                  <c:v>10401.143744541141</c:v>
                </c:pt>
                <c:pt idx="56">
                  <c:v>10001.498078815819</c:v>
                </c:pt>
                <c:pt idx="57">
                  <c:v>9556.8061085365734</c:v>
                </c:pt>
                <c:pt idx="58">
                  <c:v>8830.2167693067313</c:v>
                </c:pt>
                <c:pt idx="59">
                  <c:v>8279.8735645178313</c:v>
                </c:pt>
                <c:pt idx="60">
                  <c:v>7354.8101698724222</c:v>
                </c:pt>
                <c:pt idx="61">
                  <c:v>7964.0655836030946</c:v>
                </c:pt>
                <c:pt idx="62">
                  <c:v>8182.1955844336726</c:v>
                </c:pt>
                <c:pt idx="63">
                  <c:v>8826.3060456266176</c:v>
                </c:pt>
                <c:pt idx="64">
                  <c:v>9178.7603863927998</c:v>
                </c:pt>
                <c:pt idx="65">
                  <c:v>9858.7932653316584</c:v>
                </c:pt>
                <c:pt idx="66">
                  <c:v>10438.681626654763</c:v>
                </c:pt>
                <c:pt idx="67">
                  <c:v>10331.506999544668</c:v>
                </c:pt>
                <c:pt idx="68">
                  <c:v>10139.157910863209</c:v>
                </c:pt>
                <c:pt idx="69">
                  <c:v>9749.9573064227407</c:v>
                </c:pt>
                <c:pt idx="70">
                  <c:v>8920.0685343695259</c:v>
                </c:pt>
                <c:pt idx="71">
                  <c:v>8367.3100111284075</c:v>
                </c:pt>
                <c:pt idx="72">
                  <c:v>7252.4613891921144</c:v>
                </c:pt>
                <c:pt idx="73">
                  <c:v>7695.6215421125216</c:v>
                </c:pt>
                <c:pt idx="74">
                  <c:v>7975.7374585442558</c:v>
                </c:pt>
                <c:pt idx="75">
                  <c:v>8600.1801546033366</c:v>
                </c:pt>
                <c:pt idx="76">
                  <c:v>8959.354448037866</c:v>
                </c:pt>
                <c:pt idx="77">
                  <c:v>9673.1525858886052</c:v>
                </c:pt>
                <c:pt idx="78">
                  <c:v>10357.740228278111</c:v>
                </c:pt>
                <c:pt idx="79">
                  <c:v>10239.329030173141</c:v>
                </c:pt>
                <c:pt idx="80">
                  <c:v>9841.2149813515243</c:v>
                </c:pt>
                <c:pt idx="81">
                  <c:v>9499.4170432330284</c:v>
                </c:pt>
                <c:pt idx="82">
                  <c:v>8753.7838827013566</c:v>
                </c:pt>
                <c:pt idx="83">
                  <c:v>8290.9543210630654</c:v>
                </c:pt>
                <c:pt idx="84">
                  <c:v>7036.8676240386476</c:v>
                </c:pt>
                <c:pt idx="85">
                  <c:v>7538.3122558839859</c:v>
                </c:pt>
                <c:pt idx="86">
                  <c:v>8070.9607136696814</c:v>
                </c:pt>
                <c:pt idx="87">
                  <c:v>8606.4559207178918</c:v>
                </c:pt>
                <c:pt idx="88">
                  <c:v>9118.0989986479763</c:v>
                </c:pt>
                <c:pt idx="89">
                  <c:v>9838.166075315472</c:v>
                </c:pt>
                <c:pt idx="90">
                  <c:v>10460.565799287378</c:v>
                </c:pt>
                <c:pt idx="91">
                  <c:v>10502.241650735852</c:v>
                </c:pt>
                <c:pt idx="92">
                  <c:v>9972.7880160626355</c:v>
                </c:pt>
                <c:pt idx="93">
                  <c:v>9663.3233565328137</c:v>
                </c:pt>
                <c:pt idx="94">
                  <c:v>8822.2016212356302</c:v>
                </c:pt>
                <c:pt idx="95">
                  <c:v>8268.7306505127144</c:v>
                </c:pt>
                <c:pt idx="96">
                  <c:v>7176.8311600330744</c:v>
                </c:pt>
                <c:pt idx="97">
                  <c:v>7847.8481686370633</c:v>
                </c:pt>
                <c:pt idx="98">
                  <c:v>8137.8343633944769</c:v>
                </c:pt>
                <c:pt idx="99">
                  <c:v>8577.3108312857948</c:v>
                </c:pt>
                <c:pt idx="100">
                  <c:v>9000.8700108595876</c:v>
                </c:pt>
                <c:pt idx="101">
                  <c:v>9710.8551539811633</c:v>
                </c:pt>
                <c:pt idx="102">
                  <c:v>10221.520054281787</c:v>
                </c:pt>
                <c:pt idx="103">
                  <c:v>10254.277649236619</c:v>
                </c:pt>
                <c:pt idx="104">
                  <c:v>9853.0504465101076</c:v>
                </c:pt>
                <c:pt idx="105">
                  <c:v>9307.1962825874543</c:v>
                </c:pt>
                <c:pt idx="106">
                  <c:v>8410.3007206209895</c:v>
                </c:pt>
                <c:pt idx="107">
                  <c:v>7976.6959146216468</c:v>
                </c:pt>
                <c:pt idx="108">
                  <c:v>6793.2395058096454</c:v>
                </c:pt>
                <c:pt idx="109">
                  <c:v>7391.0596684157526</c:v>
                </c:pt>
                <c:pt idx="110">
                  <c:v>7736.183990599292</c:v>
                </c:pt>
                <c:pt idx="111">
                  <c:v>8298.1595105006018</c:v>
                </c:pt>
                <c:pt idx="112">
                  <c:v>8566.4308323610221</c:v>
                </c:pt>
                <c:pt idx="113">
                  <c:v>9479.2056505706314</c:v>
                </c:pt>
                <c:pt idx="114">
                  <c:v>10001.186772377951</c:v>
                </c:pt>
                <c:pt idx="115">
                  <c:v>10005.266818875771</c:v>
                </c:pt>
                <c:pt idx="116">
                  <c:v>9779.9862532812203</c:v>
                </c:pt>
                <c:pt idx="117">
                  <c:v>9476.634633402602</c:v>
                </c:pt>
                <c:pt idx="118">
                  <c:v>8678.10960851036</c:v>
                </c:pt>
                <c:pt idx="119">
                  <c:v>8167.1756877983798</c:v>
                </c:pt>
                <c:pt idx="120">
                  <c:v>7055.2158970864057</c:v>
                </c:pt>
                <c:pt idx="121">
                  <c:v>7616.9414742531371</c:v>
                </c:pt>
                <c:pt idx="122">
                  <c:v>7940.2989310148841</c:v>
                </c:pt>
                <c:pt idx="123">
                  <c:v>8508.8555558417465</c:v>
                </c:pt>
                <c:pt idx="124">
                  <c:v>8906.3311615996681</c:v>
                </c:pt>
              </c:numCache>
            </c:numRef>
          </c:val>
          <c:smooth val="0"/>
          <c:extLst>
            <c:ext xmlns:c16="http://schemas.microsoft.com/office/drawing/2014/chart" uri="{C3380CC4-5D6E-409C-BE32-E72D297353CC}">
              <c16:uniqueId val="{00000001-2D25-43EF-87B6-2B971CAD978E}"/>
            </c:ext>
          </c:extLst>
        </c:ser>
        <c:dLbls>
          <c:showLegendKey val="0"/>
          <c:showVal val="0"/>
          <c:showCatName val="0"/>
          <c:showSerName val="0"/>
          <c:showPercent val="0"/>
          <c:showBubbleSize val="0"/>
        </c:dLbls>
        <c:smooth val="0"/>
        <c:axId val="110395055"/>
        <c:axId val="110397455"/>
      </c:lineChart>
      <c:catAx>
        <c:axId val="110395055"/>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10397455"/>
        <c:crosses val="autoZero"/>
        <c:auto val="1"/>
        <c:lblAlgn val="ctr"/>
        <c:lblOffset val="100"/>
        <c:noMultiLvlLbl val="0"/>
      </c:catAx>
      <c:valAx>
        <c:axId val="110397455"/>
        <c:scaling>
          <c:orientation val="minMax"/>
        </c:scaling>
        <c:delete val="0"/>
        <c:axPos val="l"/>
        <c:numFmt formatCode="0.00" sourceLinked="0"/>
        <c:majorTickMark val="out"/>
        <c:minorTickMark val="none"/>
        <c:tickLblPos val="nextTo"/>
        <c:txPr>
          <a:bodyPr/>
          <a:lstStyle/>
          <a:p>
            <a:pPr>
              <a:defRPr sz="800" b="0"/>
            </a:pPr>
            <a:endParaRPr lang="en-US"/>
          </a:p>
        </c:txPr>
        <c:crossAx val="110395055"/>
        <c:crosses val="autoZero"/>
        <c:crossBetween val="between"/>
      </c:valAx>
    </c:plotArea>
    <c:legend>
      <c:legendPos val="r"/>
      <c:layout/>
      <c:overlay val="0"/>
      <c:spPr>
        <a:ln>
          <a:solidFill>
            <a:srgbClr val="000000"/>
          </a:solidFill>
          <a:prstDash val="solid"/>
        </a:ln>
      </c:sp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Original Observations</a:t>
            </a:r>
          </a:p>
        </c:rich>
      </c:tx>
      <c:overlay val="0"/>
    </c:title>
    <c:autoTitleDeleted val="0"/>
    <c:plotArea>
      <c:layout/>
      <c:lineChart>
        <c:grouping val="standard"/>
        <c:varyColors val="0"/>
        <c:ser>
          <c:idx val="0"/>
          <c:order val="0"/>
          <c:tx>
            <c:v>West</c:v>
          </c:tx>
          <c:spPr>
            <a:ln>
              <a:solidFill>
                <a:srgbClr val="333399"/>
              </a:solidFill>
              <a:prstDash val="solid"/>
            </a:ln>
          </c:spPr>
          <c:marker>
            <c:symbol val="none"/>
          </c:marker>
          <c:cat>
            <c:strRef>
              <c:f>'Simple Expo. DS(West)'!$A$146:$A$262</c:f>
              <c:strCache>
                <c:ptCount val="117"/>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strCache>
            </c:strRef>
          </c:cat>
          <c:val>
            <c:numRef>
              <c:f>'Simple Expo. DS(West)'!$B$146:$B$262</c:f>
              <c:numCache>
                <c:formatCode>0.00</c:formatCode>
                <c:ptCount val="117"/>
                <c:pt idx="0">
                  <c:v>8164</c:v>
                </c:pt>
                <c:pt idx="1">
                  <c:v>6751</c:v>
                </c:pt>
                <c:pt idx="2">
                  <c:v>8435</c:v>
                </c:pt>
                <c:pt idx="3">
                  <c:v>8628</c:v>
                </c:pt>
                <c:pt idx="4">
                  <c:v>8327</c:v>
                </c:pt>
                <c:pt idx="5">
                  <c:v>10286</c:v>
                </c:pt>
                <c:pt idx="6">
                  <c:v>10368</c:v>
                </c:pt>
                <c:pt idx="7">
                  <c:v>11926</c:v>
                </c:pt>
                <c:pt idx="8">
                  <c:v>10230</c:v>
                </c:pt>
                <c:pt idx="9">
                  <c:v>8359</c:v>
                </c:pt>
                <c:pt idx="10">
                  <c:v>7776</c:v>
                </c:pt>
                <c:pt idx="11">
                  <c:v>8243</c:v>
                </c:pt>
                <c:pt idx="12">
                  <c:v>7212</c:v>
                </c:pt>
                <c:pt idx="13">
                  <c:v>7208</c:v>
                </c:pt>
                <c:pt idx="14">
                  <c:v>7257</c:v>
                </c:pt>
                <c:pt idx="15">
                  <c:v>8513</c:v>
                </c:pt>
                <c:pt idx="16">
                  <c:v>8647</c:v>
                </c:pt>
                <c:pt idx="17">
                  <c:v>8797</c:v>
                </c:pt>
                <c:pt idx="18">
                  <c:v>10465</c:v>
                </c:pt>
                <c:pt idx="19">
                  <c:v>11803</c:v>
                </c:pt>
                <c:pt idx="20">
                  <c:v>10281</c:v>
                </c:pt>
                <c:pt idx="21">
                  <c:v>10386</c:v>
                </c:pt>
                <c:pt idx="22">
                  <c:v>8028</c:v>
                </c:pt>
                <c:pt idx="23">
                  <c:v>7788</c:v>
                </c:pt>
                <c:pt idx="24">
                  <c:v>7109</c:v>
                </c:pt>
                <c:pt idx="25">
                  <c:v>7597</c:v>
                </c:pt>
                <c:pt idx="26">
                  <c:v>8260</c:v>
                </c:pt>
                <c:pt idx="27">
                  <c:v>8672</c:v>
                </c:pt>
                <c:pt idx="28">
                  <c:v>7380</c:v>
                </c:pt>
                <c:pt idx="29">
                  <c:v>9645</c:v>
                </c:pt>
                <c:pt idx="30">
                  <c:v>10674</c:v>
                </c:pt>
                <c:pt idx="31">
                  <c:v>10131</c:v>
                </c:pt>
                <c:pt idx="32">
                  <c:v>9684</c:v>
                </c:pt>
                <c:pt idx="33">
                  <c:v>9870</c:v>
                </c:pt>
                <c:pt idx="34">
                  <c:v>8504</c:v>
                </c:pt>
                <c:pt idx="35">
                  <c:v>8544</c:v>
                </c:pt>
                <c:pt idx="36">
                  <c:v>7496</c:v>
                </c:pt>
                <c:pt idx="37">
                  <c:v>7528</c:v>
                </c:pt>
                <c:pt idx="38">
                  <c:v>8295</c:v>
                </c:pt>
                <c:pt idx="39">
                  <c:v>7942</c:v>
                </c:pt>
                <c:pt idx="40">
                  <c:v>9686</c:v>
                </c:pt>
                <c:pt idx="41">
                  <c:v>10214</c:v>
                </c:pt>
                <c:pt idx="42">
                  <c:v>11050</c:v>
                </c:pt>
                <c:pt idx="43">
                  <c:v>10320</c:v>
                </c:pt>
                <c:pt idx="44">
                  <c:v>8270</c:v>
                </c:pt>
                <c:pt idx="45">
                  <c:v>9556</c:v>
                </c:pt>
                <c:pt idx="46">
                  <c:v>10349</c:v>
                </c:pt>
                <c:pt idx="47">
                  <c:v>7938</c:v>
                </c:pt>
                <c:pt idx="48">
                  <c:v>6467</c:v>
                </c:pt>
                <c:pt idx="49">
                  <c:v>7837</c:v>
                </c:pt>
                <c:pt idx="50">
                  <c:v>8325</c:v>
                </c:pt>
                <c:pt idx="51">
                  <c:v>8532</c:v>
                </c:pt>
                <c:pt idx="52">
                  <c:v>9786</c:v>
                </c:pt>
                <c:pt idx="53">
                  <c:v>9492</c:v>
                </c:pt>
                <c:pt idx="54">
                  <c:v>10284</c:v>
                </c:pt>
                <c:pt idx="55">
                  <c:v>9606</c:v>
                </c:pt>
                <c:pt idx="56">
                  <c:v>10037</c:v>
                </c:pt>
                <c:pt idx="57">
                  <c:v>10208</c:v>
                </c:pt>
                <c:pt idx="58">
                  <c:v>8585</c:v>
                </c:pt>
                <c:pt idx="59">
                  <c:v>10054</c:v>
                </c:pt>
                <c:pt idx="60">
                  <c:v>7521</c:v>
                </c:pt>
                <c:pt idx="61">
                  <c:v>7092</c:v>
                </c:pt>
                <c:pt idx="62">
                  <c:v>8594</c:v>
                </c:pt>
                <c:pt idx="63">
                  <c:v>8393</c:v>
                </c:pt>
                <c:pt idx="64">
                  <c:v>8940</c:v>
                </c:pt>
                <c:pt idx="65">
                  <c:v>9710</c:v>
                </c:pt>
                <c:pt idx="66">
                  <c:v>9392</c:v>
                </c:pt>
                <c:pt idx="67">
                  <c:v>11138</c:v>
                </c:pt>
                <c:pt idx="68">
                  <c:v>10664</c:v>
                </c:pt>
                <c:pt idx="69">
                  <c:v>9681</c:v>
                </c:pt>
                <c:pt idx="70">
                  <c:v>8698</c:v>
                </c:pt>
                <c:pt idx="71">
                  <c:v>8581</c:v>
                </c:pt>
                <c:pt idx="72">
                  <c:v>6310</c:v>
                </c:pt>
                <c:pt idx="73">
                  <c:v>7357</c:v>
                </c:pt>
                <c:pt idx="74">
                  <c:v>8353</c:v>
                </c:pt>
                <c:pt idx="75">
                  <c:v>8292</c:v>
                </c:pt>
                <c:pt idx="76">
                  <c:v>9078</c:v>
                </c:pt>
                <c:pt idx="77">
                  <c:v>10353</c:v>
                </c:pt>
                <c:pt idx="78">
                  <c:v>9228</c:v>
                </c:pt>
                <c:pt idx="79">
                  <c:v>9420</c:v>
                </c:pt>
                <c:pt idx="80">
                  <c:v>10636</c:v>
                </c:pt>
                <c:pt idx="81">
                  <c:v>9953</c:v>
                </c:pt>
                <c:pt idx="82">
                  <c:v>9177</c:v>
                </c:pt>
                <c:pt idx="83">
                  <c:v>7192</c:v>
                </c:pt>
                <c:pt idx="84">
                  <c:v>6624</c:v>
                </c:pt>
                <c:pt idx="85">
                  <c:v>9084</c:v>
                </c:pt>
                <c:pt idx="86">
                  <c:v>7771</c:v>
                </c:pt>
                <c:pt idx="87">
                  <c:v>9400</c:v>
                </c:pt>
                <c:pt idx="88">
                  <c:v>9194</c:v>
                </c:pt>
                <c:pt idx="89">
                  <c:v>10002</c:v>
                </c:pt>
                <c:pt idx="90">
                  <c:v>10538</c:v>
                </c:pt>
                <c:pt idx="91">
                  <c:v>8717</c:v>
                </c:pt>
                <c:pt idx="92">
                  <c:v>11071</c:v>
                </c:pt>
                <c:pt idx="93">
                  <c:v>9441</c:v>
                </c:pt>
                <c:pt idx="94">
                  <c:v>8548</c:v>
                </c:pt>
                <c:pt idx="95">
                  <c:v>8566</c:v>
                </c:pt>
                <c:pt idx="96">
                  <c:v>7876</c:v>
                </c:pt>
                <c:pt idx="97">
                  <c:v>7534</c:v>
                </c:pt>
                <c:pt idx="98">
                  <c:v>7125</c:v>
                </c:pt>
                <c:pt idx="99">
                  <c:v>8743</c:v>
                </c:pt>
                <c:pt idx="100">
                  <c:v>9070</c:v>
                </c:pt>
                <c:pt idx="101">
                  <c:v>9132</c:v>
                </c:pt>
                <c:pt idx="102">
                  <c:v>10237</c:v>
                </c:pt>
                <c:pt idx="103">
                  <c:v>9414</c:v>
                </c:pt>
                <c:pt idx="104">
                  <c:v>9033</c:v>
                </c:pt>
                <c:pt idx="105">
                  <c:v>8375</c:v>
                </c:pt>
                <c:pt idx="106">
                  <c:v>8906</c:v>
                </c:pt>
                <c:pt idx="107">
                  <c:v>7122</c:v>
                </c:pt>
                <c:pt idx="108">
                  <c:v>7193</c:v>
                </c:pt>
                <c:pt idx="109">
                  <c:v>7619</c:v>
                </c:pt>
                <c:pt idx="110">
                  <c:v>7793</c:v>
                </c:pt>
                <c:pt idx="111">
                  <c:v>7434</c:v>
                </c:pt>
                <c:pt idx="112">
                  <c:v>10299</c:v>
                </c:pt>
                <c:pt idx="113">
                  <c:v>9082</c:v>
                </c:pt>
                <c:pt idx="114">
                  <c:v>9805</c:v>
                </c:pt>
                <c:pt idx="115">
                  <c:v>10482</c:v>
                </c:pt>
                <c:pt idx="116">
                  <c:v>10858</c:v>
                </c:pt>
              </c:numCache>
            </c:numRef>
          </c:val>
          <c:smooth val="0"/>
          <c:extLst>
            <c:ext xmlns:c16="http://schemas.microsoft.com/office/drawing/2014/chart" uri="{C3380CC4-5D6E-409C-BE32-E72D297353CC}">
              <c16:uniqueId val="{00000000-DA80-419B-982D-074D415EA401}"/>
            </c:ext>
          </c:extLst>
        </c:ser>
        <c:dLbls>
          <c:showLegendKey val="0"/>
          <c:showVal val="0"/>
          <c:showCatName val="0"/>
          <c:showSerName val="0"/>
          <c:showPercent val="0"/>
          <c:showBubbleSize val="0"/>
        </c:dLbls>
        <c:smooth val="0"/>
        <c:axId val="110398895"/>
        <c:axId val="110396975"/>
      </c:lineChart>
      <c:catAx>
        <c:axId val="110398895"/>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10396975"/>
        <c:crosses val="autoZero"/>
        <c:auto val="1"/>
        <c:lblAlgn val="ctr"/>
        <c:lblOffset val="100"/>
        <c:noMultiLvlLbl val="0"/>
      </c:catAx>
      <c:valAx>
        <c:axId val="110396975"/>
        <c:scaling>
          <c:orientation val="minMax"/>
        </c:scaling>
        <c:delete val="0"/>
        <c:axPos val="l"/>
        <c:numFmt formatCode="0.00" sourceLinked="0"/>
        <c:majorTickMark val="out"/>
        <c:minorTickMark val="none"/>
        <c:tickLblPos val="nextTo"/>
        <c:txPr>
          <a:bodyPr/>
          <a:lstStyle/>
          <a:p>
            <a:pPr>
              <a:defRPr sz="800" b="0"/>
            </a:pPr>
            <a:endParaRPr lang="en-US"/>
          </a:p>
        </c:txPr>
        <c:crossAx val="110398895"/>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Forecast Errors</a:t>
            </a:r>
          </a:p>
        </c:rich>
      </c:tx>
      <c:overlay val="0"/>
    </c:title>
    <c:autoTitleDeleted val="0"/>
    <c:plotArea>
      <c:layout/>
      <c:lineChart>
        <c:grouping val="standard"/>
        <c:varyColors val="0"/>
        <c:ser>
          <c:idx val="0"/>
          <c:order val="0"/>
          <c:tx>
            <c:v>Errors</c:v>
          </c:tx>
          <c:spPr>
            <a:ln>
              <a:solidFill>
                <a:srgbClr val="333399"/>
              </a:solidFill>
              <a:prstDash val="solid"/>
            </a:ln>
          </c:spPr>
          <c:marker>
            <c:symbol val="none"/>
          </c:marker>
          <c:cat>
            <c:strRef>
              <c:f>'Simple Expo. DS(West)'!$A$146:$A$262</c:f>
              <c:strCache>
                <c:ptCount val="117"/>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strCache>
            </c:strRef>
          </c:cat>
          <c:val>
            <c:numRef>
              <c:f>'Simple Expo. DS(West)'!$I$147:$I$270</c:f>
              <c:numCache>
                <c:formatCode>0.00</c:formatCode>
                <c:ptCount val="124"/>
                <c:pt idx="0">
                  <c:v>-2063.0052838755855</c:v>
                </c:pt>
                <c:pt idx="1">
                  <c:v>-469.38836933684252</c:v>
                </c:pt>
                <c:pt idx="2">
                  <c:v>-847.6015818472024</c:v>
                </c:pt>
                <c:pt idx="3">
                  <c:v>-1474.1620172732019</c:v>
                </c:pt>
                <c:pt idx="4">
                  <c:v>-67.904172287806432</c:v>
                </c:pt>
                <c:pt idx="5">
                  <c:v>-607.28539512585303</c:v>
                </c:pt>
                <c:pt idx="6">
                  <c:v>998.11988373530767</c:v>
                </c:pt>
                <c:pt idx="7">
                  <c:v>-513.0238891317349</c:v>
                </c:pt>
                <c:pt idx="8">
                  <c:v>-1836.8969779218805</c:v>
                </c:pt>
                <c:pt idx="9">
                  <c:v>-1338.7920297516157</c:v>
                </c:pt>
                <c:pt idx="10">
                  <c:v>-168.88155906775137</c:v>
                </c:pt>
                <c:pt idx="11">
                  <c:v>-35.353574238878537</c:v>
                </c:pt>
                <c:pt idx="12">
                  <c:v>-611.34013770409001</c:v>
                </c:pt>
                <c:pt idx="13">
                  <c:v>-810.19229560773329</c:v>
                </c:pt>
                <c:pt idx="14">
                  <c:v>-17.266041108903664</c:v>
                </c:pt>
                <c:pt idx="15">
                  <c:v>-279.35692711855336</c:v>
                </c:pt>
                <c:pt idx="16">
                  <c:v>-783.98216599037187</c:v>
                </c:pt>
                <c:pt idx="17">
                  <c:v>409.98445937417637</c:v>
                </c:pt>
                <c:pt idx="18">
                  <c:v>1663.5116166374555</c:v>
                </c:pt>
                <c:pt idx="19">
                  <c:v>218.5087907429388</c:v>
                </c:pt>
                <c:pt idx="20">
                  <c:v>747.87481026544629</c:v>
                </c:pt>
                <c:pt idx="21">
                  <c:v>-888.36675131315133</c:v>
                </c:pt>
                <c:pt idx="22">
                  <c:v>-493.07771540468093</c:v>
                </c:pt>
                <c:pt idx="23">
                  <c:v>11.597839636469871</c:v>
                </c:pt>
                <c:pt idx="24">
                  <c:v>-67.138855196114491</c:v>
                </c:pt>
                <c:pt idx="25">
                  <c:v>279.73584897810633</c:v>
                </c:pt>
                <c:pt idx="26">
                  <c:v>80.760231469572318</c:v>
                </c:pt>
                <c:pt idx="27">
                  <c:v>-1623.7188062368277</c:v>
                </c:pt>
                <c:pt idx="28">
                  <c:v>171.84076106020802</c:v>
                </c:pt>
                <c:pt idx="29">
                  <c:v>599.56080008503704</c:v>
                </c:pt>
                <c:pt idx="30">
                  <c:v>-53.062175681670851</c:v>
                </c:pt>
                <c:pt idx="31">
                  <c:v>-201.75279860746923</c:v>
                </c:pt>
                <c:pt idx="32">
                  <c:v>453.64329915103917</c:v>
                </c:pt>
                <c:pt idx="33">
                  <c:v>-173.72970513987093</c:v>
                </c:pt>
                <c:pt idx="34">
                  <c:v>398.75757087279362</c:v>
                </c:pt>
                <c:pt idx="35">
                  <c:v>414.27508511516771</c:v>
                </c:pt>
                <c:pt idx="36">
                  <c:v>-176.58170048107604</c:v>
                </c:pt>
                <c:pt idx="37">
                  <c:v>287.63136255262816</c:v>
                </c:pt>
                <c:pt idx="38">
                  <c:v>-679.40154392931436</c:v>
                </c:pt>
                <c:pt idx="39">
                  <c:v>755.70778648724445</c:v>
                </c:pt>
                <c:pt idx="40">
                  <c:v>481.56380905640617</c:v>
                </c:pt>
                <c:pt idx="41">
                  <c:v>657.12384705822478</c:v>
                </c:pt>
                <c:pt idx="42">
                  <c:v>-191.07469413210129</c:v>
                </c:pt>
                <c:pt idx="43">
                  <c:v>-1915.7140211545775</c:v>
                </c:pt>
                <c:pt idx="44">
                  <c:v>69.171253562488346</c:v>
                </c:pt>
                <c:pt idx="45">
                  <c:v>1653.1965137866482</c:v>
                </c:pt>
                <c:pt idx="46">
                  <c:v>-451.14048587060643</c:v>
                </c:pt>
                <c:pt idx="47">
                  <c:v>-728.53280286556947</c:v>
                </c:pt>
                <c:pt idx="48">
                  <c:v>172.36181066086283</c:v>
                </c:pt>
                <c:pt idx="49">
                  <c:v>311.26895544325907</c:v>
                </c:pt>
                <c:pt idx="50">
                  <c:v>-99.562106223214869</c:v>
                </c:pt>
                <c:pt idx="51">
                  <c:v>764.98228886756624</c:v>
                </c:pt>
                <c:pt idx="52">
                  <c:v>-339.53804820418554</c:v>
                </c:pt>
                <c:pt idx="53">
                  <c:v>-99.061159009635958</c:v>
                </c:pt>
                <c:pt idx="54">
                  <c:v>-795.14374454114113</c:v>
                </c:pt>
                <c:pt idx="55">
                  <c:v>35.501921184180901</c:v>
                </c:pt>
                <c:pt idx="56">
                  <c:v>651.19389146342655</c:v>
                </c:pt>
                <c:pt idx="57">
                  <c:v>-245.21676930673129</c:v>
                </c:pt>
                <c:pt idx="58">
                  <c:v>1774.1264354821687</c:v>
                </c:pt>
                <c:pt idx="59">
                  <c:v>166.18983012757781</c:v>
                </c:pt>
                <c:pt idx="60">
                  <c:v>-872.06558360309464</c:v>
                </c:pt>
                <c:pt idx="61">
                  <c:v>411.80441556632741</c:v>
                </c:pt>
                <c:pt idx="62">
                  <c:v>-433.30604562661756</c:v>
                </c:pt>
                <c:pt idx="63">
                  <c:v>-238.76038639279977</c:v>
                </c:pt>
                <c:pt idx="64">
                  <c:v>-148.7932653316584</c:v>
                </c:pt>
                <c:pt idx="65">
                  <c:v>-1046.681626654763</c:v>
                </c:pt>
                <c:pt idx="66">
                  <c:v>806.49300045533164</c:v>
                </c:pt>
                <c:pt idx="67">
                  <c:v>524.8420891367914</c:v>
                </c:pt>
                <c:pt idx="68">
                  <c:v>-68.957306422740658</c:v>
                </c:pt>
                <c:pt idx="69">
                  <c:v>-222.06853436952588</c:v>
                </c:pt>
                <c:pt idx="70">
                  <c:v>213.6899888715925</c:v>
                </c:pt>
                <c:pt idx="71">
                  <c:v>-942.46138919211444</c:v>
                </c:pt>
                <c:pt idx="72">
                  <c:v>-338.62154211252164</c:v>
                </c:pt>
                <c:pt idx="73">
                  <c:v>377.26254145574421</c:v>
                </c:pt>
                <c:pt idx="74">
                  <c:v>-308.18015460333663</c:v>
                </c:pt>
                <c:pt idx="75">
                  <c:v>118.64555196213405</c:v>
                </c:pt>
                <c:pt idx="76">
                  <c:v>679.84741411139476</c:v>
                </c:pt>
                <c:pt idx="77">
                  <c:v>-1129.7402282781113</c:v>
                </c:pt>
                <c:pt idx="78">
                  <c:v>-819.32903017314129</c:v>
                </c:pt>
                <c:pt idx="79">
                  <c:v>794.78501864847567</c:v>
                </c:pt>
                <c:pt idx="80">
                  <c:v>453.58295676697162</c:v>
                </c:pt>
                <c:pt idx="81">
                  <c:v>423.21611729864344</c:v>
                </c:pt>
                <c:pt idx="82">
                  <c:v>-1098.9543210630654</c:v>
                </c:pt>
                <c:pt idx="83">
                  <c:v>-412.86762403864759</c:v>
                </c:pt>
                <c:pt idx="84">
                  <c:v>1545.6877441160141</c:v>
                </c:pt>
                <c:pt idx="85">
                  <c:v>-299.96071366968135</c:v>
                </c:pt>
                <c:pt idx="86">
                  <c:v>793.54407928210821</c:v>
                </c:pt>
                <c:pt idx="87">
                  <c:v>75.901001352023741</c:v>
                </c:pt>
                <c:pt idx="88">
                  <c:v>163.83392468452803</c:v>
                </c:pt>
                <c:pt idx="89">
                  <c:v>77.434200712621532</c:v>
                </c:pt>
                <c:pt idx="90">
                  <c:v>-1785.2416507358521</c:v>
                </c:pt>
                <c:pt idx="91">
                  <c:v>1098.2119839373645</c:v>
                </c:pt>
                <c:pt idx="92">
                  <c:v>-222.3233565328137</c:v>
                </c:pt>
                <c:pt idx="93">
                  <c:v>-274.20162123563023</c:v>
                </c:pt>
                <c:pt idx="94">
                  <c:v>297.26934948728558</c:v>
                </c:pt>
                <c:pt idx="95">
                  <c:v>699.16883996692559</c:v>
                </c:pt>
                <c:pt idx="96">
                  <c:v>-313.84816863706328</c:v>
                </c:pt>
                <c:pt idx="97">
                  <c:v>-1012.8343633944769</c:v>
                </c:pt>
                <c:pt idx="98">
                  <c:v>165.68916871420515</c:v>
                </c:pt>
                <c:pt idx="99">
                  <c:v>69.129989140412363</c:v>
                </c:pt>
                <c:pt idx="100">
                  <c:v>-578.85515398116331</c:v>
                </c:pt>
                <c:pt idx="101">
                  <c:v>15.479945718212548</c:v>
                </c:pt>
                <c:pt idx="102">
                  <c:v>-840.27764923661925</c:v>
                </c:pt>
                <c:pt idx="103">
                  <c:v>-820.05044651010758</c:v>
                </c:pt>
                <c:pt idx="104">
                  <c:v>-932.19628258745433</c:v>
                </c:pt>
                <c:pt idx="105">
                  <c:v>495.69927937901048</c:v>
                </c:pt>
                <c:pt idx="106">
                  <c:v>-854.69591462164681</c:v>
                </c:pt>
                <c:pt idx="107">
                  <c:v>399.76049419035462</c:v>
                </c:pt>
                <c:pt idx="108">
                  <c:v>227.94033158424736</c:v>
                </c:pt>
                <c:pt idx="109">
                  <c:v>56.816009400708026</c:v>
                </c:pt>
                <c:pt idx="110">
                  <c:v>-864.15951050060175</c:v>
                </c:pt>
                <c:pt idx="111">
                  <c:v>1732.5691676389779</c:v>
                </c:pt>
                <c:pt idx="112">
                  <c:v>-397.20565057063141</c:v>
                </c:pt>
                <c:pt idx="113">
                  <c:v>-196.18677237795055</c:v>
                </c:pt>
                <c:pt idx="114">
                  <c:v>476.7331811242293</c:v>
                </c:pt>
                <c:pt idx="115">
                  <c:v>1078.0137467187797</c:v>
                </c:pt>
              </c:numCache>
            </c:numRef>
          </c:val>
          <c:smooth val="0"/>
          <c:extLst>
            <c:ext xmlns:c16="http://schemas.microsoft.com/office/drawing/2014/chart" uri="{C3380CC4-5D6E-409C-BE32-E72D297353CC}">
              <c16:uniqueId val="{00000000-37DF-4B52-81FD-D61B1CB19CAE}"/>
            </c:ext>
          </c:extLst>
        </c:ser>
        <c:dLbls>
          <c:showLegendKey val="0"/>
          <c:showVal val="0"/>
          <c:showCatName val="0"/>
          <c:showSerName val="0"/>
          <c:showPercent val="0"/>
          <c:showBubbleSize val="0"/>
        </c:dLbls>
        <c:smooth val="0"/>
        <c:axId val="110394095"/>
        <c:axId val="110393615"/>
      </c:lineChart>
      <c:catAx>
        <c:axId val="110394095"/>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10393615"/>
        <c:crosses val="autoZero"/>
        <c:auto val="1"/>
        <c:lblAlgn val="ctr"/>
        <c:lblOffset val="100"/>
        <c:noMultiLvlLbl val="0"/>
      </c:catAx>
      <c:valAx>
        <c:axId val="110393615"/>
        <c:scaling>
          <c:orientation val="minMax"/>
        </c:scaling>
        <c:delete val="0"/>
        <c:axPos val="l"/>
        <c:numFmt formatCode="0.00" sourceLinked="0"/>
        <c:majorTickMark val="out"/>
        <c:minorTickMark val="none"/>
        <c:tickLblPos val="nextTo"/>
        <c:txPr>
          <a:bodyPr/>
          <a:lstStyle/>
          <a:p>
            <a:pPr>
              <a:defRPr sz="800" b="0"/>
            </a:pPr>
            <a:endParaRPr lang="en-US"/>
          </a:p>
        </c:txPr>
        <c:crossAx val="110394095"/>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Deseasonalized Forecast and Original Observations</a:t>
            </a:r>
          </a:p>
        </c:rich>
      </c:tx>
      <c:overlay val="0"/>
    </c:title>
    <c:autoTitleDeleted val="0"/>
    <c:plotArea>
      <c:layout/>
      <c:lineChart>
        <c:grouping val="standard"/>
        <c:varyColors val="0"/>
        <c:ser>
          <c:idx val="0"/>
          <c:order val="0"/>
          <c:tx>
            <c:v>West</c:v>
          </c:tx>
          <c:spPr>
            <a:ln>
              <a:solidFill>
                <a:srgbClr val="333399"/>
              </a:solidFill>
              <a:prstDash val="solid"/>
            </a:ln>
          </c:spPr>
          <c:marker>
            <c:symbol val="none"/>
          </c:marker>
          <c:cat>
            <c:strRef>
              <c:f>'Simple Expo. DS(West)'!$A$146:$A$270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'Simple Expo. DS(West)'!$D$146:$D$270</c:f>
              <c:numCache>
                <c:formatCode>0.00</c:formatCode>
                <c:ptCount val="125"/>
                <c:pt idx="0">
                  <c:v>10247.558620448146</c:v>
                </c:pt>
                <c:pt idx="1">
                  <c:v>7849.0159715704067</c:v>
                </c:pt>
                <c:pt idx="2">
                  <c:v>9407.5374884790526</c:v>
                </c:pt>
                <c:pt idx="3">
                  <c:v>8979.8009216662467</c:v>
                </c:pt>
                <c:pt idx="4">
                  <c:v>8279.7542886568372</c:v>
                </c:pt>
                <c:pt idx="5">
                  <c:v>9489.4786907369908</c:v>
                </c:pt>
                <c:pt idx="6">
                  <c:v>9015.7762283098291</c:v>
                </c:pt>
                <c:pt idx="7">
                  <c:v>10339.514272366137</c:v>
                </c:pt>
                <c:pt idx="8">
                  <c:v>9130.4788899256546</c:v>
                </c:pt>
                <c:pt idx="9">
                  <c:v>7811.3826316248669</c:v>
                </c:pt>
                <c:pt idx="10">
                  <c:v>7935.2176679185795</c:v>
                </c:pt>
                <c:pt idx="11">
                  <c:v>8938.0159497895384</c:v>
                </c:pt>
                <c:pt idx="12">
                  <c:v>9052.5958807780535</c:v>
                </c:pt>
                <c:pt idx="13">
                  <c:v>8380.344707906901</c:v>
                </c:pt>
                <c:pt idx="14">
                  <c:v>8093.7166038995247</c:v>
                </c:pt>
                <c:pt idx="15">
                  <c:v>8860.1118736839071</c:v>
                </c:pt>
                <c:pt idx="16">
                  <c:v>8597.9386734737218</c:v>
                </c:pt>
                <c:pt idx="17">
                  <c:v>8115.7830101510126</c:v>
                </c:pt>
                <c:pt idx="18">
                  <c:v>9100.1252150137316</c:v>
                </c:pt>
                <c:pt idx="19">
                  <c:v>10232.876652418037</c:v>
                </c:pt>
                <c:pt idx="20">
                  <c:v>9175.9974063856953</c:v>
                </c:pt>
                <c:pt idx="21">
                  <c:v>9705.5891867515093</c:v>
                </c:pt>
                <c:pt idx="22">
                  <c:v>8192.3774997492746</c:v>
                </c:pt>
                <c:pt idx="23">
                  <c:v>8444.6522160573732</c:v>
                </c:pt>
                <c:pt idx="24">
                  <c:v>8923.3089457087044</c:v>
                </c:pt>
                <c:pt idx="25">
                  <c:v>8832.6135885084259</c:v>
                </c:pt>
                <c:pt idx="26">
                  <c:v>9212.3603621620605</c:v>
                </c:pt>
                <c:pt idx="27">
                  <c:v>9025.5949921986194</c:v>
                </c:pt>
                <c:pt idx="28">
                  <c:v>7338.1273748393733</c:v>
                </c:pt>
                <c:pt idx="29">
                  <c:v>8898.1160774021282</c:v>
                </c:pt>
                <c:pt idx="30">
                  <c:v>9281.8668461592515</c:v>
                </c:pt>
                <c:pt idx="31">
                  <c:v>8783.2985991398073</c:v>
                </c:pt>
                <c:pt idx="32">
                  <c:v>8643.1630078240505</c:v>
                </c:pt>
                <c:pt idx="33">
                  <c:v>9223.393536803138</c:v>
                </c:pt>
                <c:pt idx="34">
                  <c:v>8678.1238487628088</c:v>
                </c:pt>
                <c:pt idx="35">
                  <c:v>9264.3950351815856</c:v>
                </c:pt>
                <c:pt idx="36">
                  <c:v>9409.0763619401405</c:v>
                </c:pt>
                <c:pt idx="37">
                  <c:v>8752.3910878361767</c:v>
                </c:pt>
                <c:pt idx="38">
                  <c:v>9251.3957874254593</c:v>
                </c:pt>
                <c:pt idx="39">
                  <c:v>8265.8297310933394</c:v>
                </c:pt>
                <c:pt idx="40">
                  <c:v>9631.0435979260383</c:v>
                </c:pt>
                <c:pt idx="41">
                  <c:v>9423.054185026991</c:v>
                </c:pt>
                <c:pt idx="42">
                  <c:v>9608.8278667846862</c:v>
                </c:pt>
                <c:pt idx="43">
                  <c:v>8947.1564054015198</c:v>
                </c:pt>
                <c:pt idx="44">
                  <c:v>7381.1398259711796</c:v>
                </c:pt>
                <c:pt idx="45">
                  <c:v>8929.9644009818439</c:v>
                </c:pt>
                <c:pt idx="46">
                  <c:v>10560.901188951822</c:v>
                </c:pt>
                <c:pt idx="47">
                  <c:v>8607.299600804241</c:v>
                </c:pt>
                <c:pt idx="48">
                  <c:v>8117.4622242084961</c:v>
                </c:pt>
                <c:pt idx="49">
                  <c:v>9111.6483734553822</c:v>
                </c:pt>
                <c:pt idx="50">
                  <c:v>9284.8547233655154</c:v>
                </c:pt>
                <c:pt idx="51">
                  <c:v>8879.8865859592515</c:v>
                </c:pt>
                <c:pt idx="52">
                  <c:v>9730.4762181813148</c:v>
                </c:pt>
                <c:pt idx="53">
                  <c:v>8756.9640027683763</c:v>
                </c:pt>
                <c:pt idx="54">
                  <c:v>8942.7317449786151</c:v>
                </c:pt>
                <c:pt idx="55">
                  <c:v>8328.1380261906015</c:v>
                </c:pt>
                <c:pt idx="56">
                  <c:v>8958.2225433219755</c:v>
                </c:pt>
                <c:pt idx="57">
                  <c:v>9539.2503772731961</c:v>
                </c:pt>
                <c:pt idx="58">
                  <c:v>8760.7823661369603</c:v>
                </c:pt>
                <c:pt idx="59">
                  <c:v>10901.712041633387</c:v>
                </c:pt>
                <c:pt idx="60">
                  <c:v>9440.4566859860988</c:v>
                </c:pt>
                <c:pt idx="61">
                  <c:v>8245.4778951825392</c:v>
                </c:pt>
                <c:pt idx="62">
                  <c:v>9584.8698489613489</c:v>
                </c:pt>
                <c:pt idx="63">
                  <c:v>8735.2189540501622</c:v>
                </c:pt>
                <c:pt idx="64">
                  <c:v>8889.2762508216802</c:v>
                </c:pt>
                <c:pt idx="65">
                  <c:v>8958.0826450569893</c:v>
                </c:pt>
                <c:pt idx="66">
                  <c:v>8167.0688981757257</c:v>
                </c:pt>
                <c:pt idx="67">
                  <c:v>9656.3399266823781</c:v>
                </c:pt>
                <c:pt idx="68">
                  <c:v>9517.8325398012894</c:v>
                </c:pt>
                <c:pt idx="69">
                  <c:v>9046.775362694143</c:v>
                </c:pt>
                <c:pt idx="70">
                  <c:v>8876.0961002515178</c:v>
                </c:pt>
                <c:pt idx="71">
                  <c:v>9304.5147234191463</c:v>
                </c:pt>
                <c:pt idx="72">
                  <c:v>7920.3937891998776</c:v>
                </c:pt>
                <c:pt idx="73">
                  <c:v>8553.5788035614696</c:v>
                </c:pt>
                <c:pt idx="74">
                  <c:v>9316.0830635762341</c:v>
                </c:pt>
                <c:pt idx="75">
                  <c:v>8630.1007466917617</c:v>
                </c:pt>
                <c:pt idx="76">
                  <c:v>9026.4932667739613</c:v>
                </c:pt>
                <c:pt idx="77">
                  <c:v>9551.290383550464</c:v>
                </c:pt>
                <c:pt idx="78">
                  <c:v>8024.4582402433552</c:v>
                </c:pt>
                <c:pt idx="79">
                  <c:v>8166.8811374885972</c:v>
                </c:pt>
                <c:pt idx="80">
                  <c:v>9492.8419817447957</c:v>
                </c:pt>
                <c:pt idx="81">
                  <c:v>9300.9560153801049</c:v>
                </c:pt>
                <c:pt idx="82">
                  <c:v>9364.903875834465</c:v>
                </c:pt>
                <c:pt idx="83">
                  <c:v>7798.399940663151</c:v>
                </c:pt>
                <c:pt idx="84">
                  <c:v>8314.5306592171146</c:v>
                </c:pt>
                <c:pt idx="85">
                  <c:v>10561.466610242273</c:v>
                </c:pt>
                <c:pt idx="86">
                  <c:v>8666.9797063391488</c:v>
                </c:pt>
                <c:pt idx="87">
                  <c:v>9783.2787046433368</c:v>
                </c:pt>
                <c:pt idx="88">
                  <c:v>9141.8351062700804</c:v>
                </c:pt>
                <c:pt idx="89">
                  <c:v>9227.4709182142124</c:v>
                </c:pt>
                <c:pt idx="90">
                  <c:v>9163.6043493372872</c:v>
                </c:pt>
                <c:pt idx="91">
                  <c:v>7557.3994559966141</c:v>
                </c:pt>
                <c:pt idx="92">
                  <c:v>9881.0881515510191</c:v>
                </c:pt>
                <c:pt idx="93">
                  <c:v>8822.4983162065291</c:v>
                </c:pt>
                <c:pt idx="94">
                  <c:v>8723.024771780867</c:v>
                </c:pt>
                <c:pt idx="95">
                  <c:v>9288.2499849444594</c:v>
                </c:pt>
                <c:pt idx="96">
                  <c:v>9886.0572874387053</c:v>
                </c:pt>
                <c:pt idx="97">
                  <c:v>8759.3669574598498</c:v>
                </c:pt>
                <c:pt idx="98">
                  <c:v>7946.4972857632783</c:v>
                </c:pt>
                <c:pt idx="99">
                  <c:v>9099.4899696485845</c:v>
                </c:pt>
                <c:pt idx="100">
                  <c:v>9018.5386571535382</c:v>
                </c:pt>
                <c:pt idx="101">
                  <c:v>8424.8414742183759</c:v>
                </c:pt>
                <c:pt idx="102">
                  <c:v>8901.8616174004364</c:v>
                </c:pt>
                <c:pt idx="103">
                  <c:v>8161.679302369178</c:v>
                </c:pt>
                <c:pt idx="104">
                  <c:v>8062.1325330106001</c:v>
                </c:pt>
                <c:pt idx="105">
                  <c:v>7826.3344347240409</c:v>
                </c:pt>
                <c:pt idx="106">
                  <c:v>9088.3550090641547</c:v>
                </c:pt>
                <c:pt idx="107">
                  <c:v>7722.4978277812797</c:v>
                </c:pt>
                <c:pt idx="108">
                  <c:v>9028.7468345031248</c:v>
                </c:pt>
                <c:pt idx="109">
                  <c:v>8858.1917771285625</c:v>
                </c:pt>
                <c:pt idx="110">
                  <c:v>8691.516259361857</c:v>
                </c:pt>
                <c:pt idx="111">
                  <c:v>7737.1163713104861</c:v>
                </c:pt>
                <c:pt idx="112">
                  <c:v>10240.565560090881</c:v>
                </c:pt>
                <c:pt idx="113">
                  <c:v>8378.7133452530979</c:v>
                </c:pt>
                <c:pt idx="114">
                  <c:v>8526.204274554193</c:v>
                </c:pt>
                <c:pt idx="115">
                  <c:v>9087.6059536258472</c:v>
                </c:pt>
                <c:pt idx="116">
                  <c:v>9690.9814063355589</c:v>
                </c:pt>
              </c:numCache>
            </c:numRef>
          </c:val>
          <c:smooth val="0"/>
          <c:extLst>
            <c:ext xmlns:c16="http://schemas.microsoft.com/office/drawing/2014/chart" uri="{C3380CC4-5D6E-409C-BE32-E72D297353CC}">
              <c16:uniqueId val="{00000000-FDC8-4E2C-AC2B-19C3CCCA7F34}"/>
            </c:ext>
          </c:extLst>
        </c:ser>
        <c:ser>
          <c:idx val="1"/>
          <c:order val="1"/>
          <c:tx>
            <c:v>Deseasonalized Forecast</c:v>
          </c:tx>
          <c:spPr>
            <a:ln>
              <a:solidFill>
                <a:srgbClr val="993366"/>
              </a:solidFill>
              <a:prstDash val="solid"/>
            </a:ln>
          </c:spPr>
          <c:marker>
            <c:symbol val="none"/>
          </c:marker>
          <c:cat>
            <c:strRef>
              <c:f>'Simple Expo. DS(West)'!$A$146:$A$270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'Simple Expo. DS(West)'!$F$146:$F$270</c:f>
              <c:numCache>
                <c:formatCode>0.00</c:formatCode>
                <c:ptCount val="125"/>
                <c:pt idx="1">
                  <c:v>10247.558620448146</c:v>
                </c:pt>
                <c:pt idx="2">
                  <c:v>9931.0453345006772</c:v>
                </c:pt>
                <c:pt idx="3">
                  <c:v>9861.9628903585599</c:v>
                </c:pt>
                <c:pt idx="4">
                  <c:v>9745.5522092396168</c:v>
                </c:pt>
                <c:pt idx="5">
                  <c:v>9552.1245390684398</c:v>
                </c:pt>
                <c:pt idx="6">
                  <c:v>9543.8577511855437</c:v>
                </c:pt>
                <c:pt idx="7">
                  <c:v>9474.1717615985999</c:v>
                </c:pt>
                <c:pt idx="8">
                  <c:v>9588.3629358440194</c:v>
                </c:pt>
                <c:pt idx="9">
                  <c:v>9527.9402520846324</c:v>
                </c:pt>
                <c:pt idx="10">
                  <c:v>9301.4221648519124</c:v>
                </c:pt>
                <c:pt idx="11">
                  <c:v>9121.1369092184941</c:v>
                </c:pt>
                <c:pt idx="12">
                  <c:v>9096.9721454100072</c:v>
                </c:pt>
                <c:pt idx="13">
                  <c:v>9091.116223963998</c:v>
                </c:pt>
                <c:pt idx="14">
                  <c:v>8997.3223411617237</c:v>
                </c:pt>
                <c:pt idx="15">
                  <c:v>8878.0819260556345</c:v>
                </c:pt>
                <c:pt idx="16">
                  <c:v>8875.7105859723197</c:v>
                </c:pt>
                <c:pt idx="17">
                  <c:v>8839.0556193366501</c:v>
                </c:pt>
                <c:pt idx="18">
                  <c:v>8743.6120839564246</c:v>
                </c:pt>
                <c:pt idx="19">
                  <c:v>8790.6577942535368</c:v>
                </c:pt>
                <c:pt idx="20">
                  <c:v>8980.9739556387176</c:v>
                </c:pt>
                <c:pt idx="21">
                  <c:v>9006.7093801314295</c:v>
                </c:pt>
                <c:pt idx="22">
                  <c:v>9098.9340250336809</c:v>
                </c:pt>
                <c:pt idx="23">
                  <c:v>8979.304221974251</c:v>
                </c:pt>
                <c:pt idx="24">
                  <c:v>8908.7511870676863</c:v>
                </c:pt>
                <c:pt idx="25">
                  <c:v>8910.6722385968951</c:v>
                </c:pt>
                <c:pt idx="26">
                  <c:v>8900.3715671255395</c:v>
                </c:pt>
                <c:pt idx="27">
                  <c:v>8941.5418163775212</c:v>
                </c:pt>
                <c:pt idx="28">
                  <c:v>8952.6335294583405</c:v>
                </c:pt>
                <c:pt idx="29">
                  <c:v>8739.5822216485922</c:v>
                </c:pt>
                <c:pt idx="30">
                  <c:v>8760.5024548751953</c:v>
                </c:pt>
                <c:pt idx="31">
                  <c:v>8829.3020473020933</c:v>
                </c:pt>
                <c:pt idx="32">
                  <c:v>8823.2314016333294</c:v>
                </c:pt>
                <c:pt idx="33">
                  <c:v>8799.4694564177535</c:v>
                </c:pt>
                <c:pt idx="34">
                  <c:v>8855.4107604999717</c:v>
                </c:pt>
                <c:pt idx="35">
                  <c:v>8832.0158615117616</c:v>
                </c:pt>
                <c:pt idx="36">
                  <c:v>8889.0729053369032</c:v>
                </c:pt>
                <c:pt idx="37">
                  <c:v>8957.692907916613</c:v>
                </c:pt>
                <c:pt idx="38">
                  <c:v>8930.6011429588125</c:v>
                </c:pt>
                <c:pt idx="39">
                  <c:v>8972.9334179683883</c:v>
                </c:pt>
                <c:pt idx="40">
                  <c:v>8879.6235443486257</c:v>
                </c:pt>
                <c:pt idx="41">
                  <c:v>8978.7814352437035</c:v>
                </c:pt>
                <c:pt idx="42">
                  <c:v>9037.4079632967369</c:v>
                </c:pt>
                <c:pt idx="43">
                  <c:v>9112.8129144629711</c:v>
                </c:pt>
                <c:pt idx="44">
                  <c:v>9090.9527711604715</c:v>
                </c:pt>
                <c:pt idx="45">
                  <c:v>8865.3247157700062</c:v>
                </c:pt>
                <c:pt idx="46">
                  <c:v>8873.8546116960097</c:v>
                </c:pt>
                <c:pt idx="47">
                  <c:v>9096.4784020061434</c:v>
                </c:pt>
                <c:pt idx="48">
                  <c:v>9031.926041489769</c:v>
                </c:pt>
                <c:pt idx="49">
                  <c:v>8911.2527869102905</c:v>
                </c:pt>
                <c:pt idx="50">
                  <c:v>8937.6971220220439</c:v>
                </c:pt>
                <c:pt idx="51">
                  <c:v>8983.508270385104</c:v>
                </c:pt>
                <c:pt idx="52">
                  <c:v>8969.8342838715089</c:v>
                </c:pt>
                <c:pt idx="53">
                  <c:v>9070.209100292006</c:v>
                </c:pt>
                <c:pt idx="54">
                  <c:v>9028.873068526831</c:v>
                </c:pt>
                <c:pt idx="55">
                  <c:v>9017.5058020807392</c:v>
                </c:pt>
                <c:pt idx="56">
                  <c:v>8926.5363710908932</c:v>
                </c:pt>
                <c:pt idx="57">
                  <c:v>8930.717699489056</c:v>
                </c:pt>
                <c:pt idx="58">
                  <c:v>9011.0200770773772</c:v>
                </c:pt>
                <c:pt idx="59">
                  <c:v>8977.9985420236717</c:v>
                </c:pt>
                <c:pt idx="60">
                  <c:v>9231.8530570842522</c:v>
                </c:pt>
                <c:pt idx="61">
                  <c:v>9259.3805309339186</c:v>
                </c:pt>
                <c:pt idx="62">
                  <c:v>9125.5852636191521</c:v>
                </c:pt>
                <c:pt idx="63">
                  <c:v>9186.1927634940039</c:v>
                </c:pt>
                <c:pt idx="64">
                  <c:v>9126.6819591436615</c:v>
                </c:pt>
                <c:pt idx="65">
                  <c:v>9095.3537437046598</c:v>
                </c:pt>
                <c:pt idx="66">
                  <c:v>9077.2393580718162</c:v>
                </c:pt>
                <c:pt idx="67">
                  <c:v>8957.1326577932869</c:v>
                </c:pt>
                <c:pt idx="68">
                  <c:v>9049.4005148347242</c:v>
                </c:pt>
                <c:pt idx="69">
                  <c:v>9111.2151169367826</c:v>
                </c:pt>
                <c:pt idx="70">
                  <c:v>9102.7116040346773</c:v>
                </c:pt>
                <c:pt idx="71">
                  <c:v>9072.8072711754685</c:v>
                </c:pt>
                <c:pt idx="72">
                  <c:v>9103.3835409459807</c:v>
                </c:pt>
                <c:pt idx="73">
                  <c:v>8947.2754251521947</c:v>
                </c:pt>
                <c:pt idx="74">
                  <c:v>8895.3229566712198</c:v>
                </c:pt>
                <c:pt idx="75">
                  <c:v>8950.8467407050066</c:v>
                </c:pt>
                <c:pt idx="76">
                  <c:v>8908.5208856416757</c:v>
                </c:pt>
                <c:pt idx="77">
                  <c:v>8924.0885996536399</c:v>
                </c:pt>
                <c:pt idx="78">
                  <c:v>9006.8545649226689</c:v>
                </c:pt>
                <c:pt idx="79">
                  <c:v>8877.2168914076901</c:v>
                </c:pt>
                <c:pt idx="80">
                  <c:v>8783.4805120674682</c:v>
                </c:pt>
                <c:pt idx="81">
                  <c:v>8877.0883242100408</c:v>
                </c:pt>
                <c:pt idx="82">
                  <c:v>8933.0221871338363</c:v>
                </c:pt>
                <c:pt idx="83">
                  <c:v>8990.0135825109992</c:v>
                </c:pt>
                <c:pt idx="84">
                  <c:v>8832.7674524338199</c:v>
                </c:pt>
                <c:pt idx="85">
                  <c:v>8764.3805799316178</c:v>
                </c:pt>
                <c:pt idx="86">
                  <c:v>9001.5252497793936</c:v>
                </c:pt>
                <c:pt idx="87">
                  <c:v>8957.3783969798842</c:v>
                </c:pt>
                <c:pt idx="88">
                  <c:v>9066.3647518257712</c:v>
                </c:pt>
                <c:pt idx="89">
                  <c:v>9076.3238700795009</c:v>
                </c:pt>
                <c:pt idx="90">
                  <c:v>9096.269335251347</c:v>
                </c:pt>
                <c:pt idx="91">
                  <c:v>9105.1549085713104</c:v>
                </c:pt>
                <c:pt idx="92">
                  <c:v>8900.9120678752151</c:v>
                </c:pt>
                <c:pt idx="93">
                  <c:v>9030.2567569081621</c:v>
                </c:pt>
                <c:pt idx="94">
                  <c:v>9002.8408146564943</c:v>
                </c:pt>
                <c:pt idx="95">
                  <c:v>8965.9161032143948</c:v>
                </c:pt>
                <c:pt idx="96">
                  <c:v>9008.4514969987504</c:v>
                </c:pt>
                <c:pt idx="97">
                  <c:v>9124.260941800012</c:v>
                </c:pt>
                <c:pt idx="98">
                  <c:v>9076.1092885200487</c:v>
                </c:pt>
                <c:pt idx="99">
                  <c:v>8927.0449360452094</c:v>
                </c:pt>
                <c:pt idx="100">
                  <c:v>8949.8008975690391</c:v>
                </c:pt>
                <c:pt idx="101">
                  <c:v>8958.8715781195551</c:v>
                </c:pt>
                <c:pt idx="102">
                  <c:v>8888.4006098173159</c:v>
                </c:pt>
                <c:pt idx="103">
                  <c:v>8890.1769333462271</c:v>
                </c:pt>
                <c:pt idx="104">
                  <c:v>8794.0439006092947</c:v>
                </c:pt>
                <c:pt idx="105">
                  <c:v>8697.4603889134069</c:v>
                </c:pt>
                <c:pt idx="106">
                  <c:v>8582.5060276208897</c:v>
                </c:pt>
                <c:pt idx="107">
                  <c:v>8649.2581962282329</c:v>
                </c:pt>
                <c:pt idx="108">
                  <c:v>8526.962280564494</c:v>
                </c:pt>
                <c:pt idx="109">
                  <c:v>8593.1781046104461</c:v>
                </c:pt>
                <c:pt idx="110">
                  <c:v>8628.1494853982604</c:v>
                </c:pt>
                <c:pt idx="111">
                  <c:v>8636.5114071078842</c:v>
                </c:pt>
                <c:pt idx="112">
                  <c:v>8517.8266389724195</c:v>
                </c:pt>
                <c:pt idx="113">
                  <c:v>8745.1604147582821</c:v>
                </c:pt>
                <c:pt idx="114">
                  <c:v>8696.8038153252164</c:v>
                </c:pt>
                <c:pt idx="115">
                  <c:v>8674.2913862650821</c:v>
                </c:pt>
                <c:pt idx="116">
                  <c:v>8728.8326519401053</c:v>
                </c:pt>
                <c:pt idx="117">
                  <c:v>8855.7984425907143</c:v>
                </c:pt>
                <c:pt idx="118">
                  <c:v>8855.7984425907143</c:v>
                </c:pt>
                <c:pt idx="119">
                  <c:v>8855.7984425907143</c:v>
                </c:pt>
                <c:pt idx="120">
                  <c:v>8855.7984425907143</c:v>
                </c:pt>
                <c:pt idx="121">
                  <c:v>8855.7984425907143</c:v>
                </c:pt>
                <c:pt idx="122">
                  <c:v>8855.7984425907143</c:v>
                </c:pt>
                <c:pt idx="123">
                  <c:v>8855.7984425907143</c:v>
                </c:pt>
                <c:pt idx="124">
                  <c:v>8855.7984425907143</c:v>
                </c:pt>
              </c:numCache>
            </c:numRef>
          </c:val>
          <c:smooth val="0"/>
          <c:extLst>
            <c:ext xmlns:c16="http://schemas.microsoft.com/office/drawing/2014/chart" uri="{C3380CC4-5D6E-409C-BE32-E72D297353CC}">
              <c16:uniqueId val="{00000001-FDC8-4E2C-AC2B-19C3CCCA7F34}"/>
            </c:ext>
          </c:extLst>
        </c:ser>
        <c:dLbls>
          <c:showLegendKey val="0"/>
          <c:showVal val="0"/>
          <c:showCatName val="0"/>
          <c:showSerName val="0"/>
          <c:showPercent val="0"/>
          <c:showBubbleSize val="0"/>
        </c:dLbls>
        <c:smooth val="0"/>
        <c:axId val="1551515487"/>
        <c:axId val="1551508287"/>
      </c:lineChart>
      <c:catAx>
        <c:axId val="1551515487"/>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551508287"/>
        <c:crosses val="autoZero"/>
        <c:auto val="1"/>
        <c:lblAlgn val="ctr"/>
        <c:lblOffset val="100"/>
        <c:noMultiLvlLbl val="0"/>
      </c:catAx>
      <c:valAx>
        <c:axId val="1551508287"/>
        <c:scaling>
          <c:orientation val="minMax"/>
        </c:scaling>
        <c:delete val="0"/>
        <c:axPos val="l"/>
        <c:numFmt formatCode="0.00" sourceLinked="0"/>
        <c:majorTickMark val="out"/>
        <c:minorTickMark val="none"/>
        <c:tickLblPos val="nextTo"/>
        <c:txPr>
          <a:bodyPr/>
          <a:lstStyle/>
          <a:p>
            <a:pPr>
              <a:defRPr sz="800" b="0"/>
            </a:pPr>
            <a:endParaRPr lang="en-US"/>
          </a:p>
        </c:txPr>
        <c:crossAx val="1551515487"/>
        <c:crosses val="autoZero"/>
        <c:crossBetween val="between"/>
      </c:valAx>
    </c:plotArea>
    <c:legend>
      <c:legendPos val="r"/>
      <c:overlay val="0"/>
      <c:spPr>
        <a:ln>
          <a:solidFill>
            <a:srgbClr val="000000"/>
          </a:solidFill>
          <a:prstDash val="solid"/>
        </a:ln>
      </c:sp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Deseasonalized Observations</a:t>
            </a:r>
          </a:p>
        </c:rich>
      </c:tx>
      <c:overlay val="0"/>
    </c:title>
    <c:autoTitleDeleted val="0"/>
    <c:plotArea>
      <c:layout/>
      <c:lineChart>
        <c:grouping val="standard"/>
        <c:varyColors val="0"/>
        <c:ser>
          <c:idx val="0"/>
          <c:order val="0"/>
          <c:tx>
            <c:v>West</c:v>
          </c:tx>
          <c:spPr>
            <a:ln>
              <a:solidFill>
                <a:srgbClr val="333399"/>
              </a:solidFill>
              <a:prstDash val="solid"/>
            </a:ln>
          </c:spPr>
          <c:marker>
            <c:symbol val="none"/>
          </c:marker>
          <c:cat>
            <c:strRef>
              <c:f>'Simple Expo. DS(West)'!$A$146:$A$270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'Simple Expo. DS(West)'!$D$146:$D$270</c:f>
              <c:numCache>
                <c:formatCode>0.00</c:formatCode>
                <c:ptCount val="125"/>
                <c:pt idx="0">
                  <c:v>10247.558620448146</c:v>
                </c:pt>
                <c:pt idx="1">
                  <c:v>7849.0159715704067</c:v>
                </c:pt>
                <c:pt idx="2">
                  <c:v>9407.5374884790526</c:v>
                </c:pt>
                <c:pt idx="3">
                  <c:v>8979.8009216662467</c:v>
                </c:pt>
                <c:pt idx="4">
                  <c:v>8279.7542886568372</c:v>
                </c:pt>
                <c:pt idx="5">
                  <c:v>9489.4786907369908</c:v>
                </c:pt>
                <c:pt idx="6">
                  <c:v>9015.7762283098291</c:v>
                </c:pt>
                <c:pt idx="7">
                  <c:v>10339.514272366137</c:v>
                </c:pt>
                <c:pt idx="8">
                  <c:v>9130.4788899256546</c:v>
                </c:pt>
                <c:pt idx="9">
                  <c:v>7811.3826316248669</c:v>
                </c:pt>
                <c:pt idx="10">
                  <c:v>7935.2176679185795</c:v>
                </c:pt>
                <c:pt idx="11">
                  <c:v>8938.0159497895384</c:v>
                </c:pt>
                <c:pt idx="12">
                  <c:v>9052.5958807780535</c:v>
                </c:pt>
                <c:pt idx="13">
                  <c:v>8380.344707906901</c:v>
                </c:pt>
                <c:pt idx="14">
                  <c:v>8093.7166038995247</c:v>
                </c:pt>
                <c:pt idx="15">
                  <c:v>8860.1118736839071</c:v>
                </c:pt>
                <c:pt idx="16">
                  <c:v>8597.9386734737218</c:v>
                </c:pt>
                <c:pt idx="17">
                  <c:v>8115.7830101510126</c:v>
                </c:pt>
                <c:pt idx="18">
                  <c:v>9100.1252150137316</c:v>
                </c:pt>
                <c:pt idx="19">
                  <c:v>10232.876652418037</c:v>
                </c:pt>
                <c:pt idx="20">
                  <c:v>9175.9974063856953</c:v>
                </c:pt>
                <c:pt idx="21">
                  <c:v>9705.5891867515093</c:v>
                </c:pt>
                <c:pt idx="22">
                  <c:v>8192.3774997492746</c:v>
                </c:pt>
                <c:pt idx="23">
                  <c:v>8444.6522160573732</c:v>
                </c:pt>
                <c:pt idx="24">
                  <c:v>8923.3089457087044</c:v>
                </c:pt>
                <c:pt idx="25">
                  <c:v>8832.6135885084259</c:v>
                </c:pt>
                <c:pt idx="26">
                  <c:v>9212.3603621620605</c:v>
                </c:pt>
                <c:pt idx="27">
                  <c:v>9025.5949921986194</c:v>
                </c:pt>
                <c:pt idx="28">
                  <c:v>7338.1273748393733</c:v>
                </c:pt>
                <c:pt idx="29">
                  <c:v>8898.1160774021282</c:v>
                </c:pt>
                <c:pt idx="30">
                  <c:v>9281.8668461592515</c:v>
                </c:pt>
                <c:pt idx="31">
                  <c:v>8783.2985991398073</c:v>
                </c:pt>
                <c:pt idx="32">
                  <c:v>8643.1630078240505</c:v>
                </c:pt>
                <c:pt idx="33">
                  <c:v>9223.393536803138</c:v>
                </c:pt>
                <c:pt idx="34">
                  <c:v>8678.1238487628088</c:v>
                </c:pt>
                <c:pt idx="35">
                  <c:v>9264.3950351815856</c:v>
                </c:pt>
                <c:pt idx="36">
                  <c:v>9409.0763619401405</c:v>
                </c:pt>
                <c:pt idx="37">
                  <c:v>8752.3910878361767</c:v>
                </c:pt>
                <c:pt idx="38">
                  <c:v>9251.3957874254593</c:v>
                </c:pt>
                <c:pt idx="39">
                  <c:v>8265.8297310933394</c:v>
                </c:pt>
                <c:pt idx="40">
                  <c:v>9631.0435979260383</c:v>
                </c:pt>
                <c:pt idx="41">
                  <c:v>9423.054185026991</c:v>
                </c:pt>
                <c:pt idx="42">
                  <c:v>9608.8278667846862</c:v>
                </c:pt>
                <c:pt idx="43">
                  <c:v>8947.1564054015198</c:v>
                </c:pt>
                <c:pt idx="44">
                  <c:v>7381.1398259711796</c:v>
                </c:pt>
                <c:pt idx="45">
                  <c:v>8929.9644009818439</c:v>
                </c:pt>
                <c:pt idx="46">
                  <c:v>10560.901188951822</c:v>
                </c:pt>
                <c:pt idx="47">
                  <c:v>8607.299600804241</c:v>
                </c:pt>
                <c:pt idx="48">
                  <c:v>8117.4622242084961</c:v>
                </c:pt>
                <c:pt idx="49">
                  <c:v>9111.6483734553822</c:v>
                </c:pt>
                <c:pt idx="50">
                  <c:v>9284.8547233655154</c:v>
                </c:pt>
                <c:pt idx="51">
                  <c:v>8879.8865859592515</c:v>
                </c:pt>
                <c:pt idx="52">
                  <c:v>9730.4762181813148</c:v>
                </c:pt>
                <c:pt idx="53">
                  <c:v>8756.9640027683763</c:v>
                </c:pt>
                <c:pt idx="54">
                  <c:v>8942.7317449786151</c:v>
                </c:pt>
                <c:pt idx="55">
                  <c:v>8328.1380261906015</c:v>
                </c:pt>
                <c:pt idx="56">
                  <c:v>8958.2225433219755</c:v>
                </c:pt>
                <c:pt idx="57">
                  <c:v>9539.2503772731961</c:v>
                </c:pt>
                <c:pt idx="58">
                  <c:v>8760.7823661369603</c:v>
                </c:pt>
                <c:pt idx="59">
                  <c:v>10901.712041633387</c:v>
                </c:pt>
                <c:pt idx="60">
                  <c:v>9440.4566859860988</c:v>
                </c:pt>
                <c:pt idx="61">
                  <c:v>8245.4778951825392</c:v>
                </c:pt>
                <c:pt idx="62">
                  <c:v>9584.8698489613489</c:v>
                </c:pt>
                <c:pt idx="63">
                  <c:v>8735.2189540501622</c:v>
                </c:pt>
                <c:pt idx="64">
                  <c:v>8889.2762508216802</c:v>
                </c:pt>
                <c:pt idx="65">
                  <c:v>8958.0826450569893</c:v>
                </c:pt>
                <c:pt idx="66">
                  <c:v>8167.0688981757257</c:v>
                </c:pt>
                <c:pt idx="67">
                  <c:v>9656.3399266823781</c:v>
                </c:pt>
                <c:pt idx="68">
                  <c:v>9517.8325398012894</c:v>
                </c:pt>
                <c:pt idx="69">
                  <c:v>9046.775362694143</c:v>
                </c:pt>
                <c:pt idx="70">
                  <c:v>8876.0961002515178</c:v>
                </c:pt>
                <c:pt idx="71">
                  <c:v>9304.5147234191463</c:v>
                </c:pt>
                <c:pt idx="72">
                  <c:v>7920.3937891998776</c:v>
                </c:pt>
                <c:pt idx="73">
                  <c:v>8553.5788035614696</c:v>
                </c:pt>
                <c:pt idx="74">
                  <c:v>9316.0830635762341</c:v>
                </c:pt>
                <c:pt idx="75">
                  <c:v>8630.1007466917617</c:v>
                </c:pt>
                <c:pt idx="76">
                  <c:v>9026.4932667739613</c:v>
                </c:pt>
                <c:pt idx="77">
                  <c:v>9551.290383550464</c:v>
                </c:pt>
                <c:pt idx="78">
                  <c:v>8024.4582402433552</c:v>
                </c:pt>
                <c:pt idx="79">
                  <c:v>8166.8811374885972</c:v>
                </c:pt>
                <c:pt idx="80">
                  <c:v>9492.8419817447957</c:v>
                </c:pt>
                <c:pt idx="81">
                  <c:v>9300.9560153801049</c:v>
                </c:pt>
                <c:pt idx="82">
                  <c:v>9364.903875834465</c:v>
                </c:pt>
                <c:pt idx="83">
                  <c:v>7798.399940663151</c:v>
                </c:pt>
                <c:pt idx="84">
                  <c:v>8314.5306592171146</c:v>
                </c:pt>
                <c:pt idx="85">
                  <c:v>10561.466610242273</c:v>
                </c:pt>
                <c:pt idx="86">
                  <c:v>8666.9797063391488</c:v>
                </c:pt>
                <c:pt idx="87">
                  <c:v>9783.2787046433368</c:v>
                </c:pt>
                <c:pt idx="88">
                  <c:v>9141.8351062700804</c:v>
                </c:pt>
                <c:pt idx="89">
                  <c:v>9227.4709182142124</c:v>
                </c:pt>
                <c:pt idx="90">
                  <c:v>9163.6043493372872</c:v>
                </c:pt>
                <c:pt idx="91">
                  <c:v>7557.3994559966141</c:v>
                </c:pt>
                <c:pt idx="92">
                  <c:v>9881.0881515510191</c:v>
                </c:pt>
                <c:pt idx="93">
                  <c:v>8822.4983162065291</c:v>
                </c:pt>
                <c:pt idx="94">
                  <c:v>8723.024771780867</c:v>
                </c:pt>
                <c:pt idx="95">
                  <c:v>9288.2499849444594</c:v>
                </c:pt>
                <c:pt idx="96">
                  <c:v>9886.0572874387053</c:v>
                </c:pt>
                <c:pt idx="97">
                  <c:v>8759.3669574598498</c:v>
                </c:pt>
                <c:pt idx="98">
                  <c:v>7946.4972857632783</c:v>
                </c:pt>
                <c:pt idx="99">
                  <c:v>9099.4899696485845</c:v>
                </c:pt>
                <c:pt idx="100">
                  <c:v>9018.5386571535382</c:v>
                </c:pt>
                <c:pt idx="101">
                  <c:v>8424.8414742183759</c:v>
                </c:pt>
                <c:pt idx="102">
                  <c:v>8901.8616174004364</c:v>
                </c:pt>
                <c:pt idx="103">
                  <c:v>8161.679302369178</c:v>
                </c:pt>
                <c:pt idx="104">
                  <c:v>8062.1325330106001</c:v>
                </c:pt>
                <c:pt idx="105">
                  <c:v>7826.3344347240409</c:v>
                </c:pt>
                <c:pt idx="106">
                  <c:v>9088.3550090641547</c:v>
                </c:pt>
                <c:pt idx="107">
                  <c:v>7722.4978277812797</c:v>
                </c:pt>
                <c:pt idx="108">
                  <c:v>9028.7468345031248</c:v>
                </c:pt>
                <c:pt idx="109">
                  <c:v>8858.1917771285625</c:v>
                </c:pt>
                <c:pt idx="110">
                  <c:v>8691.516259361857</c:v>
                </c:pt>
                <c:pt idx="111">
                  <c:v>7737.1163713104861</c:v>
                </c:pt>
                <c:pt idx="112">
                  <c:v>10240.565560090881</c:v>
                </c:pt>
                <c:pt idx="113">
                  <c:v>8378.7133452530979</c:v>
                </c:pt>
                <c:pt idx="114">
                  <c:v>8526.204274554193</c:v>
                </c:pt>
                <c:pt idx="115">
                  <c:v>9087.6059536258472</c:v>
                </c:pt>
                <c:pt idx="116">
                  <c:v>9690.9814063355589</c:v>
                </c:pt>
              </c:numCache>
            </c:numRef>
          </c:val>
          <c:smooth val="0"/>
          <c:extLst>
            <c:ext xmlns:c16="http://schemas.microsoft.com/office/drawing/2014/chart" uri="{C3380CC4-5D6E-409C-BE32-E72D297353CC}">
              <c16:uniqueId val="{00000000-1A2B-4643-BE9B-D08AE44F2D3D}"/>
            </c:ext>
          </c:extLst>
        </c:ser>
        <c:dLbls>
          <c:showLegendKey val="0"/>
          <c:showVal val="0"/>
          <c:showCatName val="0"/>
          <c:showSerName val="0"/>
          <c:showPercent val="0"/>
          <c:showBubbleSize val="0"/>
        </c:dLbls>
        <c:smooth val="0"/>
        <c:axId val="1551517407"/>
        <c:axId val="1551510687"/>
      </c:lineChart>
      <c:catAx>
        <c:axId val="1551517407"/>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551510687"/>
        <c:crosses val="autoZero"/>
        <c:auto val="1"/>
        <c:lblAlgn val="ctr"/>
        <c:lblOffset val="100"/>
        <c:noMultiLvlLbl val="0"/>
      </c:catAx>
      <c:valAx>
        <c:axId val="1551510687"/>
        <c:scaling>
          <c:orientation val="minMax"/>
        </c:scaling>
        <c:delete val="0"/>
        <c:axPos val="l"/>
        <c:numFmt formatCode="0.00" sourceLinked="0"/>
        <c:majorTickMark val="out"/>
        <c:minorTickMark val="none"/>
        <c:tickLblPos val="nextTo"/>
        <c:txPr>
          <a:bodyPr/>
          <a:lstStyle/>
          <a:p>
            <a:pPr>
              <a:defRPr sz="800" b="0"/>
            </a:pPr>
            <a:endParaRPr lang="en-US"/>
          </a:p>
        </c:txPr>
        <c:crossAx val="1551517407"/>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Deseasonalized Errors</a:t>
            </a:r>
          </a:p>
        </c:rich>
      </c:tx>
      <c:overlay val="0"/>
    </c:title>
    <c:autoTitleDeleted val="0"/>
    <c:plotArea>
      <c:layout/>
      <c:lineChart>
        <c:grouping val="standard"/>
        <c:varyColors val="0"/>
        <c:ser>
          <c:idx val="0"/>
          <c:order val="0"/>
          <c:tx>
            <c:v>Deseasonalized Errors</c:v>
          </c:tx>
          <c:spPr>
            <a:ln>
              <a:solidFill>
                <a:srgbClr val="333399"/>
              </a:solidFill>
              <a:prstDash val="solid"/>
            </a:ln>
          </c:spPr>
          <c:marker>
            <c:symbol val="none"/>
          </c:marker>
          <c:cat>
            <c:strRef>
              <c:f>'Simple Expo. DS(West)'!$A$146:$A$270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'Simple Expo. DS(West)'!$G$147:$G$270</c:f>
              <c:numCache>
                <c:formatCode>0.00</c:formatCode>
                <c:ptCount val="124"/>
                <c:pt idx="0">
                  <c:v>-2398.5426488777393</c:v>
                </c:pt>
                <c:pt idx="1">
                  <c:v>-523.50784602162457</c:v>
                </c:pt>
                <c:pt idx="2">
                  <c:v>-882.16196869231317</c:v>
                </c:pt>
                <c:pt idx="3">
                  <c:v>-1465.7979205827796</c:v>
                </c:pt>
                <c:pt idx="4">
                  <c:v>-62.645848331449088</c:v>
                </c:pt>
                <c:pt idx="5">
                  <c:v>-528.08152287571465</c:v>
                </c:pt>
                <c:pt idx="6">
                  <c:v>865.34251076753753</c:v>
                </c:pt>
                <c:pt idx="7">
                  <c:v>-457.88404591836479</c:v>
                </c:pt>
                <c:pt idx="8">
                  <c:v>-1716.5576204597655</c:v>
                </c:pt>
                <c:pt idx="9">
                  <c:v>-1366.2044969333328</c:v>
                </c:pt>
                <c:pt idx="10">
                  <c:v>-183.12095942895576</c:v>
                </c:pt>
                <c:pt idx="11">
                  <c:v>-44.376264631953745</c:v>
                </c:pt>
                <c:pt idx="12">
                  <c:v>-710.77151605709696</c:v>
                </c:pt>
                <c:pt idx="13">
                  <c:v>-903.605737262199</c:v>
                </c:pt>
                <c:pt idx="14">
                  <c:v>-17.970052371727434</c:v>
                </c:pt>
                <c:pt idx="15">
                  <c:v>-277.77191249859789</c:v>
                </c:pt>
                <c:pt idx="16">
                  <c:v>-723.27260918563752</c:v>
                </c:pt>
                <c:pt idx="17">
                  <c:v>356.51313105730696</c:v>
                </c:pt>
                <c:pt idx="18">
                  <c:v>1442.2188581645005</c:v>
                </c:pt>
                <c:pt idx="19">
                  <c:v>195.02345074697769</c:v>
                </c:pt>
                <c:pt idx="20">
                  <c:v>698.87980662007976</c:v>
                </c:pt>
                <c:pt idx="21">
                  <c:v>-906.55652528440623</c:v>
                </c:pt>
                <c:pt idx="22">
                  <c:v>-534.6520059168779</c:v>
                </c:pt>
                <c:pt idx="23">
                  <c:v>14.557758641018154</c:v>
                </c:pt>
                <c:pt idx="24">
                  <c:v>-78.058650088469221</c:v>
                </c:pt>
                <c:pt idx="25">
                  <c:v>311.98879503652097</c:v>
                </c:pt>
                <c:pt idx="26">
                  <c:v>84.053175821098193</c:v>
                </c:pt>
                <c:pt idx="27">
                  <c:v>-1614.5061546189672</c:v>
                </c:pt>
                <c:pt idx="28">
                  <c:v>158.53385575353605</c:v>
                </c:pt>
                <c:pt idx="29">
                  <c:v>521.36439128405618</c:v>
                </c:pt>
                <c:pt idx="30">
                  <c:v>-46.003448162286077</c:v>
                </c:pt>
                <c:pt idx="31">
                  <c:v>-180.06839380927886</c:v>
                </c:pt>
                <c:pt idx="32">
                  <c:v>423.92408038538451</c:v>
                </c:pt>
                <c:pt idx="33">
                  <c:v>-177.28691173716288</c:v>
                </c:pt>
                <c:pt idx="34">
                  <c:v>432.37917366982401</c:v>
                </c:pt>
                <c:pt idx="35">
                  <c:v>520.00345660323728</c:v>
                </c:pt>
                <c:pt idx="36">
                  <c:v>-205.3018200804363</c:v>
                </c:pt>
                <c:pt idx="37">
                  <c:v>320.79464446664679</c:v>
                </c:pt>
                <c:pt idx="38">
                  <c:v>-707.10368687504888</c:v>
                </c:pt>
                <c:pt idx="39">
                  <c:v>751.42005357741255</c:v>
                </c:pt>
                <c:pt idx="40">
                  <c:v>444.27274978328751</c:v>
                </c:pt>
                <c:pt idx="41">
                  <c:v>571.41990348794934</c:v>
                </c:pt>
                <c:pt idx="42">
                  <c:v>-165.65650906145129</c:v>
                </c:pt>
                <c:pt idx="43">
                  <c:v>-1709.8129451892919</c:v>
                </c:pt>
                <c:pt idx="44">
                  <c:v>64.639685211837786</c:v>
                </c:pt>
                <c:pt idx="45">
                  <c:v>1687.0465772558127</c:v>
                </c:pt>
                <c:pt idx="46">
                  <c:v>-489.17880120190239</c:v>
                </c:pt>
                <c:pt idx="47">
                  <c:v>-914.4638172812729</c:v>
                </c:pt>
                <c:pt idx="48">
                  <c:v>200.39558654509165</c:v>
                </c:pt>
                <c:pt idx="49">
                  <c:v>347.15760134347147</c:v>
                </c:pt>
                <c:pt idx="50">
                  <c:v>-103.62168442585244</c:v>
                </c:pt>
                <c:pt idx="51">
                  <c:v>760.64193430980595</c:v>
                </c:pt>
                <c:pt idx="52">
                  <c:v>-313.24509752362974</c:v>
                </c:pt>
                <c:pt idx="53">
                  <c:v>-86.141323548215951</c:v>
                </c:pt>
                <c:pt idx="54">
                  <c:v>-689.36777589013764</c:v>
                </c:pt>
                <c:pt idx="55">
                  <c:v>31.68617223108231</c:v>
                </c:pt>
                <c:pt idx="56">
                  <c:v>608.53267778414011</c:v>
                </c:pt>
                <c:pt idx="57">
                  <c:v>-250.23771094041695</c:v>
                </c:pt>
                <c:pt idx="58">
                  <c:v>1923.7134996097157</c:v>
                </c:pt>
                <c:pt idx="59">
                  <c:v>208.60362890184661</c:v>
                </c:pt>
                <c:pt idx="60">
                  <c:v>-1013.9026357513794</c:v>
                </c:pt>
                <c:pt idx="61">
                  <c:v>459.28458534219681</c:v>
                </c:pt>
                <c:pt idx="62">
                  <c:v>-450.97380944384167</c:v>
                </c:pt>
                <c:pt idx="63">
                  <c:v>-237.40570832198136</c:v>
                </c:pt>
                <c:pt idx="64">
                  <c:v>-137.27109864767044</c:v>
                </c:pt>
                <c:pt idx="65">
                  <c:v>-910.17045989609051</c:v>
                </c:pt>
                <c:pt idx="66">
                  <c:v>699.20726888909121</c:v>
                </c:pt>
                <c:pt idx="67">
                  <c:v>468.43202496656522</c:v>
                </c:pt>
                <c:pt idx="68">
                  <c:v>-64.439754242639538</c:v>
                </c:pt>
                <c:pt idx="69">
                  <c:v>-226.61550378315951</c:v>
                </c:pt>
                <c:pt idx="70">
                  <c:v>231.70745224367784</c:v>
                </c:pt>
                <c:pt idx="71">
                  <c:v>-1182.9897517461031</c:v>
                </c:pt>
                <c:pt idx="72">
                  <c:v>-393.69662159072504</c:v>
                </c:pt>
                <c:pt idx="73">
                  <c:v>420.76010690501425</c:v>
                </c:pt>
                <c:pt idx="74">
                  <c:v>-320.74599401324485</c:v>
                </c:pt>
                <c:pt idx="75">
                  <c:v>117.97238113228559</c:v>
                </c:pt>
                <c:pt idx="76">
                  <c:v>627.20178389682405</c:v>
                </c:pt>
                <c:pt idx="77">
                  <c:v>-982.39632467931369</c:v>
                </c:pt>
                <c:pt idx="78">
                  <c:v>-710.33575391909289</c:v>
                </c:pt>
                <c:pt idx="79">
                  <c:v>709.36146967732748</c:v>
                </c:pt>
                <c:pt idx="80">
                  <c:v>423.86769117006406</c:v>
                </c:pt>
                <c:pt idx="81">
                  <c:v>431.88168870062873</c:v>
                </c:pt>
                <c:pt idx="82">
                  <c:v>-1191.6136418478482</c:v>
                </c:pt>
                <c:pt idx="83">
                  <c:v>-518.23679321670534</c:v>
                </c:pt>
                <c:pt idx="84">
                  <c:v>1797.0860303106547</c:v>
                </c:pt>
                <c:pt idx="85">
                  <c:v>-334.54554344024473</c:v>
                </c:pt>
                <c:pt idx="86">
                  <c:v>825.90030766345262</c:v>
                </c:pt>
                <c:pt idx="87">
                  <c:v>75.470354444309123</c:v>
                </c:pt>
                <c:pt idx="88">
                  <c:v>151.14704813471144</c:v>
                </c:pt>
                <c:pt idx="89">
                  <c:v>67.335014085940202</c:v>
                </c:pt>
                <c:pt idx="90">
                  <c:v>-1547.7554525746964</c:v>
                </c:pt>
                <c:pt idx="91">
                  <c:v>980.17608367580397</c:v>
                </c:pt>
                <c:pt idx="92">
                  <c:v>-207.75844070163294</c:v>
                </c:pt>
                <c:pt idx="93">
                  <c:v>-279.81604287562732</c:v>
                </c:pt>
                <c:pt idx="94">
                  <c:v>322.3338817300646</c:v>
                </c:pt>
                <c:pt idx="95">
                  <c:v>877.60579043995494</c:v>
                </c:pt>
                <c:pt idx="96">
                  <c:v>-364.89398434016221</c:v>
                </c:pt>
                <c:pt idx="97">
                  <c:v>-1129.6120027567704</c:v>
                </c:pt>
                <c:pt idx="98">
                  <c:v>172.44503360337512</c:v>
                </c:pt>
                <c:pt idx="99">
                  <c:v>68.737759584499145</c:v>
                </c:pt>
                <c:pt idx="100">
                  <c:v>-534.03010390117925</c:v>
                </c:pt>
                <c:pt idx="101">
                  <c:v>13.46100758312059</c:v>
                </c:pt>
                <c:pt idx="102">
                  <c:v>-728.49763097704908</c:v>
                </c:pt>
                <c:pt idx="103">
                  <c:v>-731.9113675986946</c:v>
                </c:pt>
                <c:pt idx="104">
                  <c:v>-871.12595418936598</c:v>
                </c:pt>
                <c:pt idx="105">
                  <c:v>505.84898144326507</c:v>
                </c:pt>
                <c:pt idx="106">
                  <c:v>-926.76036844695318</c:v>
                </c:pt>
                <c:pt idx="107">
                  <c:v>501.78455393863078</c:v>
                </c:pt>
                <c:pt idx="108">
                  <c:v>265.01367251811644</c:v>
                </c:pt>
                <c:pt idx="109">
                  <c:v>63.366773963596643</c:v>
                </c:pt>
                <c:pt idx="110">
                  <c:v>-899.39503579739812</c:v>
                </c:pt>
                <c:pt idx="111">
                  <c:v>1722.7389211184618</c:v>
                </c:pt>
                <c:pt idx="112">
                  <c:v>-366.44706950518412</c:v>
                </c:pt>
                <c:pt idx="113">
                  <c:v>-170.59954077102338</c:v>
                </c:pt>
                <c:pt idx="114">
                  <c:v>413.31456736076507</c:v>
                </c:pt>
                <c:pt idx="115">
                  <c:v>962.14875439545358</c:v>
                </c:pt>
              </c:numCache>
            </c:numRef>
          </c:val>
          <c:smooth val="0"/>
          <c:extLst>
            <c:ext xmlns:c16="http://schemas.microsoft.com/office/drawing/2014/chart" uri="{C3380CC4-5D6E-409C-BE32-E72D297353CC}">
              <c16:uniqueId val="{00000000-A2A0-4C3A-AAB7-B04386FAABAE}"/>
            </c:ext>
          </c:extLst>
        </c:ser>
        <c:dLbls>
          <c:showLegendKey val="0"/>
          <c:showVal val="0"/>
          <c:showCatName val="0"/>
          <c:showSerName val="0"/>
          <c:showPercent val="0"/>
          <c:showBubbleSize val="0"/>
        </c:dLbls>
        <c:smooth val="0"/>
        <c:axId val="1551504927"/>
        <c:axId val="1551515967"/>
      </c:lineChart>
      <c:catAx>
        <c:axId val="1551504927"/>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551515967"/>
        <c:crosses val="autoZero"/>
        <c:auto val="1"/>
        <c:lblAlgn val="ctr"/>
        <c:lblOffset val="100"/>
        <c:noMultiLvlLbl val="0"/>
      </c:catAx>
      <c:valAx>
        <c:axId val="1551515967"/>
        <c:scaling>
          <c:orientation val="minMax"/>
        </c:scaling>
        <c:delete val="0"/>
        <c:axPos val="l"/>
        <c:numFmt formatCode="0.00" sourceLinked="0"/>
        <c:majorTickMark val="out"/>
        <c:minorTickMark val="none"/>
        <c:tickLblPos val="nextTo"/>
        <c:txPr>
          <a:bodyPr/>
          <a:lstStyle/>
          <a:p>
            <a:pPr>
              <a:defRPr sz="800" b="0"/>
            </a:pPr>
            <a:endParaRPr lang="en-US"/>
          </a:p>
        </c:txPr>
        <c:crossAx val="1551504927"/>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Forecast and Original Observations</a:t>
            </a:r>
          </a:p>
        </c:rich>
      </c:tx>
      <c:layout/>
      <c:overlay val="0"/>
    </c:title>
    <c:autoTitleDeleted val="0"/>
    <c:plotArea>
      <c:layout/>
      <c:lineChart>
        <c:grouping val="standard"/>
        <c:varyColors val="0"/>
        <c:ser>
          <c:idx val="0"/>
          <c:order val="0"/>
          <c:tx>
            <c:v>West</c:v>
          </c:tx>
          <c:spPr>
            <a:ln>
              <a:solidFill>
                <a:srgbClr val="333399"/>
              </a:solidFill>
              <a:prstDash val="solid"/>
            </a:ln>
          </c:spPr>
          <c:marker>
            <c:symbol val="none"/>
          </c:marker>
          <c:cat>
            <c:strRef>
              <c:f>'Holt''s Expo. DS(West)'!$A$147:$A$271</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'Holt''s Expo. DS(West)'!$B$147:$B$271</c:f>
              <c:numCache>
                <c:formatCode>0.00</c:formatCode>
                <c:ptCount val="125"/>
                <c:pt idx="0">
                  <c:v>8164</c:v>
                </c:pt>
                <c:pt idx="1">
                  <c:v>6751</c:v>
                </c:pt>
                <c:pt idx="2">
                  <c:v>8435</c:v>
                </c:pt>
                <c:pt idx="3">
                  <c:v>8628</c:v>
                </c:pt>
                <c:pt idx="4">
                  <c:v>8327</c:v>
                </c:pt>
                <c:pt idx="5">
                  <c:v>10286</c:v>
                </c:pt>
                <c:pt idx="6">
                  <c:v>10368</c:v>
                </c:pt>
                <c:pt idx="7">
                  <c:v>11926</c:v>
                </c:pt>
                <c:pt idx="8">
                  <c:v>10230</c:v>
                </c:pt>
                <c:pt idx="9">
                  <c:v>8359</c:v>
                </c:pt>
                <c:pt idx="10">
                  <c:v>7776</c:v>
                </c:pt>
                <c:pt idx="11">
                  <c:v>8243</c:v>
                </c:pt>
                <c:pt idx="12">
                  <c:v>7212</c:v>
                </c:pt>
                <c:pt idx="13">
                  <c:v>7208</c:v>
                </c:pt>
                <c:pt idx="14">
                  <c:v>7257</c:v>
                </c:pt>
                <c:pt idx="15">
                  <c:v>8513</c:v>
                </c:pt>
                <c:pt idx="16">
                  <c:v>8647</c:v>
                </c:pt>
                <c:pt idx="17">
                  <c:v>8797</c:v>
                </c:pt>
                <c:pt idx="18">
                  <c:v>10465</c:v>
                </c:pt>
                <c:pt idx="19">
                  <c:v>11803</c:v>
                </c:pt>
                <c:pt idx="20">
                  <c:v>10281</c:v>
                </c:pt>
                <c:pt idx="21">
                  <c:v>10386</c:v>
                </c:pt>
                <c:pt idx="22">
                  <c:v>8028</c:v>
                </c:pt>
                <c:pt idx="23">
                  <c:v>7788</c:v>
                </c:pt>
                <c:pt idx="24">
                  <c:v>7109</c:v>
                </c:pt>
                <c:pt idx="25">
                  <c:v>7597</c:v>
                </c:pt>
                <c:pt idx="26">
                  <c:v>8260</c:v>
                </c:pt>
                <c:pt idx="27">
                  <c:v>8672</c:v>
                </c:pt>
                <c:pt idx="28">
                  <c:v>7380</c:v>
                </c:pt>
                <c:pt idx="29">
                  <c:v>9645</c:v>
                </c:pt>
                <c:pt idx="30">
                  <c:v>10674</c:v>
                </c:pt>
                <c:pt idx="31">
                  <c:v>10131</c:v>
                </c:pt>
                <c:pt idx="32">
                  <c:v>9684</c:v>
                </c:pt>
                <c:pt idx="33">
                  <c:v>9870</c:v>
                </c:pt>
                <c:pt idx="34">
                  <c:v>8504</c:v>
                </c:pt>
                <c:pt idx="35">
                  <c:v>8544</c:v>
                </c:pt>
                <c:pt idx="36">
                  <c:v>7496</c:v>
                </c:pt>
                <c:pt idx="37">
                  <c:v>7528</c:v>
                </c:pt>
                <c:pt idx="38">
                  <c:v>8295</c:v>
                </c:pt>
                <c:pt idx="39">
                  <c:v>7942</c:v>
                </c:pt>
                <c:pt idx="40">
                  <c:v>9686</c:v>
                </c:pt>
                <c:pt idx="41">
                  <c:v>10214</c:v>
                </c:pt>
                <c:pt idx="42">
                  <c:v>11050</c:v>
                </c:pt>
                <c:pt idx="43">
                  <c:v>10320</c:v>
                </c:pt>
                <c:pt idx="44">
                  <c:v>8270</c:v>
                </c:pt>
                <c:pt idx="45">
                  <c:v>9556</c:v>
                </c:pt>
                <c:pt idx="46">
                  <c:v>10349</c:v>
                </c:pt>
                <c:pt idx="47">
                  <c:v>7938</c:v>
                </c:pt>
                <c:pt idx="48">
                  <c:v>6467</c:v>
                </c:pt>
                <c:pt idx="49">
                  <c:v>7837</c:v>
                </c:pt>
                <c:pt idx="50">
                  <c:v>8325</c:v>
                </c:pt>
                <c:pt idx="51">
                  <c:v>8532</c:v>
                </c:pt>
                <c:pt idx="52">
                  <c:v>9786</c:v>
                </c:pt>
                <c:pt idx="53">
                  <c:v>9492</c:v>
                </c:pt>
                <c:pt idx="54">
                  <c:v>10284</c:v>
                </c:pt>
                <c:pt idx="55">
                  <c:v>9606</c:v>
                </c:pt>
                <c:pt idx="56">
                  <c:v>10037</c:v>
                </c:pt>
                <c:pt idx="57">
                  <c:v>10208</c:v>
                </c:pt>
                <c:pt idx="58">
                  <c:v>8585</c:v>
                </c:pt>
                <c:pt idx="59">
                  <c:v>10054</c:v>
                </c:pt>
                <c:pt idx="60">
                  <c:v>7521</c:v>
                </c:pt>
                <c:pt idx="61">
                  <c:v>7092</c:v>
                </c:pt>
                <c:pt idx="62">
                  <c:v>8594</c:v>
                </c:pt>
                <c:pt idx="63">
                  <c:v>8393</c:v>
                </c:pt>
                <c:pt idx="64">
                  <c:v>8940</c:v>
                </c:pt>
                <c:pt idx="65">
                  <c:v>9710</c:v>
                </c:pt>
                <c:pt idx="66">
                  <c:v>9392</c:v>
                </c:pt>
                <c:pt idx="67">
                  <c:v>11138</c:v>
                </c:pt>
                <c:pt idx="68">
                  <c:v>10664</c:v>
                </c:pt>
                <c:pt idx="69">
                  <c:v>9681</c:v>
                </c:pt>
                <c:pt idx="70">
                  <c:v>8698</c:v>
                </c:pt>
                <c:pt idx="71">
                  <c:v>8581</c:v>
                </c:pt>
                <c:pt idx="72">
                  <c:v>6310</c:v>
                </c:pt>
                <c:pt idx="73">
                  <c:v>7357</c:v>
                </c:pt>
                <c:pt idx="74">
                  <c:v>8353</c:v>
                </c:pt>
                <c:pt idx="75">
                  <c:v>8292</c:v>
                </c:pt>
                <c:pt idx="76">
                  <c:v>9078</c:v>
                </c:pt>
                <c:pt idx="77">
                  <c:v>10353</c:v>
                </c:pt>
                <c:pt idx="78">
                  <c:v>9228</c:v>
                </c:pt>
                <c:pt idx="79">
                  <c:v>9420</c:v>
                </c:pt>
                <c:pt idx="80">
                  <c:v>10636</c:v>
                </c:pt>
                <c:pt idx="81">
                  <c:v>9953</c:v>
                </c:pt>
                <c:pt idx="82">
                  <c:v>9177</c:v>
                </c:pt>
                <c:pt idx="83">
                  <c:v>7192</c:v>
                </c:pt>
                <c:pt idx="84">
                  <c:v>6624</c:v>
                </c:pt>
                <c:pt idx="85">
                  <c:v>9084</c:v>
                </c:pt>
                <c:pt idx="86">
                  <c:v>7771</c:v>
                </c:pt>
                <c:pt idx="87">
                  <c:v>9400</c:v>
                </c:pt>
                <c:pt idx="88">
                  <c:v>9194</c:v>
                </c:pt>
                <c:pt idx="89">
                  <c:v>10002</c:v>
                </c:pt>
                <c:pt idx="90">
                  <c:v>10538</c:v>
                </c:pt>
                <c:pt idx="91">
                  <c:v>8717</c:v>
                </c:pt>
                <c:pt idx="92">
                  <c:v>11071</c:v>
                </c:pt>
                <c:pt idx="93">
                  <c:v>9441</c:v>
                </c:pt>
                <c:pt idx="94">
                  <c:v>8548</c:v>
                </c:pt>
                <c:pt idx="95">
                  <c:v>8566</c:v>
                </c:pt>
                <c:pt idx="96">
                  <c:v>7876</c:v>
                </c:pt>
                <c:pt idx="97">
                  <c:v>7534</c:v>
                </c:pt>
                <c:pt idx="98">
                  <c:v>7125</c:v>
                </c:pt>
                <c:pt idx="99">
                  <c:v>8743</c:v>
                </c:pt>
                <c:pt idx="100">
                  <c:v>9070</c:v>
                </c:pt>
                <c:pt idx="101">
                  <c:v>9132</c:v>
                </c:pt>
                <c:pt idx="102">
                  <c:v>10237</c:v>
                </c:pt>
                <c:pt idx="103">
                  <c:v>9414</c:v>
                </c:pt>
                <c:pt idx="104">
                  <c:v>9033</c:v>
                </c:pt>
                <c:pt idx="105">
                  <c:v>8375</c:v>
                </c:pt>
                <c:pt idx="106">
                  <c:v>8906</c:v>
                </c:pt>
                <c:pt idx="107">
                  <c:v>7122</c:v>
                </c:pt>
                <c:pt idx="108">
                  <c:v>7193</c:v>
                </c:pt>
                <c:pt idx="109">
                  <c:v>7619</c:v>
                </c:pt>
                <c:pt idx="110">
                  <c:v>7793</c:v>
                </c:pt>
                <c:pt idx="111">
                  <c:v>7434</c:v>
                </c:pt>
                <c:pt idx="112">
                  <c:v>10299</c:v>
                </c:pt>
                <c:pt idx="113">
                  <c:v>9082</c:v>
                </c:pt>
                <c:pt idx="114">
                  <c:v>9805</c:v>
                </c:pt>
                <c:pt idx="115">
                  <c:v>10482</c:v>
                </c:pt>
                <c:pt idx="116">
                  <c:v>10858</c:v>
                </c:pt>
              </c:numCache>
            </c:numRef>
          </c:val>
          <c:smooth val="0"/>
          <c:extLst>
            <c:ext xmlns:c16="http://schemas.microsoft.com/office/drawing/2014/chart" uri="{C3380CC4-5D6E-409C-BE32-E72D297353CC}">
              <c16:uniqueId val="{00000000-BEA3-44BC-905E-CC141967B9D4}"/>
            </c:ext>
          </c:extLst>
        </c:ser>
        <c:ser>
          <c:idx val="1"/>
          <c:order val="1"/>
          <c:tx>
            <c:v>Forecast</c:v>
          </c:tx>
          <c:spPr>
            <a:ln>
              <a:solidFill>
                <a:srgbClr val="993366"/>
              </a:solidFill>
              <a:prstDash val="solid"/>
            </a:ln>
          </c:spPr>
          <c:marker>
            <c:symbol val="none"/>
          </c:marker>
          <c:cat>
            <c:strRef>
              <c:f>'Holt''s Expo. DS(West)'!$A$147:$A$271</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'Holt''s Expo. DS(West)'!$I$147:$I$271</c:f>
              <c:numCache>
                <c:formatCode>0.00</c:formatCode>
                <c:ptCount val="125"/>
                <c:pt idx="1">
                  <c:v>8809.9136906010099</c:v>
                </c:pt>
                <c:pt idx="2">
                  <c:v>8879.9705283730418</c:v>
                </c:pt>
                <c:pt idx="3">
                  <c:v>9444.6629400804995</c:v>
                </c:pt>
                <c:pt idx="4">
                  <c:v>9761.7157541648867</c:v>
                </c:pt>
                <c:pt idx="5">
                  <c:v>10299.991891632772</c:v>
                </c:pt>
                <c:pt idx="6">
                  <c:v>10920.051574912128</c:v>
                </c:pt>
                <c:pt idx="7">
                  <c:v>10870.060135388194</c:v>
                </c:pt>
                <c:pt idx="8">
                  <c:v>10696.801994487778</c:v>
                </c:pt>
                <c:pt idx="9">
                  <c:v>10149.068834137443</c:v>
                </c:pt>
                <c:pt idx="10">
                  <c:v>9060.3432670864331</c:v>
                </c:pt>
                <c:pt idx="11">
                  <c:v>8353.749352999359</c:v>
                </c:pt>
                <c:pt idx="12">
                  <c:v>7199.2396919480025</c:v>
                </c:pt>
                <c:pt idx="13">
                  <c:v>7770.2641426203591</c:v>
                </c:pt>
                <c:pt idx="14">
                  <c:v>8014.0263189121206</c:v>
                </c:pt>
                <c:pt idx="15">
                  <c:v>8470.0230906961024</c:v>
                </c:pt>
                <c:pt idx="16">
                  <c:v>8867.1814544658191</c:v>
                </c:pt>
                <c:pt idx="17">
                  <c:v>9518.64467818708</c:v>
                </c:pt>
                <c:pt idx="18">
                  <c:v>9986.2685205068883</c:v>
                </c:pt>
                <c:pt idx="19">
                  <c:v>10077.827173093707</c:v>
                </c:pt>
                <c:pt idx="20">
                  <c:v>10018.012824524643</c:v>
                </c:pt>
                <c:pt idx="21">
                  <c:v>9598.0846638860985</c:v>
                </c:pt>
                <c:pt idx="22">
                  <c:v>8885.4070677610962</c:v>
                </c:pt>
                <c:pt idx="23">
                  <c:v>8245.2140293505981</c:v>
                </c:pt>
                <c:pt idx="24">
                  <c:v>7063.6925735324521</c:v>
                </c:pt>
                <c:pt idx="25">
                  <c:v>7628.8311774023459</c:v>
                </c:pt>
                <c:pt idx="26">
                  <c:v>7943.7949845876137</c:v>
                </c:pt>
                <c:pt idx="27">
                  <c:v>8555.3426855843718</c:v>
                </c:pt>
                <c:pt idx="28">
                  <c:v>8967.2547921906862</c:v>
                </c:pt>
                <c:pt idx="29">
                  <c:v>9420.7769844339036</c:v>
                </c:pt>
                <c:pt idx="30">
                  <c:v>10022.551434599969</c:v>
                </c:pt>
                <c:pt idx="31">
                  <c:v>10138.407166821065</c:v>
                </c:pt>
                <c:pt idx="32">
                  <c:v>9841.8717529230653</c:v>
                </c:pt>
                <c:pt idx="33">
                  <c:v>9373.7306606562124</c:v>
                </c:pt>
                <c:pt idx="34">
                  <c:v>8642.6678835557705</c:v>
                </c:pt>
                <c:pt idx="35">
                  <c:v>8111.2119015405688</c:v>
                </c:pt>
                <c:pt idx="36">
                  <c:v>7055.282490726554</c:v>
                </c:pt>
                <c:pt idx="37">
                  <c:v>7679.3562967105445</c:v>
                </c:pt>
                <c:pt idx="38">
                  <c:v>7979.0678465876335</c:v>
                </c:pt>
                <c:pt idx="39">
                  <c:v>8593.10039684808</c:v>
                </c:pt>
                <c:pt idx="40">
                  <c:v>8894.5705491293265</c:v>
                </c:pt>
                <c:pt idx="41">
                  <c:v>9700.3976223592654</c:v>
                </c:pt>
                <c:pt idx="42">
                  <c:v>10362.076561085049</c:v>
                </c:pt>
                <c:pt idx="43">
                  <c:v>10484.060439954985</c:v>
                </c:pt>
                <c:pt idx="44">
                  <c:v>10156.384447001699</c:v>
                </c:pt>
                <c:pt idx="45">
                  <c:v>9443.6137513337817</c:v>
                </c:pt>
                <c:pt idx="46">
                  <c:v>8657.5792163430979</c:v>
                </c:pt>
                <c:pt idx="47">
                  <c:v>8365.7270404463688</c:v>
                </c:pt>
                <c:pt idx="48">
                  <c:v>7171.3543309870329</c:v>
                </c:pt>
                <c:pt idx="49">
                  <c:v>7632.0594899084545</c:v>
                </c:pt>
                <c:pt idx="50">
                  <c:v>7981.6230379956796</c:v>
                </c:pt>
                <c:pt idx="51">
                  <c:v>8599.9449163432619</c:v>
                </c:pt>
                <c:pt idx="52">
                  <c:v>8986.9614120488095</c:v>
                </c:pt>
                <c:pt idx="53">
                  <c:v>9801.1203871212219</c:v>
                </c:pt>
                <c:pt idx="54">
                  <c:v>10347.064472827493</c:v>
                </c:pt>
                <c:pt idx="55">
                  <c:v>10363.831540398278</c:v>
                </c:pt>
                <c:pt idx="56">
                  <c:v>9959.0647524207216</c:v>
                </c:pt>
                <c:pt idx="57">
                  <c:v>9517.1064460664165</c:v>
                </c:pt>
                <c:pt idx="58">
                  <c:v>8798.8470876441606</c:v>
                </c:pt>
                <c:pt idx="59">
                  <c:v>8248.3169918664989</c:v>
                </c:pt>
                <c:pt idx="60">
                  <c:v>7339.3125672319848</c:v>
                </c:pt>
                <c:pt idx="61">
                  <c:v>7946.953774656633</c:v>
                </c:pt>
                <c:pt idx="62">
                  <c:v>8155.6151668875709</c:v>
                </c:pt>
                <c:pt idx="63">
                  <c:v>8800.6108999054359</c:v>
                </c:pt>
                <c:pt idx="64">
                  <c:v>9147.3598642748711</c:v>
                </c:pt>
                <c:pt idx="65">
                  <c:v>9822.5468716724536</c:v>
                </c:pt>
                <c:pt idx="66">
                  <c:v>10398.915485845224</c:v>
                </c:pt>
                <c:pt idx="67">
                  <c:v>10283.657207878581</c:v>
                </c:pt>
                <c:pt idx="68">
                  <c:v>10099.84192627821</c:v>
                </c:pt>
                <c:pt idx="69">
                  <c:v>9716.4013080373879</c:v>
                </c:pt>
                <c:pt idx="70">
                  <c:v>8888.4849143121883</c:v>
                </c:pt>
                <c:pt idx="71">
                  <c:v>8335.7471786410479</c:v>
                </c:pt>
                <c:pt idx="72">
                  <c:v>7226.6277404914581</c:v>
                </c:pt>
                <c:pt idx="73">
                  <c:v>7659.7352232643379</c:v>
                </c:pt>
                <c:pt idx="74">
                  <c:v>7936.5802428823936</c:v>
                </c:pt>
                <c:pt idx="75">
                  <c:v>8562.6057401388625</c:v>
                </c:pt>
                <c:pt idx="76">
                  <c:v>8918.2596670824842</c:v>
                </c:pt>
                <c:pt idx="77">
                  <c:v>9630.8690535545793</c:v>
                </c:pt>
                <c:pt idx="78">
                  <c:v>10319.201348090062</c:v>
                </c:pt>
                <c:pt idx="79">
                  <c:v>10191.899813777516</c:v>
                </c:pt>
                <c:pt idx="80">
                  <c:v>9790.1463269498927</c:v>
                </c:pt>
                <c:pt idx="81">
                  <c:v>9458.1794744077251</c:v>
                </c:pt>
                <c:pt idx="82">
                  <c:v>8719.8155831509175</c:v>
                </c:pt>
                <c:pt idx="83">
                  <c:v>8262.1150616947962</c:v>
                </c:pt>
                <c:pt idx="84">
                  <c:v>7004.3674279157303</c:v>
                </c:pt>
                <c:pt idx="85">
                  <c:v>7500.6156895923041</c:v>
                </c:pt>
                <c:pt idx="86">
                  <c:v>8045.2349589139585</c:v>
                </c:pt>
                <c:pt idx="87">
                  <c:v>8575.7029383752815</c:v>
                </c:pt>
                <c:pt idx="88">
                  <c:v>9091.9857938683836</c:v>
                </c:pt>
                <c:pt idx="89">
                  <c:v>9809.4218845933865</c:v>
                </c:pt>
                <c:pt idx="90">
                  <c:v>10430.189744865362</c:v>
                </c:pt>
                <c:pt idx="91">
                  <c:v>10471.136609431751</c:v>
                </c:pt>
                <c:pt idx="92">
                  <c:v>9928.1710817933581</c:v>
                </c:pt>
                <c:pt idx="93">
                  <c:v>9629.6085206090975</c:v>
                </c:pt>
                <c:pt idx="94">
                  <c:v>8789.4164542868839</c:v>
                </c:pt>
                <c:pt idx="95">
                  <c:v>8235.8188616910047</c:v>
                </c:pt>
                <c:pt idx="96">
                  <c:v>7150.548284904683</c:v>
                </c:pt>
                <c:pt idx="97">
                  <c:v>7825.1283356873482</c:v>
                </c:pt>
                <c:pt idx="98">
                  <c:v>8110.6841006350369</c:v>
                </c:pt>
                <c:pt idx="99">
                  <c:v>8539.3895551996866</c:v>
                </c:pt>
                <c:pt idx="100">
                  <c:v>8963.2644080433984</c:v>
                </c:pt>
                <c:pt idx="101">
                  <c:v>9671.3981164330617</c:v>
                </c:pt>
                <c:pt idx="102">
                  <c:v>10175.3262594016</c:v>
                </c:pt>
                <c:pt idx="103">
                  <c:v>10209.046268479382</c:v>
                </c:pt>
                <c:pt idx="104">
                  <c:v>9803.6626667615146</c:v>
                </c:pt>
                <c:pt idx="105">
                  <c:v>9255.5191441444385</c:v>
                </c:pt>
                <c:pt idx="106">
                  <c:v>8358.3812013710358</c:v>
                </c:pt>
                <c:pt idx="107">
                  <c:v>7933.8440316100823</c:v>
                </c:pt>
                <c:pt idx="108">
                  <c:v>6751.9418312090156</c:v>
                </c:pt>
                <c:pt idx="109">
                  <c:v>7351.9154660763988</c:v>
                </c:pt>
                <c:pt idx="110">
                  <c:v>7698.6314404618242</c:v>
                </c:pt>
                <c:pt idx="111">
                  <c:v>8259.4326984465552</c:v>
                </c:pt>
                <c:pt idx="112">
                  <c:v>8519.8379754663711</c:v>
                </c:pt>
                <c:pt idx="113">
                  <c:v>9445.1555961897138</c:v>
                </c:pt>
                <c:pt idx="114">
                  <c:v>9961.405523865611</c:v>
                </c:pt>
                <c:pt idx="115">
                  <c:v>9963.9420498815161</c:v>
                </c:pt>
                <c:pt idx="116">
                  <c:v>9743.6684958551214</c:v>
                </c:pt>
                <c:pt idx="117">
                  <c:v>9449.5916730988756</c:v>
                </c:pt>
                <c:pt idx="118">
                  <c:v>8648.6837348561166</c:v>
                </c:pt>
                <c:pt idx="119">
                  <c:v>8135.095134454722</c:v>
                </c:pt>
                <c:pt idx="120">
                  <c:v>7023.7132553630699</c:v>
                </c:pt>
                <c:pt idx="121">
                  <c:v>7578.8390467544659</c:v>
                </c:pt>
                <c:pt idx="122">
                  <c:v>7896.3136727358869</c:v>
                </c:pt>
                <c:pt idx="123">
                  <c:v>8457.1500772611889</c:v>
                </c:pt>
                <c:pt idx="124">
                  <c:v>8847.4261413987806</c:v>
                </c:pt>
              </c:numCache>
            </c:numRef>
          </c:val>
          <c:smooth val="0"/>
          <c:extLst>
            <c:ext xmlns:c16="http://schemas.microsoft.com/office/drawing/2014/chart" uri="{C3380CC4-5D6E-409C-BE32-E72D297353CC}">
              <c16:uniqueId val="{00000001-BEA3-44BC-905E-CC141967B9D4}"/>
            </c:ext>
          </c:extLst>
        </c:ser>
        <c:dLbls>
          <c:showLegendKey val="0"/>
          <c:showVal val="0"/>
          <c:showCatName val="0"/>
          <c:showSerName val="0"/>
          <c:showPercent val="0"/>
          <c:showBubbleSize val="0"/>
        </c:dLbls>
        <c:smooth val="0"/>
        <c:axId val="1228720207"/>
        <c:axId val="1228721167"/>
      </c:lineChart>
      <c:catAx>
        <c:axId val="1228720207"/>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1228721167"/>
        <c:crosses val="autoZero"/>
        <c:auto val="1"/>
        <c:lblAlgn val="ctr"/>
        <c:lblOffset val="100"/>
        <c:noMultiLvlLbl val="0"/>
      </c:catAx>
      <c:valAx>
        <c:axId val="1228721167"/>
        <c:scaling>
          <c:orientation val="minMax"/>
        </c:scaling>
        <c:delete val="0"/>
        <c:axPos val="l"/>
        <c:numFmt formatCode="0.00" sourceLinked="0"/>
        <c:majorTickMark val="out"/>
        <c:minorTickMark val="none"/>
        <c:tickLblPos val="nextTo"/>
        <c:txPr>
          <a:bodyPr/>
          <a:lstStyle/>
          <a:p>
            <a:pPr>
              <a:defRPr sz="800" b="0"/>
            </a:pPr>
            <a:endParaRPr lang="en-US"/>
          </a:p>
        </c:txPr>
        <c:crossAx val="1228720207"/>
        <c:crosses val="autoZero"/>
        <c:crossBetween val="between"/>
      </c:valAx>
    </c:plotArea>
    <c:legend>
      <c:legendPos val="r"/>
      <c:layout/>
      <c:overlay val="0"/>
      <c:spPr>
        <a:ln>
          <a:solidFill>
            <a:srgbClr val="000000"/>
          </a:solidFill>
          <a:prstDash val="solid"/>
        </a:ln>
      </c:sp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Original Observations</a:t>
            </a:r>
          </a:p>
        </c:rich>
      </c:tx>
      <c:overlay val="0"/>
    </c:title>
    <c:autoTitleDeleted val="0"/>
    <c:plotArea>
      <c:layout/>
      <c:lineChart>
        <c:grouping val="standard"/>
        <c:varyColors val="0"/>
        <c:ser>
          <c:idx val="0"/>
          <c:order val="0"/>
          <c:tx>
            <c:v>West</c:v>
          </c:tx>
          <c:spPr>
            <a:ln>
              <a:solidFill>
                <a:srgbClr val="333399"/>
              </a:solidFill>
              <a:prstDash val="solid"/>
            </a:ln>
          </c:spPr>
          <c:marker>
            <c:symbol val="none"/>
          </c:marker>
          <c:cat>
            <c:strRef>
              <c:f>'Holt''s Expo. DS(West)'!$A$147:$A$263</c:f>
              <c:strCache>
                <c:ptCount val="117"/>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strCache>
            </c:strRef>
          </c:cat>
          <c:val>
            <c:numRef>
              <c:f>'Holt''s Expo. DS(West)'!$B$147:$B$263</c:f>
              <c:numCache>
                <c:formatCode>0.00</c:formatCode>
                <c:ptCount val="117"/>
                <c:pt idx="0">
                  <c:v>8164</c:v>
                </c:pt>
                <c:pt idx="1">
                  <c:v>6751</c:v>
                </c:pt>
                <c:pt idx="2">
                  <c:v>8435</c:v>
                </c:pt>
                <c:pt idx="3">
                  <c:v>8628</c:v>
                </c:pt>
                <c:pt idx="4">
                  <c:v>8327</c:v>
                </c:pt>
                <c:pt idx="5">
                  <c:v>10286</c:v>
                </c:pt>
                <c:pt idx="6">
                  <c:v>10368</c:v>
                </c:pt>
                <c:pt idx="7">
                  <c:v>11926</c:v>
                </c:pt>
                <c:pt idx="8">
                  <c:v>10230</c:v>
                </c:pt>
                <c:pt idx="9">
                  <c:v>8359</c:v>
                </c:pt>
                <c:pt idx="10">
                  <c:v>7776</c:v>
                </c:pt>
                <c:pt idx="11">
                  <c:v>8243</c:v>
                </c:pt>
                <c:pt idx="12">
                  <c:v>7212</c:v>
                </c:pt>
                <c:pt idx="13">
                  <c:v>7208</c:v>
                </c:pt>
                <c:pt idx="14">
                  <c:v>7257</c:v>
                </c:pt>
                <c:pt idx="15">
                  <c:v>8513</c:v>
                </c:pt>
                <c:pt idx="16">
                  <c:v>8647</c:v>
                </c:pt>
                <c:pt idx="17">
                  <c:v>8797</c:v>
                </c:pt>
                <c:pt idx="18">
                  <c:v>10465</c:v>
                </c:pt>
                <c:pt idx="19">
                  <c:v>11803</c:v>
                </c:pt>
                <c:pt idx="20">
                  <c:v>10281</c:v>
                </c:pt>
                <c:pt idx="21">
                  <c:v>10386</c:v>
                </c:pt>
                <c:pt idx="22">
                  <c:v>8028</c:v>
                </c:pt>
                <c:pt idx="23">
                  <c:v>7788</c:v>
                </c:pt>
                <c:pt idx="24">
                  <c:v>7109</c:v>
                </c:pt>
                <c:pt idx="25">
                  <c:v>7597</c:v>
                </c:pt>
                <c:pt idx="26">
                  <c:v>8260</c:v>
                </c:pt>
                <c:pt idx="27">
                  <c:v>8672</c:v>
                </c:pt>
                <c:pt idx="28">
                  <c:v>7380</c:v>
                </c:pt>
                <c:pt idx="29">
                  <c:v>9645</c:v>
                </c:pt>
                <c:pt idx="30">
                  <c:v>10674</c:v>
                </c:pt>
                <c:pt idx="31">
                  <c:v>10131</c:v>
                </c:pt>
                <c:pt idx="32">
                  <c:v>9684</c:v>
                </c:pt>
                <c:pt idx="33">
                  <c:v>9870</c:v>
                </c:pt>
                <c:pt idx="34">
                  <c:v>8504</c:v>
                </c:pt>
                <c:pt idx="35">
                  <c:v>8544</c:v>
                </c:pt>
                <c:pt idx="36">
                  <c:v>7496</c:v>
                </c:pt>
                <c:pt idx="37">
                  <c:v>7528</c:v>
                </c:pt>
                <c:pt idx="38">
                  <c:v>8295</c:v>
                </c:pt>
                <c:pt idx="39">
                  <c:v>7942</c:v>
                </c:pt>
                <c:pt idx="40">
                  <c:v>9686</c:v>
                </c:pt>
                <c:pt idx="41">
                  <c:v>10214</c:v>
                </c:pt>
                <c:pt idx="42">
                  <c:v>11050</c:v>
                </c:pt>
                <c:pt idx="43">
                  <c:v>10320</c:v>
                </c:pt>
                <c:pt idx="44">
                  <c:v>8270</c:v>
                </c:pt>
                <c:pt idx="45">
                  <c:v>9556</c:v>
                </c:pt>
                <c:pt idx="46">
                  <c:v>10349</c:v>
                </c:pt>
                <c:pt idx="47">
                  <c:v>7938</c:v>
                </c:pt>
                <c:pt idx="48">
                  <c:v>6467</c:v>
                </c:pt>
                <c:pt idx="49">
                  <c:v>7837</c:v>
                </c:pt>
                <c:pt idx="50">
                  <c:v>8325</c:v>
                </c:pt>
                <c:pt idx="51">
                  <c:v>8532</c:v>
                </c:pt>
                <c:pt idx="52">
                  <c:v>9786</c:v>
                </c:pt>
                <c:pt idx="53">
                  <c:v>9492</c:v>
                </c:pt>
                <c:pt idx="54">
                  <c:v>10284</c:v>
                </c:pt>
                <c:pt idx="55">
                  <c:v>9606</c:v>
                </c:pt>
                <c:pt idx="56">
                  <c:v>10037</c:v>
                </c:pt>
                <c:pt idx="57">
                  <c:v>10208</c:v>
                </c:pt>
                <c:pt idx="58">
                  <c:v>8585</c:v>
                </c:pt>
                <c:pt idx="59">
                  <c:v>10054</c:v>
                </c:pt>
                <c:pt idx="60">
                  <c:v>7521</c:v>
                </c:pt>
                <c:pt idx="61">
                  <c:v>7092</c:v>
                </c:pt>
                <c:pt idx="62">
                  <c:v>8594</c:v>
                </c:pt>
                <c:pt idx="63">
                  <c:v>8393</c:v>
                </c:pt>
                <c:pt idx="64">
                  <c:v>8940</c:v>
                </c:pt>
                <c:pt idx="65">
                  <c:v>9710</c:v>
                </c:pt>
                <c:pt idx="66">
                  <c:v>9392</c:v>
                </c:pt>
                <c:pt idx="67">
                  <c:v>11138</c:v>
                </c:pt>
                <c:pt idx="68">
                  <c:v>10664</c:v>
                </c:pt>
                <c:pt idx="69">
                  <c:v>9681</c:v>
                </c:pt>
                <c:pt idx="70">
                  <c:v>8698</c:v>
                </c:pt>
                <c:pt idx="71">
                  <c:v>8581</c:v>
                </c:pt>
                <c:pt idx="72">
                  <c:v>6310</c:v>
                </c:pt>
                <c:pt idx="73">
                  <c:v>7357</c:v>
                </c:pt>
                <c:pt idx="74">
                  <c:v>8353</c:v>
                </c:pt>
                <c:pt idx="75">
                  <c:v>8292</c:v>
                </c:pt>
                <c:pt idx="76">
                  <c:v>9078</c:v>
                </c:pt>
                <c:pt idx="77">
                  <c:v>10353</c:v>
                </c:pt>
                <c:pt idx="78">
                  <c:v>9228</c:v>
                </c:pt>
                <c:pt idx="79">
                  <c:v>9420</c:v>
                </c:pt>
                <c:pt idx="80">
                  <c:v>10636</c:v>
                </c:pt>
                <c:pt idx="81">
                  <c:v>9953</c:v>
                </c:pt>
                <c:pt idx="82">
                  <c:v>9177</c:v>
                </c:pt>
                <c:pt idx="83">
                  <c:v>7192</c:v>
                </c:pt>
                <c:pt idx="84">
                  <c:v>6624</c:v>
                </c:pt>
                <c:pt idx="85">
                  <c:v>9084</c:v>
                </c:pt>
                <c:pt idx="86">
                  <c:v>7771</c:v>
                </c:pt>
                <c:pt idx="87">
                  <c:v>9400</c:v>
                </c:pt>
                <c:pt idx="88">
                  <c:v>9194</c:v>
                </c:pt>
                <c:pt idx="89">
                  <c:v>10002</c:v>
                </c:pt>
                <c:pt idx="90">
                  <c:v>10538</c:v>
                </c:pt>
                <c:pt idx="91">
                  <c:v>8717</c:v>
                </c:pt>
                <c:pt idx="92">
                  <c:v>11071</c:v>
                </c:pt>
                <c:pt idx="93">
                  <c:v>9441</c:v>
                </c:pt>
                <c:pt idx="94">
                  <c:v>8548</c:v>
                </c:pt>
                <c:pt idx="95">
                  <c:v>8566</c:v>
                </c:pt>
                <c:pt idx="96">
                  <c:v>7876</c:v>
                </c:pt>
                <c:pt idx="97">
                  <c:v>7534</c:v>
                </c:pt>
                <c:pt idx="98">
                  <c:v>7125</c:v>
                </c:pt>
                <c:pt idx="99">
                  <c:v>8743</c:v>
                </c:pt>
                <c:pt idx="100">
                  <c:v>9070</c:v>
                </c:pt>
                <c:pt idx="101">
                  <c:v>9132</c:v>
                </c:pt>
                <c:pt idx="102">
                  <c:v>10237</c:v>
                </c:pt>
                <c:pt idx="103">
                  <c:v>9414</c:v>
                </c:pt>
                <c:pt idx="104">
                  <c:v>9033</c:v>
                </c:pt>
                <c:pt idx="105">
                  <c:v>8375</c:v>
                </c:pt>
                <c:pt idx="106">
                  <c:v>8906</c:v>
                </c:pt>
                <c:pt idx="107">
                  <c:v>7122</c:v>
                </c:pt>
                <c:pt idx="108">
                  <c:v>7193</c:v>
                </c:pt>
                <c:pt idx="109">
                  <c:v>7619</c:v>
                </c:pt>
                <c:pt idx="110">
                  <c:v>7793</c:v>
                </c:pt>
                <c:pt idx="111">
                  <c:v>7434</c:v>
                </c:pt>
                <c:pt idx="112">
                  <c:v>10299</c:v>
                </c:pt>
                <c:pt idx="113">
                  <c:v>9082</c:v>
                </c:pt>
                <c:pt idx="114">
                  <c:v>9805</c:v>
                </c:pt>
                <c:pt idx="115">
                  <c:v>10482</c:v>
                </c:pt>
                <c:pt idx="116">
                  <c:v>10858</c:v>
                </c:pt>
              </c:numCache>
            </c:numRef>
          </c:val>
          <c:smooth val="0"/>
          <c:extLst>
            <c:ext xmlns:c16="http://schemas.microsoft.com/office/drawing/2014/chart" uri="{C3380CC4-5D6E-409C-BE32-E72D297353CC}">
              <c16:uniqueId val="{00000000-5587-40B6-8A77-8CC2A8DF236C}"/>
            </c:ext>
          </c:extLst>
        </c:ser>
        <c:dLbls>
          <c:showLegendKey val="0"/>
          <c:showVal val="0"/>
          <c:showCatName val="0"/>
          <c:showSerName val="0"/>
          <c:showPercent val="0"/>
          <c:showBubbleSize val="0"/>
        </c:dLbls>
        <c:smooth val="0"/>
        <c:axId val="82720783"/>
        <c:axId val="82721263"/>
      </c:lineChart>
      <c:catAx>
        <c:axId val="82720783"/>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82721263"/>
        <c:crosses val="autoZero"/>
        <c:auto val="1"/>
        <c:lblAlgn val="ctr"/>
        <c:lblOffset val="100"/>
        <c:noMultiLvlLbl val="0"/>
      </c:catAx>
      <c:valAx>
        <c:axId val="82721263"/>
        <c:scaling>
          <c:orientation val="minMax"/>
        </c:scaling>
        <c:delete val="0"/>
        <c:axPos val="l"/>
        <c:numFmt formatCode="0.00" sourceLinked="0"/>
        <c:majorTickMark val="out"/>
        <c:minorTickMark val="none"/>
        <c:tickLblPos val="nextTo"/>
        <c:txPr>
          <a:bodyPr/>
          <a:lstStyle/>
          <a:p>
            <a:pPr>
              <a:defRPr sz="800" b="0"/>
            </a:pPr>
            <a:endParaRPr lang="en-US"/>
          </a:p>
        </c:txPr>
        <c:crossAx val="82720783"/>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Forecast Errors</a:t>
            </a:r>
          </a:p>
        </c:rich>
      </c:tx>
      <c:overlay val="0"/>
    </c:title>
    <c:autoTitleDeleted val="0"/>
    <c:plotArea>
      <c:layout/>
      <c:lineChart>
        <c:grouping val="standard"/>
        <c:varyColors val="0"/>
        <c:ser>
          <c:idx val="0"/>
          <c:order val="0"/>
          <c:tx>
            <c:v>Errors</c:v>
          </c:tx>
          <c:spPr>
            <a:ln>
              <a:solidFill>
                <a:srgbClr val="333399"/>
              </a:solidFill>
              <a:prstDash val="solid"/>
            </a:ln>
          </c:spPr>
          <c:marker>
            <c:symbol val="none"/>
          </c:marker>
          <c:cat>
            <c:strRef>
              <c:f>'Holt''s Expo. DS(West)'!$A$147:$A$263</c:f>
              <c:strCache>
                <c:ptCount val="117"/>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strCache>
            </c:strRef>
          </c:cat>
          <c:val>
            <c:numRef>
              <c:f>'Holt''s Expo. DS(West)'!$J$148:$J$271</c:f>
              <c:numCache>
                <c:formatCode>0.00</c:formatCode>
                <c:ptCount val="124"/>
                <c:pt idx="0">
                  <c:v>-2058.9136906010099</c:v>
                </c:pt>
                <c:pt idx="1">
                  <c:v>-444.97052837304182</c:v>
                </c:pt>
                <c:pt idx="2">
                  <c:v>-816.66294008049954</c:v>
                </c:pt>
                <c:pt idx="3">
                  <c:v>-1434.7157541648867</c:v>
                </c:pt>
                <c:pt idx="4">
                  <c:v>-13.991891632771512</c:v>
                </c:pt>
                <c:pt idx="5">
                  <c:v>-552.05157491212776</c:v>
                </c:pt>
                <c:pt idx="6">
                  <c:v>1055.9398646118061</c:v>
                </c:pt>
                <c:pt idx="7">
                  <c:v>-466.80199448777785</c:v>
                </c:pt>
                <c:pt idx="8">
                  <c:v>-1790.0688341374425</c:v>
                </c:pt>
                <c:pt idx="9">
                  <c:v>-1284.3432670864331</c:v>
                </c:pt>
                <c:pt idx="10">
                  <c:v>-110.74935299935896</c:v>
                </c:pt>
                <c:pt idx="11">
                  <c:v>12.760308051997526</c:v>
                </c:pt>
                <c:pt idx="12">
                  <c:v>-562.26414262035905</c:v>
                </c:pt>
                <c:pt idx="13">
                  <c:v>-757.02631891212059</c:v>
                </c:pt>
                <c:pt idx="14">
                  <c:v>42.976909303897628</c:v>
                </c:pt>
                <c:pt idx="15">
                  <c:v>-220.18145446581912</c:v>
                </c:pt>
                <c:pt idx="16">
                  <c:v>-721.64467818707999</c:v>
                </c:pt>
                <c:pt idx="17">
                  <c:v>478.73147949311169</c:v>
                </c:pt>
                <c:pt idx="18">
                  <c:v>1725.1728269062933</c:v>
                </c:pt>
                <c:pt idx="19">
                  <c:v>262.98717547535671</c:v>
                </c:pt>
                <c:pt idx="20">
                  <c:v>787.9153361139015</c:v>
                </c:pt>
                <c:pt idx="21">
                  <c:v>-857.40706776109619</c:v>
                </c:pt>
                <c:pt idx="22">
                  <c:v>-457.21402935059814</c:v>
                </c:pt>
                <c:pt idx="23">
                  <c:v>45.307426467547884</c:v>
                </c:pt>
                <c:pt idx="24">
                  <c:v>-31.831177402345929</c:v>
                </c:pt>
                <c:pt idx="25">
                  <c:v>316.20501541238627</c:v>
                </c:pt>
                <c:pt idx="26">
                  <c:v>116.65731441562821</c:v>
                </c:pt>
                <c:pt idx="27">
                  <c:v>-1587.2547921906862</c:v>
                </c:pt>
                <c:pt idx="28">
                  <c:v>224.22301556609636</c:v>
                </c:pt>
                <c:pt idx="29">
                  <c:v>651.44856540003093</c:v>
                </c:pt>
                <c:pt idx="30">
                  <c:v>-7.4071668210654025</c:v>
                </c:pt>
                <c:pt idx="31">
                  <c:v>-157.87175292306529</c:v>
                </c:pt>
                <c:pt idx="32">
                  <c:v>496.26933934378758</c:v>
                </c:pt>
                <c:pt idx="33">
                  <c:v>-138.66788355577046</c:v>
                </c:pt>
                <c:pt idx="34">
                  <c:v>432.78809845943124</c:v>
                </c:pt>
                <c:pt idx="35">
                  <c:v>440.71750927344601</c:v>
                </c:pt>
                <c:pt idx="36">
                  <c:v>-151.35629671054448</c:v>
                </c:pt>
                <c:pt idx="37">
                  <c:v>315.93215341236646</c:v>
                </c:pt>
                <c:pt idx="38">
                  <c:v>-651.10039684807998</c:v>
                </c:pt>
                <c:pt idx="39">
                  <c:v>791.42945087067346</c:v>
                </c:pt>
                <c:pt idx="40">
                  <c:v>513.60237764073463</c:v>
                </c:pt>
                <c:pt idx="41">
                  <c:v>687.92343891495148</c:v>
                </c:pt>
                <c:pt idx="42">
                  <c:v>-164.06043995498476</c:v>
                </c:pt>
                <c:pt idx="43">
                  <c:v>-1886.3844470016993</c:v>
                </c:pt>
                <c:pt idx="44">
                  <c:v>112.38624866621831</c:v>
                </c:pt>
                <c:pt idx="45">
                  <c:v>1691.4207836569021</c:v>
                </c:pt>
                <c:pt idx="46">
                  <c:v>-427.72704044636885</c:v>
                </c:pt>
                <c:pt idx="47">
                  <c:v>-704.35433098703288</c:v>
                </c:pt>
                <c:pt idx="48">
                  <c:v>204.94051009154555</c:v>
                </c:pt>
                <c:pt idx="49">
                  <c:v>343.37696200432038</c:v>
                </c:pt>
                <c:pt idx="50">
                  <c:v>-67.944916343261866</c:v>
                </c:pt>
                <c:pt idx="51">
                  <c:v>799.03858795119049</c:v>
                </c:pt>
                <c:pt idx="52">
                  <c:v>-309.12038712122194</c:v>
                </c:pt>
                <c:pt idx="53">
                  <c:v>-63.064472827492864</c:v>
                </c:pt>
                <c:pt idx="54">
                  <c:v>-757.83154039827787</c:v>
                </c:pt>
                <c:pt idx="55">
                  <c:v>77.935247579278439</c:v>
                </c:pt>
                <c:pt idx="56">
                  <c:v>690.89355393358346</c:v>
                </c:pt>
                <c:pt idx="57">
                  <c:v>-213.84708764416064</c:v>
                </c:pt>
                <c:pt idx="58">
                  <c:v>1805.6830081335011</c:v>
                </c:pt>
                <c:pt idx="59">
                  <c:v>181.68743276801524</c:v>
                </c:pt>
                <c:pt idx="60">
                  <c:v>-854.95377465663296</c:v>
                </c:pt>
                <c:pt idx="61">
                  <c:v>438.38483311242908</c:v>
                </c:pt>
                <c:pt idx="62">
                  <c:v>-407.61089990543587</c:v>
                </c:pt>
                <c:pt idx="63">
                  <c:v>-207.35986427487114</c:v>
                </c:pt>
                <c:pt idx="64">
                  <c:v>-112.54687167245356</c:v>
                </c:pt>
                <c:pt idx="65">
                  <c:v>-1006.9154858452239</c:v>
                </c:pt>
                <c:pt idx="66">
                  <c:v>854.34279212141882</c:v>
                </c:pt>
                <c:pt idx="67">
                  <c:v>564.15807372179006</c:v>
                </c:pt>
                <c:pt idx="68">
                  <c:v>-35.401308037387935</c:v>
                </c:pt>
                <c:pt idx="69">
                  <c:v>-190.48491431218827</c:v>
                </c:pt>
                <c:pt idx="70">
                  <c:v>245.25282135895213</c:v>
                </c:pt>
                <c:pt idx="71">
                  <c:v>-916.6277404914581</c:v>
                </c:pt>
                <c:pt idx="72">
                  <c:v>-302.73522326433795</c:v>
                </c:pt>
                <c:pt idx="73">
                  <c:v>416.41975711760642</c:v>
                </c:pt>
                <c:pt idx="74">
                  <c:v>-270.60574013886253</c:v>
                </c:pt>
                <c:pt idx="75">
                  <c:v>159.74033291751584</c:v>
                </c:pt>
                <c:pt idx="76">
                  <c:v>722.1309464454207</c:v>
                </c:pt>
                <c:pt idx="77">
                  <c:v>-1091.2013480900623</c:v>
                </c:pt>
                <c:pt idx="78">
                  <c:v>-771.8998137775161</c:v>
                </c:pt>
                <c:pt idx="79">
                  <c:v>845.85367305010732</c:v>
                </c:pt>
                <c:pt idx="80">
                  <c:v>494.82052559227486</c:v>
                </c:pt>
                <c:pt idx="81">
                  <c:v>457.18441684908248</c:v>
                </c:pt>
                <c:pt idx="82">
                  <c:v>-1070.1150616947962</c:v>
                </c:pt>
                <c:pt idx="83">
                  <c:v>-380.36742791573033</c:v>
                </c:pt>
                <c:pt idx="84">
                  <c:v>1583.3843104076959</c:v>
                </c:pt>
                <c:pt idx="85">
                  <c:v>-274.23495891395851</c:v>
                </c:pt>
                <c:pt idx="86">
                  <c:v>824.29706162471848</c:v>
                </c:pt>
                <c:pt idx="87">
                  <c:v>102.01420613161645</c:v>
                </c:pt>
                <c:pt idx="88">
                  <c:v>192.57811540661351</c:v>
                </c:pt>
                <c:pt idx="89">
                  <c:v>107.81025513463828</c:v>
                </c:pt>
                <c:pt idx="90">
                  <c:v>-1754.1366094317509</c:v>
                </c:pt>
                <c:pt idx="91">
                  <c:v>1142.8289182066419</c:v>
                </c:pt>
                <c:pt idx="92">
                  <c:v>-188.60852060909747</c:v>
                </c:pt>
                <c:pt idx="93">
                  <c:v>-241.41645428688389</c:v>
                </c:pt>
                <c:pt idx="94">
                  <c:v>330.18113830899529</c:v>
                </c:pt>
                <c:pt idx="95">
                  <c:v>725.45171509531701</c:v>
                </c:pt>
                <c:pt idx="96">
                  <c:v>-291.12833568734823</c:v>
                </c:pt>
                <c:pt idx="97">
                  <c:v>-985.68410063503688</c:v>
                </c:pt>
                <c:pt idx="98">
                  <c:v>203.61044480031342</c:v>
                </c:pt>
                <c:pt idx="99">
                  <c:v>106.73559195660164</c:v>
                </c:pt>
                <c:pt idx="100">
                  <c:v>-539.39811643306166</c:v>
                </c:pt>
                <c:pt idx="101">
                  <c:v>61.6737405984004</c:v>
                </c:pt>
                <c:pt idx="102">
                  <c:v>-795.04626847938198</c:v>
                </c:pt>
                <c:pt idx="103">
                  <c:v>-770.66266676151463</c:v>
                </c:pt>
                <c:pt idx="104">
                  <c:v>-880.51914414443854</c:v>
                </c:pt>
                <c:pt idx="105">
                  <c:v>547.61879862896421</c:v>
                </c:pt>
                <c:pt idx="106">
                  <c:v>-811.84403161008231</c:v>
                </c:pt>
                <c:pt idx="107">
                  <c:v>441.05816879098438</c:v>
                </c:pt>
                <c:pt idx="108">
                  <c:v>267.08453392360116</c:v>
                </c:pt>
                <c:pt idx="109">
                  <c:v>94.368559538175759</c:v>
                </c:pt>
                <c:pt idx="110">
                  <c:v>-825.43269844655515</c:v>
                </c:pt>
                <c:pt idx="111">
                  <c:v>1779.1620245336289</c:v>
                </c:pt>
                <c:pt idx="112">
                  <c:v>-363.15559618971383</c:v>
                </c:pt>
                <c:pt idx="113">
                  <c:v>-156.40552386561103</c:v>
                </c:pt>
                <c:pt idx="114">
                  <c:v>518.05795011848386</c:v>
                </c:pt>
                <c:pt idx="115">
                  <c:v>1114.3315041448786</c:v>
                </c:pt>
              </c:numCache>
            </c:numRef>
          </c:val>
          <c:smooth val="0"/>
          <c:extLst>
            <c:ext xmlns:c16="http://schemas.microsoft.com/office/drawing/2014/chart" uri="{C3380CC4-5D6E-409C-BE32-E72D297353CC}">
              <c16:uniqueId val="{00000000-38EA-40A7-BD36-2B9862D56AFB}"/>
            </c:ext>
          </c:extLst>
        </c:ser>
        <c:dLbls>
          <c:showLegendKey val="0"/>
          <c:showVal val="0"/>
          <c:showCatName val="0"/>
          <c:showSerName val="0"/>
          <c:showPercent val="0"/>
          <c:showBubbleSize val="0"/>
        </c:dLbls>
        <c:smooth val="0"/>
        <c:axId val="88418799"/>
        <c:axId val="88419759"/>
      </c:lineChart>
      <c:catAx>
        <c:axId val="88418799"/>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88419759"/>
        <c:crosses val="autoZero"/>
        <c:auto val="1"/>
        <c:lblAlgn val="ctr"/>
        <c:lblOffset val="100"/>
        <c:noMultiLvlLbl val="0"/>
      </c:catAx>
      <c:valAx>
        <c:axId val="88419759"/>
        <c:scaling>
          <c:orientation val="minMax"/>
        </c:scaling>
        <c:delete val="0"/>
        <c:axPos val="l"/>
        <c:numFmt formatCode="0.00" sourceLinked="0"/>
        <c:majorTickMark val="out"/>
        <c:minorTickMark val="none"/>
        <c:tickLblPos val="nextTo"/>
        <c:txPr>
          <a:bodyPr/>
          <a:lstStyle/>
          <a:p>
            <a:pPr>
              <a:defRPr sz="800" b="0"/>
            </a:pPr>
            <a:endParaRPr lang="en-US"/>
          </a:p>
        </c:txPr>
        <c:crossAx val="88418799"/>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Deseasonalized Forecast and Original Observations</a:t>
            </a:r>
          </a:p>
        </c:rich>
      </c:tx>
      <c:overlay val="0"/>
    </c:title>
    <c:autoTitleDeleted val="0"/>
    <c:plotArea>
      <c:layout>
        <c:manualLayout>
          <c:layoutTarget val="inner"/>
          <c:xMode val="edge"/>
          <c:yMode val="edge"/>
          <c:x val="0.11664774140074596"/>
          <c:y val="0.12882015748031497"/>
          <c:w val="0.67786872722999192"/>
          <c:h val="0.69303244094488192"/>
        </c:manualLayout>
      </c:layout>
      <c:lineChart>
        <c:grouping val="standard"/>
        <c:varyColors val="0"/>
        <c:ser>
          <c:idx val="0"/>
          <c:order val="0"/>
          <c:tx>
            <c:v>East</c:v>
          </c:tx>
          <c:spPr>
            <a:ln>
              <a:solidFill>
                <a:srgbClr val="333399"/>
              </a:solidFill>
              <a:prstDash val="solid"/>
            </a:ln>
          </c:spPr>
          <c:marker>
            <c:symbol val="none"/>
          </c:marker>
          <c:cat>
            <c:strRef>
              <c:f>'Moving Averages Ds(East) a(3)'!$A$146:$A$270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'Moving Averages Ds(East) a(3)'!$D$146:$D$270</c:f>
              <c:numCache>
                <c:formatCode>0.00</c:formatCode>
                <c:ptCount val="125"/>
                <c:pt idx="0">
                  <c:v>8145.242261508587</c:v>
                </c:pt>
                <c:pt idx="1">
                  <c:v>10416.446453608565</c:v>
                </c:pt>
                <c:pt idx="2">
                  <c:v>12823.374877466002</c:v>
                </c:pt>
                <c:pt idx="3">
                  <c:v>8132.5736898867053</c:v>
                </c:pt>
                <c:pt idx="4">
                  <c:v>11467.956753951106</c:v>
                </c:pt>
                <c:pt idx="5">
                  <c:v>11072.302866226855</c:v>
                </c:pt>
                <c:pt idx="6">
                  <c:v>10173.135204727409</c:v>
                </c:pt>
                <c:pt idx="7">
                  <c:v>13154.801260364744</c:v>
                </c:pt>
                <c:pt idx="8">
                  <c:v>12394.288572970971</c:v>
                </c:pt>
                <c:pt idx="9">
                  <c:v>11360.513533881589</c:v>
                </c:pt>
                <c:pt idx="10">
                  <c:v>10473.33579782507</c:v>
                </c:pt>
                <c:pt idx="11">
                  <c:v>9752.7846194837675</c:v>
                </c:pt>
                <c:pt idx="12">
                  <c:v>11110.641823219692</c:v>
                </c:pt>
                <c:pt idx="13">
                  <c:v>10517.966670631495</c:v>
                </c:pt>
                <c:pt idx="14">
                  <c:v>10378.929420378467</c:v>
                </c:pt>
                <c:pt idx="15">
                  <c:v>12637.271456287886</c:v>
                </c:pt>
                <c:pt idx="16">
                  <c:v>10386.799346074211</c:v>
                </c:pt>
                <c:pt idx="17">
                  <c:v>11816.899701000282</c:v>
                </c:pt>
                <c:pt idx="18">
                  <c:v>12045.469202257626</c:v>
                </c:pt>
                <c:pt idx="19">
                  <c:v>10118.378006667626</c:v>
                </c:pt>
                <c:pt idx="20">
                  <c:v>10537.286663765644</c:v>
                </c:pt>
                <c:pt idx="21">
                  <c:v>7521.2927179701583</c:v>
                </c:pt>
                <c:pt idx="22">
                  <c:v>12760.314810938829</c:v>
                </c:pt>
                <c:pt idx="23">
                  <c:v>11269.577794003175</c:v>
                </c:pt>
                <c:pt idx="24">
                  <c:v>13179.065656712371</c:v>
                </c:pt>
                <c:pt idx="25">
                  <c:v>11811.759203853955</c:v>
                </c:pt>
                <c:pt idx="26">
                  <c:v>9292.878245830063</c:v>
                </c:pt>
                <c:pt idx="27">
                  <c:v>10171.337765197584</c:v>
                </c:pt>
                <c:pt idx="28">
                  <c:v>10053.322350044627</c:v>
                </c:pt>
                <c:pt idx="29">
                  <c:v>10742.905061174768</c:v>
                </c:pt>
                <c:pt idx="30">
                  <c:v>8324.2957457762368</c:v>
                </c:pt>
                <c:pt idx="31">
                  <c:v>10925.664603128642</c:v>
                </c:pt>
                <c:pt idx="32">
                  <c:v>8817.3328659407853</c:v>
                </c:pt>
                <c:pt idx="33">
                  <c:v>12009.923614968262</c:v>
                </c:pt>
                <c:pt idx="34">
                  <c:v>10299.972910978191</c:v>
                </c:pt>
                <c:pt idx="35">
                  <c:v>11764.059268638008</c:v>
                </c:pt>
                <c:pt idx="36">
                  <c:v>10962.426739609549</c:v>
                </c:pt>
                <c:pt idx="37">
                  <c:v>8064.954915123948</c:v>
                </c:pt>
                <c:pt idx="38">
                  <c:v>10019.126533805345</c:v>
                </c:pt>
                <c:pt idx="39">
                  <c:v>10303.167622698889</c:v>
                </c:pt>
                <c:pt idx="40">
                  <c:v>10243.606053830961</c:v>
                </c:pt>
                <c:pt idx="41">
                  <c:v>11300.119911038328</c:v>
                </c:pt>
                <c:pt idx="42">
                  <c:v>9819.8134899425077</c:v>
                </c:pt>
                <c:pt idx="43">
                  <c:v>10263.954278160596</c:v>
                </c:pt>
                <c:pt idx="44">
                  <c:v>10166.400212342256</c:v>
                </c:pt>
                <c:pt idx="45">
                  <c:v>9084.456086226859</c:v>
                </c:pt>
                <c:pt idx="46">
                  <c:v>10749.506908267189</c:v>
                </c:pt>
                <c:pt idx="47">
                  <c:v>9203.1052127966741</c:v>
                </c:pt>
                <c:pt idx="48">
                  <c:v>10126.932823851625</c:v>
                </c:pt>
                <c:pt idx="49">
                  <c:v>10789.474227785844</c:v>
                </c:pt>
                <c:pt idx="50">
                  <c:v>12859.908709025734</c:v>
                </c:pt>
                <c:pt idx="51">
                  <c:v>9634.8209032736686</c:v>
                </c:pt>
                <c:pt idx="52">
                  <c:v>13693.699470967009</c:v>
                </c:pt>
                <c:pt idx="53">
                  <c:v>9379.9476761987717</c:v>
                </c:pt>
                <c:pt idx="54">
                  <c:v>10928.574983653692</c:v>
                </c:pt>
                <c:pt idx="55">
                  <c:v>10978.601429126085</c:v>
                </c:pt>
                <c:pt idx="56">
                  <c:v>9579.6629854946332</c:v>
                </c:pt>
                <c:pt idx="57">
                  <c:v>11232.504815975082</c:v>
                </c:pt>
                <c:pt idx="58">
                  <c:v>8761.8812520925148</c:v>
                </c:pt>
                <c:pt idx="59">
                  <c:v>9750.4847056482558</c:v>
                </c:pt>
                <c:pt idx="60">
                  <c:v>8914.8628067731133</c:v>
                </c:pt>
                <c:pt idx="61">
                  <c:v>10906.340524126193</c:v>
                </c:pt>
                <c:pt idx="62">
                  <c:v>10258.257067650866</c:v>
                </c:pt>
                <c:pt idx="63">
                  <c:v>8841.797884506128</c:v>
                </c:pt>
                <c:pt idx="64">
                  <c:v>11921.562350855902</c:v>
                </c:pt>
                <c:pt idx="65">
                  <c:v>8840.4848038529908</c:v>
                </c:pt>
                <c:pt idx="66">
                  <c:v>10410.791498815461</c:v>
                </c:pt>
                <c:pt idx="67">
                  <c:v>10230.041624005984</c:v>
                </c:pt>
                <c:pt idx="68">
                  <c:v>10903.033811012267</c:v>
                </c:pt>
                <c:pt idx="69">
                  <c:v>11402.142385233299</c:v>
                </c:pt>
                <c:pt idx="70">
                  <c:v>12164.631868342869</c:v>
                </c:pt>
                <c:pt idx="71">
                  <c:v>11386.873399614227</c:v>
                </c:pt>
                <c:pt idx="72">
                  <c:v>11078.803027481217</c:v>
                </c:pt>
                <c:pt idx="73">
                  <c:v>11531.988373220996</c:v>
                </c:pt>
                <c:pt idx="74">
                  <c:v>9496.5820339206912</c:v>
                </c:pt>
                <c:pt idx="75">
                  <c:v>9977.1697580251202</c:v>
                </c:pt>
                <c:pt idx="76">
                  <c:v>8022.6684808500668</c:v>
                </c:pt>
                <c:pt idx="77">
                  <c:v>9109.7231295392758</c:v>
                </c:pt>
                <c:pt idx="78">
                  <c:v>10124.338855370925</c:v>
                </c:pt>
                <c:pt idx="79">
                  <c:v>8880.9796989773804</c:v>
                </c:pt>
                <c:pt idx="80">
                  <c:v>10515.016345666319</c:v>
                </c:pt>
                <c:pt idx="81">
                  <c:v>9605.8574494070235</c:v>
                </c:pt>
                <c:pt idx="82">
                  <c:v>9479.5229697377326</c:v>
                </c:pt>
                <c:pt idx="83">
                  <c:v>11934.252892465811</c:v>
                </c:pt>
                <c:pt idx="84">
                  <c:v>9691.0706890869787</c:v>
                </c:pt>
                <c:pt idx="85">
                  <c:v>10103.622529061164</c:v>
                </c:pt>
                <c:pt idx="86">
                  <c:v>10122.0855136555</c:v>
                </c:pt>
                <c:pt idx="87">
                  <c:v>10208.127492872367</c:v>
                </c:pt>
                <c:pt idx="88">
                  <c:v>8936.6068763086696</c:v>
                </c:pt>
                <c:pt idx="89">
                  <c:v>10378.989522060338</c:v>
                </c:pt>
                <c:pt idx="90">
                  <c:v>11645.158410314631</c:v>
                </c:pt>
                <c:pt idx="91">
                  <c:v>9218.4519647110847</c:v>
                </c:pt>
                <c:pt idx="92">
                  <c:v>10177.535371391919</c:v>
                </c:pt>
                <c:pt idx="93">
                  <c:v>9832.7346892738424</c:v>
                </c:pt>
                <c:pt idx="94">
                  <c:v>7919.2569881158279</c:v>
                </c:pt>
                <c:pt idx="95">
                  <c:v>9753.9345764015234</c:v>
                </c:pt>
                <c:pt idx="96">
                  <c:v>9951.2705025358991</c:v>
                </c:pt>
                <c:pt idx="97">
                  <c:v>8960.9298537332979</c:v>
                </c:pt>
                <c:pt idx="98">
                  <c:v>9743.462168400094</c:v>
                </c:pt>
                <c:pt idx="99">
                  <c:v>10867.276780378892</c:v>
                </c:pt>
                <c:pt idx="100">
                  <c:v>9563.1976584737677</c:v>
                </c:pt>
                <c:pt idx="101">
                  <c:v>11059.481993575127</c:v>
                </c:pt>
                <c:pt idx="102">
                  <c:v>9930.9607301433844</c:v>
                </c:pt>
                <c:pt idx="103">
                  <c:v>9904.9764268654308</c:v>
                </c:pt>
                <c:pt idx="104">
                  <c:v>10395.955798904539</c:v>
                </c:pt>
                <c:pt idx="105">
                  <c:v>11335.536223070563</c:v>
                </c:pt>
                <c:pt idx="106">
                  <c:v>11338.134384537985</c:v>
                </c:pt>
                <c:pt idx="107">
                  <c:v>8660.3255476161121</c:v>
                </c:pt>
                <c:pt idx="108">
                  <c:v>8774.3329497205323</c:v>
                </c:pt>
                <c:pt idx="109">
                  <c:v>10895.716315367979</c:v>
                </c:pt>
                <c:pt idx="110">
                  <c:v>11207.029602399063</c:v>
                </c:pt>
                <c:pt idx="111">
                  <c:v>11669.497231065128</c:v>
                </c:pt>
                <c:pt idx="112">
                  <c:v>11630.370622334392</c:v>
                </c:pt>
                <c:pt idx="113">
                  <c:v>10752.767270906867</c:v>
                </c:pt>
                <c:pt idx="114">
                  <c:v>11307.198509216028</c:v>
                </c:pt>
                <c:pt idx="115">
                  <c:v>8847.0670448227684</c:v>
                </c:pt>
                <c:pt idx="116">
                  <c:v>11784.424477327893</c:v>
                </c:pt>
              </c:numCache>
            </c:numRef>
          </c:val>
          <c:smooth val="0"/>
          <c:extLst>
            <c:ext xmlns:c16="http://schemas.microsoft.com/office/drawing/2014/chart" uri="{C3380CC4-5D6E-409C-BE32-E72D297353CC}">
              <c16:uniqueId val="{00000000-D33A-48A8-B884-E1AAAA0DDA5F}"/>
            </c:ext>
          </c:extLst>
        </c:ser>
        <c:ser>
          <c:idx val="1"/>
          <c:order val="1"/>
          <c:tx>
            <c:v>Deseasonalized Forecast</c:v>
          </c:tx>
          <c:spPr>
            <a:ln>
              <a:solidFill>
                <a:srgbClr val="993366"/>
              </a:solidFill>
              <a:prstDash val="solid"/>
            </a:ln>
          </c:spPr>
          <c:marker>
            <c:symbol val="none"/>
          </c:marker>
          <c:cat>
            <c:strRef>
              <c:f>'Moving Averages Ds(East) a(3)'!$A$146:$A$270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'Moving Averages Ds(East) a(3)'!$E$146:$E$270</c:f>
              <c:numCache>
                <c:formatCode>0.00</c:formatCode>
                <c:ptCount val="125"/>
                <c:pt idx="4">
                  <c:v>9879.4093206174657</c:v>
                </c:pt>
                <c:pt idx="5">
                  <c:v>10710.087943728095</c:v>
                </c:pt>
                <c:pt idx="6">
                  <c:v>10874.052046882667</c:v>
                </c:pt>
                <c:pt idx="7">
                  <c:v>10211.492128698019</c:v>
                </c:pt>
                <c:pt idx="8">
                  <c:v>11467.049021317529</c:v>
                </c:pt>
                <c:pt idx="9">
                  <c:v>11698.631976072495</c:v>
                </c:pt>
                <c:pt idx="10">
                  <c:v>11770.684642986178</c:v>
                </c:pt>
                <c:pt idx="11">
                  <c:v>11845.734791260595</c:v>
                </c:pt>
                <c:pt idx="12">
                  <c:v>10995.230631040349</c:v>
                </c:pt>
                <c:pt idx="13">
                  <c:v>10674.318943602531</c:v>
                </c:pt>
                <c:pt idx="14">
                  <c:v>10463.682227790006</c:v>
                </c:pt>
                <c:pt idx="15">
                  <c:v>10440.080633428355</c:v>
                </c:pt>
                <c:pt idx="16">
                  <c:v>11161.202342629385</c:v>
                </c:pt>
                <c:pt idx="17">
                  <c:v>10980.241723343017</c:v>
                </c:pt>
                <c:pt idx="18">
                  <c:v>11304.974980935211</c:v>
                </c:pt>
                <c:pt idx="19">
                  <c:v>11721.609926405001</c:v>
                </c:pt>
                <c:pt idx="20">
                  <c:v>11091.886563999937</c:v>
                </c:pt>
                <c:pt idx="21">
                  <c:v>11129.508393422795</c:v>
                </c:pt>
                <c:pt idx="22">
                  <c:v>10055.606647665263</c:v>
                </c:pt>
                <c:pt idx="23">
                  <c:v>10234.318049835565</c:v>
                </c:pt>
                <c:pt idx="24">
                  <c:v>10522.117996669453</c:v>
                </c:pt>
                <c:pt idx="25">
                  <c:v>11182.562744906134</c:v>
                </c:pt>
                <c:pt idx="26">
                  <c:v>12255.179366377084</c:v>
                </c:pt>
                <c:pt idx="27">
                  <c:v>11388.320225099891</c:v>
                </c:pt>
                <c:pt idx="28">
                  <c:v>11113.760217898493</c:v>
                </c:pt>
                <c:pt idx="29">
                  <c:v>10332.324391231557</c:v>
                </c:pt>
                <c:pt idx="30">
                  <c:v>10065.110855561759</c:v>
                </c:pt>
                <c:pt idx="31">
                  <c:v>9822.965230548305</c:v>
                </c:pt>
                <c:pt idx="32">
                  <c:v>10011.546940031069</c:v>
                </c:pt>
                <c:pt idx="33">
                  <c:v>9702.5495690051084</c:v>
                </c:pt>
                <c:pt idx="34">
                  <c:v>10019.304207453482</c:v>
                </c:pt>
                <c:pt idx="35">
                  <c:v>10513.22349875397</c:v>
                </c:pt>
                <c:pt idx="36">
                  <c:v>10722.822165131311</c:v>
                </c:pt>
                <c:pt idx="37">
                  <c:v>11259.095633548503</c:v>
                </c:pt>
                <c:pt idx="38">
                  <c:v>10272.853458587424</c:v>
                </c:pt>
                <c:pt idx="39">
                  <c:v>10202.641864294212</c:v>
                </c:pt>
                <c:pt idx="40">
                  <c:v>9837.4189528094321</c:v>
                </c:pt>
                <c:pt idx="41">
                  <c:v>9657.713781364786</c:v>
                </c:pt>
                <c:pt idx="42">
                  <c:v>10466.505030343382</c:v>
                </c:pt>
                <c:pt idx="43">
                  <c:v>10416.676769377671</c:v>
                </c:pt>
                <c:pt idx="44">
                  <c:v>10406.873433243098</c:v>
                </c:pt>
                <c:pt idx="45">
                  <c:v>10387.571972870923</c:v>
                </c:pt>
                <c:pt idx="46">
                  <c:v>9833.6560166680538</c:v>
                </c:pt>
                <c:pt idx="47">
                  <c:v>10066.079371249225</c:v>
                </c:pt>
                <c:pt idx="48">
                  <c:v>9800.8671049082459</c:v>
                </c:pt>
                <c:pt idx="49">
                  <c:v>9791.0002577855867</c:v>
                </c:pt>
                <c:pt idx="50">
                  <c:v>10217.254793175332</c:v>
                </c:pt>
                <c:pt idx="51">
                  <c:v>10744.855243364971</c:v>
                </c:pt>
                <c:pt idx="52">
                  <c:v>10852.784165984218</c:v>
                </c:pt>
                <c:pt idx="53">
                  <c:v>11744.475827763064</c:v>
                </c:pt>
                <c:pt idx="54">
                  <c:v>11392.094189866297</c:v>
                </c:pt>
                <c:pt idx="55">
                  <c:v>10909.260758523285</c:v>
                </c:pt>
                <c:pt idx="56">
                  <c:v>11245.20588998639</c:v>
                </c:pt>
                <c:pt idx="57">
                  <c:v>10216.696768618294</c:v>
                </c:pt>
                <c:pt idx="58">
                  <c:v>10679.836053562374</c:v>
                </c:pt>
                <c:pt idx="59">
                  <c:v>10138.162620672078</c:v>
                </c:pt>
                <c:pt idx="60">
                  <c:v>9831.1334398026211</c:v>
                </c:pt>
                <c:pt idx="61">
                  <c:v>9664.9333951222416</c:v>
                </c:pt>
                <c:pt idx="62">
                  <c:v>9583.3923221600198</c:v>
                </c:pt>
                <c:pt idx="63">
                  <c:v>9957.4862760496071</c:v>
                </c:pt>
                <c:pt idx="64">
                  <c:v>9730.3145707640742</c:v>
                </c:pt>
                <c:pt idx="65">
                  <c:v>10481.989456784771</c:v>
                </c:pt>
                <c:pt idx="66">
                  <c:v>9965.5255267164703</c:v>
                </c:pt>
                <c:pt idx="67">
                  <c:v>10003.659134507619</c:v>
                </c:pt>
                <c:pt idx="68">
                  <c:v>10350.720069382585</c:v>
                </c:pt>
                <c:pt idx="69">
                  <c:v>10096.087934421676</c:v>
                </c:pt>
                <c:pt idx="70">
                  <c:v>10736.502329766754</c:v>
                </c:pt>
                <c:pt idx="71">
                  <c:v>11174.962422148605</c:v>
                </c:pt>
                <c:pt idx="72">
                  <c:v>11464.170366050665</c:v>
                </c:pt>
                <c:pt idx="73">
                  <c:v>11508.112670167904</c:v>
                </c:pt>
                <c:pt idx="74">
                  <c:v>11540.574167164828</c:v>
                </c:pt>
                <c:pt idx="75">
                  <c:v>10873.561708559284</c:v>
                </c:pt>
                <c:pt idx="76">
                  <c:v>10521.135798162006</c:v>
                </c:pt>
                <c:pt idx="77">
                  <c:v>9757.1021615042191</c:v>
                </c:pt>
                <c:pt idx="78">
                  <c:v>9151.5358505837885</c:v>
                </c:pt>
                <c:pt idx="79">
                  <c:v>9308.4750559463464</c:v>
                </c:pt>
                <c:pt idx="80">
                  <c:v>9034.4275411844119</c:v>
                </c:pt>
                <c:pt idx="81">
                  <c:v>9657.514507388476</c:v>
                </c:pt>
                <c:pt idx="82">
                  <c:v>9781.5480873554116</c:v>
                </c:pt>
                <c:pt idx="83">
                  <c:v>9620.3441159471149</c:v>
                </c:pt>
                <c:pt idx="84">
                  <c:v>10383.66241431922</c:v>
                </c:pt>
                <c:pt idx="85">
                  <c:v>10177.676000174386</c:v>
                </c:pt>
                <c:pt idx="86">
                  <c:v>10302.117270087921</c:v>
                </c:pt>
                <c:pt idx="87">
                  <c:v>10462.757906067363</c:v>
                </c:pt>
                <c:pt idx="88">
                  <c:v>10031.226556169002</c:v>
                </c:pt>
                <c:pt idx="89">
                  <c:v>9842.610602974426</c:v>
                </c:pt>
                <c:pt idx="90">
                  <c:v>9911.4523512242195</c:v>
                </c:pt>
                <c:pt idx="91">
                  <c:v>10292.220575389001</c:v>
                </c:pt>
                <c:pt idx="92">
                  <c:v>10044.801693348682</c:v>
                </c:pt>
                <c:pt idx="93">
                  <c:v>10355.033817119493</c:v>
                </c:pt>
                <c:pt idx="94">
                  <c:v>10218.470108922869</c:v>
                </c:pt>
                <c:pt idx="95">
                  <c:v>9286.9947533731684</c:v>
                </c:pt>
                <c:pt idx="96">
                  <c:v>9420.8654062957776</c:v>
                </c:pt>
                <c:pt idx="97">
                  <c:v>9364.2991890817721</c:v>
                </c:pt>
                <c:pt idx="98">
                  <c:v>9146.3479801966369</c:v>
                </c:pt>
                <c:pt idx="99">
                  <c:v>9602.3992752677041</c:v>
                </c:pt>
                <c:pt idx="100">
                  <c:v>9880.7348262620471</c:v>
                </c:pt>
                <c:pt idx="101">
                  <c:v>9783.7166152465124</c:v>
                </c:pt>
                <c:pt idx="102">
                  <c:v>10308.354650206969</c:v>
                </c:pt>
                <c:pt idx="103">
                  <c:v>10355.229290642794</c:v>
                </c:pt>
                <c:pt idx="104">
                  <c:v>10114.654202264428</c:v>
                </c:pt>
                <c:pt idx="105">
                  <c:v>10322.843737372121</c:v>
                </c:pt>
                <c:pt idx="106">
                  <c:v>10391.85729474598</c:v>
                </c:pt>
                <c:pt idx="107">
                  <c:v>10743.65070834463</c:v>
                </c:pt>
                <c:pt idx="108">
                  <c:v>10432.487988532299</c:v>
                </c:pt>
                <c:pt idx="109">
                  <c:v>10027.082276236299</c:v>
                </c:pt>
                <c:pt idx="110">
                  <c:v>9917.1272993106522</c:v>
                </c:pt>
                <c:pt idx="111">
                  <c:v>9884.3511037759217</c:v>
                </c:pt>
                <c:pt idx="112">
                  <c:v>10636.644024638175</c:v>
                </c:pt>
                <c:pt idx="113">
                  <c:v>11350.653442791641</c:v>
                </c:pt>
                <c:pt idx="114">
                  <c:v>11314.916181676363</c:v>
                </c:pt>
                <c:pt idx="115">
                  <c:v>11339.958408380604</c:v>
                </c:pt>
                <c:pt idx="116">
                  <c:v>10634.350861820014</c:v>
                </c:pt>
                <c:pt idx="117">
                  <c:v>10672.864325568389</c:v>
                </c:pt>
                <c:pt idx="118">
                  <c:v>10652.888589233771</c:v>
                </c:pt>
                <c:pt idx="119">
                  <c:v>10489.311109238206</c:v>
                </c:pt>
                <c:pt idx="120">
                  <c:v>10899.872125342066</c:v>
                </c:pt>
                <c:pt idx="121">
                  <c:v>10678.734037345608</c:v>
                </c:pt>
                <c:pt idx="122">
                  <c:v>10680.201465289912</c:v>
                </c:pt>
                <c:pt idx="123">
                  <c:v>10687.029684303947</c:v>
                </c:pt>
                <c:pt idx="124">
                  <c:v>10736.459328070385</c:v>
                </c:pt>
              </c:numCache>
            </c:numRef>
          </c:val>
          <c:smooth val="0"/>
          <c:extLst>
            <c:ext xmlns:c16="http://schemas.microsoft.com/office/drawing/2014/chart" uri="{C3380CC4-5D6E-409C-BE32-E72D297353CC}">
              <c16:uniqueId val="{00000001-D33A-48A8-B884-E1AAAA0DDA5F}"/>
            </c:ext>
          </c:extLst>
        </c:ser>
        <c:dLbls>
          <c:showLegendKey val="0"/>
          <c:showVal val="0"/>
          <c:showCatName val="0"/>
          <c:showSerName val="0"/>
          <c:showPercent val="0"/>
          <c:showBubbleSize val="0"/>
        </c:dLbls>
        <c:smooth val="0"/>
        <c:axId val="562928319"/>
        <c:axId val="562928799"/>
      </c:lineChart>
      <c:catAx>
        <c:axId val="562928319"/>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562928799"/>
        <c:crosses val="autoZero"/>
        <c:auto val="1"/>
        <c:lblAlgn val="ctr"/>
        <c:lblOffset val="100"/>
        <c:noMultiLvlLbl val="0"/>
      </c:catAx>
      <c:valAx>
        <c:axId val="562928799"/>
        <c:scaling>
          <c:orientation val="minMax"/>
        </c:scaling>
        <c:delete val="0"/>
        <c:axPos val="l"/>
        <c:numFmt formatCode="0.00" sourceLinked="0"/>
        <c:majorTickMark val="out"/>
        <c:minorTickMark val="none"/>
        <c:tickLblPos val="nextTo"/>
        <c:txPr>
          <a:bodyPr/>
          <a:lstStyle/>
          <a:p>
            <a:pPr>
              <a:defRPr sz="800" b="0"/>
            </a:pPr>
            <a:endParaRPr lang="en-US"/>
          </a:p>
        </c:txPr>
        <c:crossAx val="562928319"/>
        <c:crosses val="autoZero"/>
        <c:crossBetween val="between"/>
      </c:valAx>
    </c:plotArea>
    <c:legend>
      <c:legendPos val="r"/>
      <c:layout>
        <c:manualLayout>
          <c:xMode val="edge"/>
          <c:yMode val="edge"/>
          <c:x val="0.80825116716605117"/>
          <c:y val="0.54207842519685034"/>
          <c:w val="0.19174883283394886"/>
          <c:h val="0.25266330708661416"/>
        </c:manualLayout>
      </c:layout>
      <c:overlay val="0"/>
      <c:spPr>
        <a:ln>
          <a:solidFill>
            <a:srgbClr val="000000"/>
          </a:solidFill>
          <a:prstDash val="solid"/>
        </a:ln>
      </c:sp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Deseasonalized Forecast and Original Observations</a:t>
            </a:r>
          </a:p>
        </c:rich>
      </c:tx>
      <c:overlay val="0"/>
    </c:title>
    <c:autoTitleDeleted val="0"/>
    <c:plotArea>
      <c:layout/>
      <c:lineChart>
        <c:grouping val="standard"/>
        <c:varyColors val="0"/>
        <c:ser>
          <c:idx val="0"/>
          <c:order val="0"/>
          <c:tx>
            <c:v>West</c:v>
          </c:tx>
          <c:spPr>
            <a:ln>
              <a:solidFill>
                <a:srgbClr val="333399"/>
              </a:solidFill>
              <a:prstDash val="solid"/>
            </a:ln>
          </c:spPr>
          <c:marker>
            <c:symbol val="none"/>
          </c:marker>
          <c:cat>
            <c:strRef>
              <c:f>'Holt''s Expo. DS(West)'!$A$147:$A$271</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'Holt''s Expo. DS(West)'!$D$147:$D$271</c:f>
              <c:numCache>
                <c:formatCode>0.00</c:formatCode>
                <c:ptCount val="125"/>
                <c:pt idx="0">
                  <c:v>10247.558620448146</c:v>
                </c:pt>
                <c:pt idx="1">
                  <c:v>7849.0159715704067</c:v>
                </c:pt>
                <c:pt idx="2">
                  <c:v>9407.5374884790526</c:v>
                </c:pt>
                <c:pt idx="3">
                  <c:v>8979.8009216662467</c:v>
                </c:pt>
                <c:pt idx="4">
                  <c:v>8279.7542886568372</c:v>
                </c:pt>
                <c:pt idx="5">
                  <c:v>9489.4786907369908</c:v>
                </c:pt>
                <c:pt idx="6">
                  <c:v>9015.7762283098291</c:v>
                </c:pt>
                <c:pt idx="7">
                  <c:v>10339.514272366137</c:v>
                </c:pt>
                <c:pt idx="8">
                  <c:v>9130.4788899256546</c:v>
                </c:pt>
                <c:pt idx="9">
                  <c:v>7811.3826316248669</c:v>
                </c:pt>
                <c:pt idx="10">
                  <c:v>7935.2176679185795</c:v>
                </c:pt>
                <c:pt idx="11">
                  <c:v>8938.0159497895384</c:v>
                </c:pt>
                <c:pt idx="12">
                  <c:v>9052.5958807780535</c:v>
                </c:pt>
                <c:pt idx="13">
                  <c:v>8380.344707906901</c:v>
                </c:pt>
                <c:pt idx="14">
                  <c:v>8093.7166038995247</c:v>
                </c:pt>
                <c:pt idx="15">
                  <c:v>8860.1118736839071</c:v>
                </c:pt>
                <c:pt idx="16">
                  <c:v>8597.9386734737218</c:v>
                </c:pt>
                <c:pt idx="17">
                  <c:v>8115.7830101510126</c:v>
                </c:pt>
                <c:pt idx="18">
                  <c:v>9100.1252150137316</c:v>
                </c:pt>
                <c:pt idx="19">
                  <c:v>10232.876652418037</c:v>
                </c:pt>
                <c:pt idx="20">
                  <c:v>9175.9974063856953</c:v>
                </c:pt>
                <c:pt idx="21">
                  <c:v>9705.5891867515093</c:v>
                </c:pt>
                <c:pt idx="22">
                  <c:v>8192.3774997492746</c:v>
                </c:pt>
                <c:pt idx="23">
                  <c:v>8444.6522160573732</c:v>
                </c:pt>
                <c:pt idx="24">
                  <c:v>8923.3089457087044</c:v>
                </c:pt>
                <c:pt idx="25">
                  <c:v>8832.6135885084259</c:v>
                </c:pt>
                <c:pt idx="26">
                  <c:v>9212.3603621620605</c:v>
                </c:pt>
                <c:pt idx="27">
                  <c:v>9025.5949921986194</c:v>
                </c:pt>
                <c:pt idx="28">
                  <c:v>7338.1273748393733</c:v>
                </c:pt>
                <c:pt idx="29">
                  <c:v>8898.1160774021282</c:v>
                </c:pt>
                <c:pt idx="30">
                  <c:v>9281.8668461592515</c:v>
                </c:pt>
                <c:pt idx="31">
                  <c:v>8783.2985991398073</c:v>
                </c:pt>
                <c:pt idx="32">
                  <c:v>8643.1630078240505</c:v>
                </c:pt>
                <c:pt idx="33">
                  <c:v>9223.393536803138</c:v>
                </c:pt>
                <c:pt idx="34">
                  <c:v>8678.1238487628088</c:v>
                </c:pt>
                <c:pt idx="35">
                  <c:v>9264.3950351815856</c:v>
                </c:pt>
                <c:pt idx="36">
                  <c:v>9409.0763619401405</c:v>
                </c:pt>
                <c:pt idx="37">
                  <c:v>8752.3910878361767</c:v>
                </c:pt>
                <c:pt idx="38">
                  <c:v>9251.3957874254593</c:v>
                </c:pt>
                <c:pt idx="39">
                  <c:v>8265.8297310933394</c:v>
                </c:pt>
                <c:pt idx="40">
                  <c:v>9631.0435979260383</c:v>
                </c:pt>
                <c:pt idx="41">
                  <c:v>9423.054185026991</c:v>
                </c:pt>
                <c:pt idx="42">
                  <c:v>9608.8278667846862</c:v>
                </c:pt>
                <c:pt idx="43">
                  <c:v>8947.1564054015198</c:v>
                </c:pt>
                <c:pt idx="44">
                  <c:v>7381.1398259711796</c:v>
                </c:pt>
                <c:pt idx="45">
                  <c:v>8929.9644009818439</c:v>
                </c:pt>
                <c:pt idx="46">
                  <c:v>10560.901188951822</c:v>
                </c:pt>
                <c:pt idx="47">
                  <c:v>8607.299600804241</c:v>
                </c:pt>
                <c:pt idx="48">
                  <c:v>8117.4622242084961</c:v>
                </c:pt>
                <c:pt idx="49">
                  <c:v>9111.6483734553822</c:v>
                </c:pt>
                <c:pt idx="50">
                  <c:v>9284.8547233655154</c:v>
                </c:pt>
                <c:pt idx="51">
                  <c:v>8879.8865859592515</c:v>
                </c:pt>
                <c:pt idx="52">
                  <c:v>9730.4762181813148</c:v>
                </c:pt>
                <c:pt idx="53">
                  <c:v>8756.9640027683763</c:v>
                </c:pt>
                <c:pt idx="54">
                  <c:v>8942.7317449786151</c:v>
                </c:pt>
                <c:pt idx="55">
                  <c:v>8328.1380261906015</c:v>
                </c:pt>
                <c:pt idx="56">
                  <c:v>8958.2225433219755</c:v>
                </c:pt>
                <c:pt idx="57">
                  <c:v>9539.2503772731961</c:v>
                </c:pt>
                <c:pt idx="58">
                  <c:v>8760.7823661369603</c:v>
                </c:pt>
                <c:pt idx="59">
                  <c:v>10901.712041633387</c:v>
                </c:pt>
                <c:pt idx="60">
                  <c:v>9440.4566859860988</c:v>
                </c:pt>
                <c:pt idx="61">
                  <c:v>8245.4778951825392</c:v>
                </c:pt>
                <c:pt idx="62">
                  <c:v>9584.8698489613489</c:v>
                </c:pt>
                <c:pt idx="63">
                  <c:v>8735.2189540501622</c:v>
                </c:pt>
                <c:pt idx="64">
                  <c:v>8889.2762508216802</c:v>
                </c:pt>
                <c:pt idx="65">
                  <c:v>8958.0826450569893</c:v>
                </c:pt>
                <c:pt idx="66">
                  <c:v>8167.0688981757257</c:v>
                </c:pt>
                <c:pt idx="67">
                  <c:v>9656.3399266823781</c:v>
                </c:pt>
                <c:pt idx="68">
                  <c:v>9517.8325398012894</c:v>
                </c:pt>
                <c:pt idx="69">
                  <c:v>9046.775362694143</c:v>
                </c:pt>
                <c:pt idx="70">
                  <c:v>8876.0961002515178</c:v>
                </c:pt>
                <c:pt idx="71">
                  <c:v>9304.5147234191463</c:v>
                </c:pt>
                <c:pt idx="72">
                  <c:v>7920.3937891998776</c:v>
                </c:pt>
                <c:pt idx="73">
                  <c:v>8553.5788035614696</c:v>
                </c:pt>
                <c:pt idx="74">
                  <c:v>9316.0830635762341</c:v>
                </c:pt>
                <c:pt idx="75">
                  <c:v>8630.1007466917617</c:v>
                </c:pt>
                <c:pt idx="76">
                  <c:v>9026.4932667739613</c:v>
                </c:pt>
                <c:pt idx="77">
                  <c:v>9551.290383550464</c:v>
                </c:pt>
                <c:pt idx="78">
                  <c:v>8024.4582402433552</c:v>
                </c:pt>
                <c:pt idx="79">
                  <c:v>8166.8811374885972</c:v>
                </c:pt>
                <c:pt idx="80">
                  <c:v>9492.8419817447957</c:v>
                </c:pt>
                <c:pt idx="81">
                  <c:v>9300.9560153801049</c:v>
                </c:pt>
                <c:pt idx="82">
                  <c:v>9364.903875834465</c:v>
                </c:pt>
                <c:pt idx="83">
                  <c:v>7798.399940663151</c:v>
                </c:pt>
                <c:pt idx="84">
                  <c:v>8314.5306592171146</c:v>
                </c:pt>
                <c:pt idx="85">
                  <c:v>10561.466610242273</c:v>
                </c:pt>
                <c:pt idx="86">
                  <c:v>8666.9797063391488</c:v>
                </c:pt>
                <c:pt idx="87">
                  <c:v>9783.2787046433368</c:v>
                </c:pt>
                <c:pt idx="88">
                  <c:v>9141.8351062700804</c:v>
                </c:pt>
                <c:pt idx="89">
                  <c:v>9227.4709182142124</c:v>
                </c:pt>
                <c:pt idx="90">
                  <c:v>9163.6043493372872</c:v>
                </c:pt>
                <c:pt idx="91">
                  <c:v>7557.3994559966141</c:v>
                </c:pt>
                <c:pt idx="92">
                  <c:v>9881.0881515510191</c:v>
                </c:pt>
                <c:pt idx="93">
                  <c:v>8822.4983162065291</c:v>
                </c:pt>
                <c:pt idx="94">
                  <c:v>8723.024771780867</c:v>
                </c:pt>
                <c:pt idx="95">
                  <c:v>9288.2499849444594</c:v>
                </c:pt>
                <c:pt idx="96">
                  <c:v>9886.0572874387053</c:v>
                </c:pt>
                <c:pt idx="97">
                  <c:v>8759.3669574598498</c:v>
                </c:pt>
                <c:pt idx="98">
                  <c:v>7946.4972857632783</c:v>
                </c:pt>
                <c:pt idx="99">
                  <c:v>9099.4899696485845</c:v>
                </c:pt>
                <c:pt idx="100">
                  <c:v>9018.5386571535382</c:v>
                </c:pt>
                <c:pt idx="101">
                  <c:v>8424.8414742183759</c:v>
                </c:pt>
                <c:pt idx="102">
                  <c:v>8901.8616174004364</c:v>
                </c:pt>
                <c:pt idx="103">
                  <c:v>8161.679302369178</c:v>
                </c:pt>
                <c:pt idx="104">
                  <c:v>8062.1325330106001</c:v>
                </c:pt>
                <c:pt idx="105">
                  <c:v>7826.3344347240409</c:v>
                </c:pt>
                <c:pt idx="106">
                  <c:v>9088.3550090641547</c:v>
                </c:pt>
                <c:pt idx="107">
                  <c:v>7722.4978277812797</c:v>
                </c:pt>
                <c:pt idx="108">
                  <c:v>9028.7468345031248</c:v>
                </c:pt>
                <c:pt idx="109">
                  <c:v>8858.1917771285625</c:v>
                </c:pt>
                <c:pt idx="110">
                  <c:v>8691.516259361857</c:v>
                </c:pt>
                <c:pt idx="111">
                  <c:v>7737.1163713104861</c:v>
                </c:pt>
                <c:pt idx="112">
                  <c:v>10240.565560090881</c:v>
                </c:pt>
                <c:pt idx="113">
                  <c:v>8378.7133452530979</c:v>
                </c:pt>
                <c:pt idx="114">
                  <c:v>8526.204274554193</c:v>
                </c:pt>
                <c:pt idx="115">
                  <c:v>9087.6059536258472</c:v>
                </c:pt>
                <c:pt idx="116">
                  <c:v>9690.9814063355589</c:v>
                </c:pt>
              </c:numCache>
            </c:numRef>
          </c:val>
          <c:smooth val="0"/>
          <c:extLst>
            <c:ext xmlns:c16="http://schemas.microsoft.com/office/drawing/2014/chart" uri="{C3380CC4-5D6E-409C-BE32-E72D297353CC}">
              <c16:uniqueId val="{00000000-73DA-4B3A-B358-50C00ED63EE0}"/>
            </c:ext>
          </c:extLst>
        </c:ser>
        <c:ser>
          <c:idx val="1"/>
          <c:order val="1"/>
          <c:tx>
            <c:v>Deseasonalized Forecast</c:v>
          </c:tx>
          <c:spPr>
            <a:ln>
              <a:solidFill>
                <a:srgbClr val="993366"/>
              </a:solidFill>
              <a:prstDash val="solid"/>
            </a:ln>
          </c:spPr>
          <c:marker>
            <c:symbol val="none"/>
          </c:marker>
          <c:cat>
            <c:strRef>
              <c:f>'Holt''s Expo. DS(West)'!$A$147:$A$271</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'Holt''s Expo. DS(West)'!$G$147:$G$271</c:f>
              <c:numCache>
                <c:formatCode>0.00</c:formatCode>
                <c:ptCount val="125"/>
                <c:pt idx="1">
                  <c:v>10242.801550242055</c:v>
                </c:pt>
                <c:pt idx="2">
                  <c:v>9903.8121686139348</c:v>
                </c:pt>
                <c:pt idx="3">
                  <c:v>9829.7627461940101</c:v>
                </c:pt>
                <c:pt idx="4">
                  <c:v>9706.3297562382286</c:v>
                </c:pt>
                <c:pt idx="5">
                  <c:v>9502.3870863710854</c:v>
                </c:pt>
                <c:pt idx="6">
                  <c:v>9495.8276814245837</c:v>
                </c:pt>
                <c:pt idx="7">
                  <c:v>9424.0434270773439</c:v>
                </c:pt>
                <c:pt idx="8">
                  <c:v>9547.1089736447011</c:v>
                </c:pt>
                <c:pt idx="9">
                  <c:v>9484.1799279993375</c:v>
                </c:pt>
                <c:pt idx="10">
                  <c:v>9245.8585352869613</c:v>
                </c:pt>
                <c:pt idx="11">
                  <c:v>9058.1032339745598</c:v>
                </c:pt>
                <c:pt idx="12">
                  <c:v>9036.5789767141359</c:v>
                </c:pt>
                <c:pt idx="13">
                  <c:v>9034.0582667379695</c:v>
                </c:pt>
                <c:pt idx="14">
                  <c:v>8938.0264408800904</c:v>
                </c:pt>
                <c:pt idx="15">
                  <c:v>8815.3826096855882</c:v>
                </c:pt>
                <c:pt idx="16">
                  <c:v>8816.8708629652629</c:v>
                </c:pt>
                <c:pt idx="17">
                  <c:v>8781.5453858014153</c:v>
                </c:pt>
                <c:pt idx="18">
                  <c:v>8683.8312438951361</c:v>
                </c:pt>
                <c:pt idx="19">
                  <c:v>8737.1992194064787</c:v>
                </c:pt>
                <c:pt idx="20">
                  <c:v>8941.2761107846272</c:v>
                </c:pt>
                <c:pt idx="21">
                  <c:v>8969.2920014768351</c:v>
                </c:pt>
                <c:pt idx="22">
                  <c:v>9067.3404257647198</c:v>
                </c:pt>
                <c:pt idx="23">
                  <c:v>8940.4166570137222</c:v>
                </c:pt>
                <c:pt idx="24">
                  <c:v>8866.438476739102</c:v>
                </c:pt>
                <c:pt idx="25">
                  <c:v>8869.6219457628922</c:v>
                </c:pt>
                <c:pt idx="26">
                  <c:v>8859.6975836751462</c:v>
                </c:pt>
                <c:pt idx="27">
                  <c:v>8904.1810539152902</c:v>
                </c:pt>
                <c:pt idx="28">
                  <c:v>8916.3764048420089</c:v>
                </c:pt>
                <c:pt idx="29">
                  <c:v>8691.2563138217993</c:v>
                </c:pt>
                <c:pt idx="30">
                  <c:v>8715.3820381056121</c:v>
                </c:pt>
                <c:pt idx="31">
                  <c:v>8789.7204092240099</c:v>
                </c:pt>
                <c:pt idx="32">
                  <c:v>8784.0666937849128</c:v>
                </c:pt>
                <c:pt idx="33">
                  <c:v>8759.635946426537</c:v>
                </c:pt>
                <c:pt idx="34">
                  <c:v>8819.6310297767777</c:v>
                </c:pt>
                <c:pt idx="35">
                  <c:v>8795.11601942161</c:v>
                </c:pt>
                <c:pt idx="36">
                  <c:v>8855.8820317910049</c:v>
                </c:pt>
                <c:pt idx="37">
                  <c:v>8928.3647199319857</c:v>
                </c:pt>
                <c:pt idx="38">
                  <c:v>8899.0373313445161</c:v>
                </c:pt>
                <c:pt idx="39">
                  <c:v>8943.4783105687275</c:v>
                </c:pt>
                <c:pt idx="40">
                  <c:v>8844.1045574533855</c:v>
                </c:pt>
                <c:pt idx="41">
                  <c:v>8949.2238507732873</c:v>
                </c:pt>
                <c:pt idx="42">
                  <c:v>9010.6253409873698</c:v>
                </c:pt>
                <c:pt idx="43">
                  <c:v>9089.3922984457295</c:v>
                </c:pt>
                <c:pt idx="44">
                  <c:v>9064.7755416733398</c:v>
                </c:pt>
                <c:pt idx="45">
                  <c:v>8824.940834662335</c:v>
                </c:pt>
                <c:pt idx="46">
                  <c:v>8834.8476799036052</c:v>
                </c:pt>
                <c:pt idx="47">
                  <c:v>9071.0908308983708</c:v>
                </c:pt>
                <c:pt idx="48">
                  <c:v>9001.5769101903861</c:v>
                </c:pt>
                <c:pt idx="49">
                  <c:v>8873.3753269540739</c:v>
                </c:pt>
                <c:pt idx="50">
                  <c:v>8901.887130865729</c:v>
                </c:pt>
                <c:pt idx="51">
                  <c:v>8950.6019107624215</c:v>
                </c:pt>
                <c:pt idx="52">
                  <c:v>8935.9712133306875</c:v>
                </c:pt>
                <c:pt idx="53">
                  <c:v>9042.1469044268651</c:v>
                </c:pt>
                <c:pt idx="54">
                  <c:v>8997.5711715767065</c:v>
                </c:pt>
                <c:pt idx="55">
                  <c:v>8985.1571464318567</c:v>
                </c:pt>
                <c:pt idx="56">
                  <c:v>8888.6637815620797</c:v>
                </c:pt>
                <c:pt idx="57">
                  <c:v>8893.6188534667144</c:v>
                </c:pt>
                <c:pt idx="58">
                  <c:v>8979.0080847721038</c:v>
                </c:pt>
                <c:pt idx="59">
                  <c:v>8943.781248601581</c:v>
                </c:pt>
                <c:pt idx="60">
                  <c:v>9212.4002653725547</c:v>
                </c:pt>
                <c:pt idx="61">
                  <c:v>9239.4855728946295</c:v>
                </c:pt>
                <c:pt idx="62">
                  <c:v>9095.9401806879869</c:v>
                </c:pt>
                <c:pt idx="63">
                  <c:v>9159.4499154145633</c:v>
                </c:pt>
                <c:pt idx="64">
                  <c:v>9095.4595972279676</c:v>
                </c:pt>
                <c:pt idx="65">
                  <c:v>9061.9141772798994</c:v>
                </c:pt>
                <c:pt idx="66">
                  <c:v>9042.6596293871844</c:v>
                </c:pt>
                <c:pt idx="67">
                  <c:v>8915.6482033356933</c:v>
                </c:pt>
                <c:pt idx="68">
                  <c:v>9014.3102150018822</c:v>
                </c:pt>
                <c:pt idx="69">
                  <c:v>9079.8574493959077</c:v>
                </c:pt>
                <c:pt idx="70">
                  <c:v>9070.4812928340834</c:v>
                </c:pt>
                <c:pt idx="71">
                  <c:v>9038.5831901136517</c:v>
                </c:pt>
                <c:pt idx="72">
                  <c:v>9070.9568102453395</c:v>
                </c:pt>
                <c:pt idx="73">
                  <c:v>8905.5523782257751</c:v>
                </c:pt>
                <c:pt idx="74">
                  <c:v>8851.6509976571797</c:v>
                </c:pt>
                <c:pt idx="75">
                  <c:v>8911.7402546550366</c:v>
                </c:pt>
                <c:pt idx="76">
                  <c:v>8867.6592681495731</c:v>
                </c:pt>
                <c:pt idx="77">
                  <c:v>8885.0793950014122</c:v>
                </c:pt>
                <c:pt idx="78">
                  <c:v>8973.342034071482</c:v>
                </c:pt>
                <c:pt idx="79">
                  <c:v>8836.097064152138</c:v>
                </c:pt>
                <c:pt idx="80">
                  <c:v>8737.9007201856493</c:v>
                </c:pt>
                <c:pt idx="81">
                  <c:v>8838.5523236247536</c:v>
                </c:pt>
                <c:pt idx="82">
                  <c:v>8898.3583688800045</c:v>
                </c:pt>
                <c:pt idx="83">
                  <c:v>8958.7427150824296</c:v>
                </c:pt>
                <c:pt idx="84">
                  <c:v>8791.9727849980463</c:v>
                </c:pt>
                <c:pt idx="85">
                  <c:v>8720.552857979792</c:v>
                </c:pt>
                <c:pt idx="86">
                  <c:v>8972.833370433349</c:v>
                </c:pt>
                <c:pt idx="87">
                  <c:v>8925.3714823781047</c:v>
                </c:pt>
                <c:pt idx="88">
                  <c:v>9040.3997080807967</c:v>
                </c:pt>
                <c:pt idx="89">
                  <c:v>9049.8055553468839</c:v>
                </c:pt>
                <c:pt idx="90">
                  <c:v>9069.8550114311438</c:v>
                </c:pt>
                <c:pt idx="91">
                  <c:v>9078.1876925301985</c:v>
                </c:pt>
                <c:pt idx="92">
                  <c:v>8861.0905647981053</c:v>
                </c:pt>
                <c:pt idx="93">
                  <c:v>8998.7506576423893</c:v>
                </c:pt>
                <c:pt idx="94">
                  <c:v>8969.3843542633167</c:v>
                </c:pt>
                <c:pt idx="95">
                  <c:v>8930.2293273531141</c:v>
                </c:pt>
                <c:pt idx="96">
                  <c:v>8975.4608914632154</c:v>
                </c:pt>
                <c:pt idx="97">
                  <c:v>9097.845843045201</c:v>
                </c:pt>
                <c:pt idx="98">
                  <c:v>9045.8286584392554</c:v>
                </c:pt>
                <c:pt idx="99">
                  <c:v>8887.5774453232807</c:v>
                </c:pt>
                <c:pt idx="100">
                  <c:v>8912.4086613261097</c:v>
                </c:pt>
                <c:pt idx="101">
                  <c:v>8922.4699917874223</c:v>
                </c:pt>
                <c:pt idx="102">
                  <c:v>8848.2315398157516</c:v>
                </c:pt>
                <c:pt idx="103">
                  <c:v>8850.9625691924211</c:v>
                </c:pt>
                <c:pt idx="104">
                  <c:v>8749.9643228561345</c:v>
                </c:pt>
                <c:pt idx="105">
                  <c:v>8649.1687389928611</c:v>
                </c:pt>
                <c:pt idx="106">
                  <c:v>8529.5234290532353</c:v>
                </c:pt>
                <c:pt idx="107">
                  <c:v>8602.7932182061686</c:v>
                </c:pt>
                <c:pt idx="108">
                  <c:v>8475.1249041120027</c:v>
                </c:pt>
                <c:pt idx="109">
                  <c:v>8547.6672959367716</c:v>
                </c:pt>
                <c:pt idx="110">
                  <c:v>8586.2672064170838</c:v>
                </c:pt>
                <c:pt idx="111">
                  <c:v>8596.2055352284078</c:v>
                </c:pt>
                <c:pt idx="112">
                  <c:v>8471.4981405102772</c:v>
                </c:pt>
                <c:pt idx="113">
                  <c:v>8713.7471087631275</c:v>
                </c:pt>
                <c:pt idx="114">
                  <c:v>8662.210949326949</c:v>
                </c:pt>
                <c:pt idx="115">
                  <c:v>8638.463947155713</c:v>
                </c:pt>
                <c:pt idx="116">
                  <c:v>8696.4183296030151</c:v>
                </c:pt>
                <c:pt idx="117">
                  <c:v>8830.5271289857064</c:v>
                </c:pt>
                <c:pt idx="118">
                  <c:v>8825.7700587796171</c:v>
                </c:pt>
                <c:pt idx="119">
                  <c:v>8821.0129885735259</c:v>
                </c:pt>
                <c:pt idx="120">
                  <c:v>8816.2559183674348</c:v>
                </c:pt>
                <c:pt idx="121">
                  <c:v>8811.4988481613454</c:v>
                </c:pt>
                <c:pt idx="122">
                  <c:v>8806.7417779552543</c:v>
                </c:pt>
                <c:pt idx="123">
                  <c:v>8801.984707749165</c:v>
                </c:pt>
                <c:pt idx="124">
                  <c:v>8797.2276375430738</c:v>
                </c:pt>
              </c:numCache>
            </c:numRef>
          </c:val>
          <c:smooth val="0"/>
          <c:extLst>
            <c:ext xmlns:c16="http://schemas.microsoft.com/office/drawing/2014/chart" uri="{C3380CC4-5D6E-409C-BE32-E72D297353CC}">
              <c16:uniqueId val="{00000001-73DA-4B3A-B358-50C00ED63EE0}"/>
            </c:ext>
          </c:extLst>
        </c:ser>
        <c:dLbls>
          <c:showLegendKey val="0"/>
          <c:showVal val="0"/>
          <c:showCatName val="0"/>
          <c:showSerName val="0"/>
          <c:showPercent val="0"/>
          <c:showBubbleSize val="0"/>
        </c:dLbls>
        <c:smooth val="0"/>
        <c:axId val="82721743"/>
        <c:axId val="235493503"/>
      </c:lineChart>
      <c:catAx>
        <c:axId val="82721743"/>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235493503"/>
        <c:crosses val="autoZero"/>
        <c:auto val="1"/>
        <c:lblAlgn val="ctr"/>
        <c:lblOffset val="100"/>
        <c:noMultiLvlLbl val="0"/>
      </c:catAx>
      <c:valAx>
        <c:axId val="235493503"/>
        <c:scaling>
          <c:orientation val="minMax"/>
        </c:scaling>
        <c:delete val="0"/>
        <c:axPos val="l"/>
        <c:numFmt formatCode="0.00" sourceLinked="0"/>
        <c:majorTickMark val="out"/>
        <c:minorTickMark val="none"/>
        <c:tickLblPos val="nextTo"/>
        <c:txPr>
          <a:bodyPr/>
          <a:lstStyle/>
          <a:p>
            <a:pPr>
              <a:defRPr sz="800" b="0"/>
            </a:pPr>
            <a:endParaRPr lang="en-US"/>
          </a:p>
        </c:txPr>
        <c:crossAx val="82721743"/>
        <c:crosses val="autoZero"/>
        <c:crossBetween val="between"/>
      </c:valAx>
    </c:plotArea>
    <c:legend>
      <c:legendPos val="r"/>
      <c:overlay val="0"/>
      <c:spPr>
        <a:ln>
          <a:solidFill>
            <a:srgbClr val="000000"/>
          </a:solidFill>
          <a:prstDash val="solid"/>
        </a:ln>
      </c:sp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Deseasonalized Observations</a:t>
            </a:r>
          </a:p>
        </c:rich>
      </c:tx>
      <c:overlay val="0"/>
    </c:title>
    <c:autoTitleDeleted val="0"/>
    <c:plotArea>
      <c:layout/>
      <c:lineChart>
        <c:grouping val="standard"/>
        <c:varyColors val="0"/>
        <c:ser>
          <c:idx val="0"/>
          <c:order val="0"/>
          <c:tx>
            <c:v>West</c:v>
          </c:tx>
          <c:spPr>
            <a:ln>
              <a:solidFill>
                <a:srgbClr val="333399"/>
              </a:solidFill>
              <a:prstDash val="solid"/>
            </a:ln>
          </c:spPr>
          <c:marker>
            <c:symbol val="none"/>
          </c:marker>
          <c:cat>
            <c:strRef>
              <c:f>'Holt''s Expo. DS(West)'!$A$147:$A$271</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'Holt''s Expo. DS(West)'!$D$147:$D$271</c:f>
              <c:numCache>
                <c:formatCode>0.00</c:formatCode>
                <c:ptCount val="125"/>
                <c:pt idx="0">
                  <c:v>10247.558620448146</c:v>
                </c:pt>
                <c:pt idx="1">
                  <c:v>7849.0159715704067</c:v>
                </c:pt>
                <c:pt idx="2">
                  <c:v>9407.5374884790526</c:v>
                </c:pt>
                <c:pt idx="3">
                  <c:v>8979.8009216662467</c:v>
                </c:pt>
                <c:pt idx="4">
                  <c:v>8279.7542886568372</c:v>
                </c:pt>
                <c:pt idx="5">
                  <c:v>9489.4786907369908</c:v>
                </c:pt>
                <c:pt idx="6">
                  <c:v>9015.7762283098291</c:v>
                </c:pt>
                <c:pt idx="7">
                  <c:v>10339.514272366137</c:v>
                </c:pt>
                <c:pt idx="8">
                  <c:v>9130.4788899256546</c:v>
                </c:pt>
                <c:pt idx="9">
                  <c:v>7811.3826316248669</c:v>
                </c:pt>
                <c:pt idx="10">
                  <c:v>7935.2176679185795</c:v>
                </c:pt>
                <c:pt idx="11">
                  <c:v>8938.0159497895384</c:v>
                </c:pt>
                <c:pt idx="12">
                  <c:v>9052.5958807780535</c:v>
                </c:pt>
                <c:pt idx="13">
                  <c:v>8380.344707906901</c:v>
                </c:pt>
                <c:pt idx="14">
                  <c:v>8093.7166038995247</c:v>
                </c:pt>
                <c:pt idx="15">
                  <c:v>8860.1118736839071</c:v>
                </c:pt>
                <c:pt idx="16">
                  <c:v>8597.9386734737218</c:v>
                </c:pt>
                <c:pt idx="17">
                  <c:v>8115.7830101510126</c:v>
                </c:pt>
                <c:pt idx="18">
                  <c:v>9100.1252150137316</c:v>
                </c:pt>
                <c:pt idx="19">
                  <c:v>10232.876652418037</c:v>
                </c:pt>
                <c:pt idx="20">
                  <c:v>9175.9974063856953</c:v>
                </c:pt>
                <c:pt idx="21">
                  <c:v>9705.5891867515093</c:v>
                </c:pt>
                <c:pt idx="22">
                  <c:v>8192.3774997492746</c:v>
                </c:pt>
                <c:pt idx="23">
                  <c:v>8444.6522160573732</c:v>
                </c:pt>
                <c:pt idx="24">
                  <c:v>8923.3089457087044</c:v>
                </c:pt>
                <c:pt idx="25">
                  <c:v>8832.6135885084259</c:v>
                </c:pt>
                <c:pt idx="26">
                  <c:v>9212.3603621620605</c:v>
                </c:pt>
                <c:pt idx="27">
                  <c:v>9025.5949921986194</c:v>
                </c:pt>
                <c:pt idx="28">
                  <c:v>7338.1273748393733</c:v>
                </c:pt>
                <c:pt idx="29">
                  <c:v>8898.1160774021282</c:v>
                </c:pt>
                <c:pt idx="30">
                  <c:v>9281.8668461592515</c:v>
                </c:pt>
                <c:pt idx="31">
                  <c:v>8783.2985991398073</c:v>
                </c:pt>
                <c:pt idx="32">
                  <c:v>8643.1630078240505</c:v>
                </c:pt>
                <c:pt idx="33">
                  <c:v>9223.393536803138</c:v>
                </c:pt>
                <c:pt idx="34">
                  <c:v>8678.1238487628088</c:v>
                </c:pt>
                <c:pt idx="35">
                  <c:v>9264.3950351815856</c:v>
                </c:pt>
                <c:pt idx="36">
                  <c:v>9409.0763619401405</c:v>
                </c:pt>
                <c:pt idx="37">
                  <c:v>8752.3910878361767</c:v>
                </c:pt>
                <c:pt idx="38">
                  <c:v>9251.3957874254593</c:v>
                </c:pt>
                <c:pt idx="39">
                  <c:v>8265.8297310933394</c:v>
                </c:pt>
                <c:pt idx="40">
                  <c:v>9631.0435979260383</c:v>
                </c:pt>
                <c:pt idx="41">
                  <c:v>9423.054185026991</c:v>
                </c:pt>
                <c:pt idx="42">
                  <c:v>9608.8278667846862</c:v>
                </c:pt>
                <c:pt idx="43">
                  <c:v>8947.1564054015198</c:v>
                </c:pt>
                <c:pt idx="44">
                  <c:v>7381.1398259711796</c:v>
                </c:pt>
                <c:pt idx="45">
                  <c:v>8929.9644009818439</c:v>
                </c:pt>
                <c:pt idx="46">
                  <c:v>10560.901188951822</c:v>
                </c:pt>
                <c:pt idx="47">
                  <c:v>8607.299600804241</c:v>
                </c:pt>
                <c:pt idx="48">
                  <c:v>8117.4622242084961</c:v>
                </c:pt>
                <c:pt idx="49">
                  <c:v>9111.6483734553822</c:v>
                </c:pt>
                <c:pt idx="50">
                  <c:v>9284.8547233655154</c:v>
                </c:pt>
                <c:pt idx="51">
                  <c:v>8879.8865859592515</c:v>
                </c:pt>
                <c:pt idx="52">
                  <c:v>9730.4762181813148</c:v>
                </c:pt>
                <c:pt idx="53">
                  <c:v>8756.9640027683763</c:v>
                </c:pt>
                <c:pt idx="54">
                  <c:v>8942.7317449786151</c:v>
                </c:pt>
                <c:pt idx="55">
                  <c:v>8328.1380261906015</c:v>
                </c:pt>
                <c:pt idx="56">
                  <c:v>8958.2225433219755</c:v>
                </c:pt>
                <c:pt idx="57">
                  <c:v>9539.2503772731961</c:v>
                </c:pt>
                <c:pt idx="58">
                  <c:v>8760.7823661369603</c:v>
                </c:pt>
                <c:pt idx="59">
                  <c:v>10901.712041633387</c:v>
                </c:pt>
                <c:pt idx="60">
                  <c:v>9440.4566859860988</c:v>
                </c:pt>
                <c:pt idx="61">
                  <c:v>8245.4778951825392</c:v>
                </c:pt>
                <c:pt idx="62">
                  <c:v>9584.8698489613489</c:v>
                </c:pt>
                <c:pt idx="63">
                  <c:v>8735.2189540501622</c:v>
                </c:pt>
                <c:pt idx="64">
                  <c:v>8889.2762508216802</c:v>
                </c:pt>
                <c:pt idx="65">
                  <c:v>8958.0826450569893</c:v>
                </c:pt>
                <c:pt idx="66">
                  <c:v>8167.0688981757257</c:v>
                </c:pt>
                <c:pt idx="67">
                  <c:v>9656.3399266823781</c:v>
                </c:pt>
                <c:pt idx="68">
                  <c:v>9517.8325398012894</c:v>
                </c:pt>
                <c:pt idx="69">
                  <c:v>9046.775362694143</c:v>
                </c:pt>
                <c:pt idx="70">
                  <c:v>8876.0961002515178</c:v>
                </c:pt>
                <c:pt idx="71">
                  <c:v>9304.5147234191463</c:v>
                </c:pt>
                <c:pt idx="72">
                  <c:v>7920.3937891998776</c:v>
                </c:pt>
                <c:pt idx="73">
                  <c:v>8553.5788035614696</c:v>
                </c:pt>
                <c:pt idx="74">
                  <c:v>9316.0830635762341</c:v>
                </c:pt>
                <c:pt idx="75">
                  <c:v>8630.1007466917617</c:v>
                </c:pt>
                <c:pt idx="76">
                  <c:v>9026.4932667739613</c:v>
                </c:pt>
                <c:pt idx="77">
                  <c:v>9551.290383550464</c:v>
                </c:pt>
                <c:pt idx="78">
                  <c:v>8024.4582402433552</c:v>
                </c:pt>
                <c:pt idx="79">
                  <c:v>8166.8811374885972</c:v>
                </c:pt>
                <c:pt idx="80">
                  <c:v>9492.8419817447957</c:v>
                </c:pt>
                <c:pt idx="81">
                  <c:v>9300.9560153801049</c:v>
                </c:pt>
                <c:pt idx="82">
                  <c:v>9364.903875834465</c:v>
                </c:pt>
                <c:pt idx="83">
                  <c:v>7798.399940663151</c:v>
                </c:pt>
                <c:pt idx="84">
                  <c:v>8314.5306592171146</c:v>
                </c:pt>
                <c:pt idx="85">
                  <c:v>10561.466610242273</c:v>
                </c:pt>
                <c:pt idx="86">
                  <c:v>8666.9797063391488</c:v>
                </c:pt>
                <c:pt idx="87">
                  <c:v>9783.2787046433368</c:v>
                </c:pt>
                <c:pt idx="88">
                  <c:v>9141.8351062700804</c:v>
                </c:pt>
                <c:pt idx="89">
                  <c:v>9227.4709182142124</c:v>
                </c:pt>
                <c:pt idx="90">
                  <c:v>9163.6043493372872</c:v>
                </c:pt>
                <c:pt idx="91">
                  <c:v>7557.3994559966141</c:v>
                </c:pt>
                <c:pt idx="92">
                  <c:v>9881.0881515510191</c:v>
                </c:pt>
                <c:pt idx="93">
                  <c:v>8822.4983162065291</c:v>
                </c:pt>
                <c:pt idx="94">
                  <c:v>8723.024771780867</c:v>
                </c:pt>
                <c:pt idx="95">
                  <c:v>9288.2499849444594</c:v>
                </c:pt>
                <c:pt idx="96">
                  <c:v>9886.0572874387053</c:v>
                </c:pt>
                <c:pt idx="97">
                  <c:v>8759.3669574598498</c:v>
                </c:pt>
                <c:pt idx="98">
                  <c:v>7946.4972857632783</c:v>
                </c:pt>
                <c:pt idx="99">
                  <c:v>9099.4899696485845</c:v>
                </c:pt>
                <c:pt idx="100">
                  <c:v>9018.5386571535382</c:v>
                </c:pt>
                <c:pt idx="101">
                  <c:v>8424.8414742183759</c:v>
                </c:pt>
                <c:pt idx="102">
                  <c:v>8901.8616174004364</c:v>
                </c:pt>
                <c:pt idx="103">
                  <c:v>8161.679302369178</c:v>
                </c:pt>
                <c:pt idx="104">
                  <c:v>8062.1325330106001</c:v>
                </c:pt>
                <c:pt idx="105">
                  <c:v>7826.3344347240409</c:v>
                </c:pt>
                <c:pt idx="106">
                  <c:v>9088.3550090641547</c:v>
                </c:pt>
                <c:pt idx="107">
                  <c:v>7722.4978277812797</c:v>
                </c:pt>
                <c:pt idx="108">
                  <c:v>9028.7468345031248</c:v>
                </c:pt>
                <c:pt idx="109">
                  <c:v>8858.1917771285625</c:v>
                </c:pt>
                <c:pt idx="110">
                  <c:v>8691.516259361857</c:v>
                </c:pt>
                <c:pt idx="111">
                  <c:v>7737.1163713104861</c:v>
                </c:pt>
                <c:pt idx="112">
                  <c:v>10240.565560090881</c:v>
                </c:pt>
                <c:pt idx="113">
                  <c:v>8378.7133452530979</c:v>
                </c:pt>
                <c:pt idx="114">
                  <c:v>8526.204274554193</c:v>
                </c:pt>
                <c:pt idx="115">
                  <c:v>9087.6059536258472</c:v>
                </c:pt>
                <c:pt idx="116">
                  <c:v>9690.9814063355589</c:v>
                </c:pt>
              </c:numCache>
            </c:numRef>
          </c:val>
          <c:smooth val="0"/>
          <c:extLst>
            <c:ext xmlns:c16="http://schemas.microsoft.com/office/drawing/2014/chart" uri="{C3380CC4-5D6E-409C-BE32-E72D297353CC}">
              <c16:uniqueId val="{00000000-0812-4DFC-99EE-95C9020122CC}"/>
            </c:ext>
          </c:extLst>
        </c:ser>
        <c:dLbls>
          <c:showLegendKey val="0"/>
          <c:showVal val="0"/>
          <c:showCatName val="0"/>
          <c:showSerName val="0"/>
          <c:showPercent val="0"/>
          <c:showBubbleSize val="0"/>
        </c:dLbls>
        <c:smooth val="0"/>
        <c:axId val="235493023"/>
        <c:axId val="235493983"/>
      </c:lineChart>
      <c:catAx>
        <c:axId val="235493023"/>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235493983"/>
        <c:crosses val="autoZero"/>
        <c:auto val="1"/>
        <c:lblAlgn val="ctr"/>
        <c:lblOffset val="100"/>
        <c:noMultiLvlLbl val="0"/>
      </c:catAx>
      <c:valAx>
        <c:axId val="235493983"/>
        <c:scaling>
          <c:orientation val="minMax"/>
        </c:scaling>
        <c:delete val="0"/>
        <c:axPos val="l"/>
        <c:numFmt formatCode="0.00" sourceLinked="0"/>
        <c:majorTickMark val="out"/>
        <c:minorTickMark val="none"/>
        <c:tickLblPos val="nextTo"/>
        <c:txPr>
          <a:bodyPr/>
          <a:lstStyle/>
          <a:p>
            <a:pPr>
              <a:defRPr sz="800" b="0"/>
            </a:pPr>
            <a:endParaRPr lang="en-US"/>
          </a:p>
        </c:txPr>
        <c:crossAx val="235493023"/>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Deseasonalized Errors</a:t>
            </a:r>
          </a:p>
        </c:rich>
      </c:tx>
      <c:overlay val="0"/>
    </c:title>
    <c:autoTitleDeleted val="0"/>
    <c:plotArea>
      <c:layout/>
      <c:lineChart>
        <c:grouping val="standard"/>
        <c:varyColors val="0"/>
        <c:ser>
          <c:idx val="0"/>
          <c:order val="0"/>
          <c:tx>
            <c:v>Deseasonalized Errors</c:v>
          </c:tx>
          <c:spPr>
            <a:ln>
              <a:solidFill>
                <a:srgbClr val="333399"/>
              </a:solidFill>
              <a:prstDash val="solid"/>
            </a:ln>
          </c:spPr>
          <c:marker>
            <c:symbol val="none"/>
          </c:marker>
          <c:cat>
            <c:strRef>
              <c:f>'Holt''s Expo. DS(West)'!$A$147:$A$271</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'Holt''s Expo. DS(West)'!$H$148:$H$271</c:f>
              <c:numCache>
                <c:formatCode>0.00</c:formatCode>
                <c:ptCount val="124"/>
                <c:pt idx="0">
                  <c:v>-2393.7855786716482</c:v>
                </c:pt>
                <c:pt idx="1">
                  <c:v>-496.27468013488215</c:v>
                </c:pt>
                <c:pt idx="2">
                  <c:v>-849.96182452776338</c:v>
                </c:pt>
                <c:pt idx="3">
                  <c:v>-1426.5754675813914</c:v>
                </c:pt>
                <c:pt idx="4">
                  <c:v>-12.908395634094632</c:v>
                </c:pt>
                <c:pt idx="5">
                  <c:v>-480.05145311475462</c:v>
                </c:pt>
                <c:pt idx="6">
                  <c:v>915.4708452887935</c:v>
                </c:pt>
                <c:pt idx="7">
                  <c:v>-416.63008371904652</c:v>
                </c:pt>
                <c:pt idx="8">
                  <c:v>-1672.7972963744705</c:v>
                </c:pt>
                <c:pt idx="9">
                  <c:v>-1310.6408673683818</c:v>
                </c:pt>
                <c:pt idx="10">
                  <c:v>-120.08728418502142</c:v>
                </c:pt>
                <c:pt idx="11">
                  <c:v>16.016904063917536</c:v>
                </c:pt>
                <c:pt idx="12">
                  <c:v>-653.71355883106844</c:v>
                </c:pt>
                <c:pt idx="13">
                  <c:v>-844.30983698056571</c:v>
                </c:pt>
                <c:pt idx="14">
                  <c:v>44.729263998318856</c:v>
                </c:pt>
                <c:pt idx="15">
                  <c:v>-218.93218949154107</c:v>
                </c:pt>
                <c:pt idx="16">
                  <c:v>-665.76237565040265</c:v>
                </c:pt>
                <c:pt idx="17">
                  <c:v>416.29397111859544</c:v>
                </c:pt>
                <c:pt idx="18">
                  <c:v>1495.6774330115586</c:v>
                </c:pt>
                <c:pt idx="19">
                  <c:v>234.72129560106805</c:v>
                </c:pt>
                <c:pt idx="20">
                  <c:v>736.29718527467412</c:v>
                </c:pt>
                <c:pt idx="21">
                  <c:v>-874.96292601544519</c:v>
                </c:pt>
                <c:pt idx="22">
                  <c:v>-495.76444095634906</c:v>
                </c:pt>
                <c:pt idx="23">
                  <c:v>56.870468969602371</c:v>
                </c:pt>
                <c:pt idx="24">
                  <c:v>-37.008357254466318</c:v>
                </c:pt>
                <c:pt idx="25">
                  <c:v>352.66277848691425</c:v>
                </c:pt>
                <c:pt idx="26">
                  <c:v>121.41393828332912</c:v>
                </c:pt>
                <c:pt idx="27">
                  <c:v>-1578.2490300026357</c:v>
                </c:pt>
                <c:pt idx="28">
                  <c:v>206.85976358032894</c:v>
                </c:pt>
                <c:pt idx="29">
                  <c:v>566.48480805363943</c:v>
                </c:pt>
                <c:pt idx="30">
                  <c:v>-6.4218100842026615</c:v>
                </c:pt>
                <c:pt idx="31">
                  <c:v>-140.90368596086228</c:v>
                </c:pt>
                <c:pt idx="32">
                  <c:v>463.757590376601</c:v>
                </c:pt>
                <c:pt idx="33">
                  <c:v>-141.50718101396888</c:v>
                </c:pt>
                <c:pt idx="34">
                  <c:v>469.27901575997566</c:v>
                </c:pt>
                <c:pt idx="35">
                  <c:v>553.19433014913557</c:v>
                </c:pt>
                <c:pt idx="36">
                  <c:v>-175.97363209580908</c:v>
                </c:pt>
                <c:pt idx="37">
                  <c:v>352.35845608094314</c:v>
                </c:pt>
                <c:pt idx="38">
                  <c:v>-677.64857947538803</c:v>
                </c:pt>
                <c:pt idx="39">
                  <c:v>786.93904047265278</c:v>
                </c:pt>
                <c:pt idx="40">
                  <c:v>473.83033425370377</c:v>
                </c:pt>
                <c:pt idx="41">
                  <c:v>598.20252579731641</c:v>
                </c:pt>
                <c:pt idx="42">
                  <c:v>-142.23589304420966</c:v>
                </c:pt>
                <c:pt idx="43">
                  <c:v>-1683.6357157021603</c:v>
                </c:pt>
                <c:pt idx="44">
                  <c:v>105.02356631950897</c:v>
                </c:pt>
                <c:pt idx="45">
                  <c:v>1726.0535090482172</c:v>
                </c:pt>
                <c:pt idx="46">
                  <c:v>-463.79123009412979</c:v>
                </c:pt>
                <c:pt idx="47">
                  <c:v>-884.11468598189003</c:v>
                </c:pt>
                <c:pt idx="48">
                  <c:v>238.27304650130827</c:v>
                </c:pt>
                <c:pt idx="49">
                  <c:v>382.96759249978641</c:v>
                </c:pt>
                <c:pt idx="50">
                  <c:v>-70.715324803170006</c:v>
                </c:pt>
                <c:pt idx="51">
                  <c:v>794.5050048506273</c:v>
                </c:pt>
                <c:pt idx="52">
                  <c:v>-285.18290165848884</c:v>
                </c:pt>
                <c:pt idx="53">
                  <c:v>-54.83942659809145</c:v>
                </c:pt>
                <c:pt idx="54">
                  <c:v>-657.01912024125522</c:v>
                </c:pt>
                <c:pt idx="55">
                  <c:v>69.558761759895788</c:v>
                </c:pt>
                <c:pt idx="56">
                  <c:v>645.63152380648171</c:v>
                </c:pt>
                <c:pt idx="57">
                  <c:v>-218.22571863514349</c:v>
                </c:pt>
                <c:pt idx="58">
                  <c:v>1957.9307930318064</c:v>
                </c:pt>
                <c:pt idx="59">
                  <c:v>228.05642061354411</c:v>
                </c:pt>
                <c:pt idx="60">
                  <c:v>-994.0076777120903</c:v>
                </c:pt>
                <c:pt idx="61">
                  <c:v>488.92966827336204</c:v>
                </c:pt>
                <c:pt idx="62">
                  <c:v>-424.23096136440108</c:v>
                </c:pt>
                <c:pt idx="63">
                  <c:v>-206.18334640628746</c:v>
                </c:pt>
                <c:pt idx="64">
                  <c:v>-103.83153222291003</c:v>
                </c:pt>
                <c:pt idx="65">
                  <c:v>-875.59073121145866</c:v>
                </c:pt>
                <c:pt idx="66">
                  <c:v>740.69172334668474</c:v>
                </c:pt>
                <c:pt idx="67">
                  <c:v>503.52232479940722</c:v>
                </c:pt>
                <c:pt idx="68">
                  <c:v>-33.082086701764638</c:v>
                </c:pt>
                <c:pt idx="69">
                  <c:v>-194.38519258256565</c:v>
                </c:pt>
                <c:pt idx="70">
                  <c:v>265.93153330549467</c:v>
                </c:pt>
                <c:pt idx="71">
                  <c:v>-1150.5630210454619</c:v>
                </c:pt>
                <c:pt idx="72">
                  <c:v>-351.97357466430549</c:v>
                </c:pt>
                <c:pt idx="73">
                  <c:v>464.43206591905437</c:v>
                </c:pt>
                <c:pt idx="74">
                  <c:v>-281.63950796327481</c:v>
                </c:pt>
                <c:pt idx="75">
                  <c:v>158.83399862438819</c:v>
                </c:pt>
                <c:pt idx="76">
                  <c:v>666.21098854905176</c:v>
                </c:pt>
                <c:pt idx="77">
                  <c:v>-948.88379382812673</c:v>
                </c:pt>
                <c:pt idx="78">
                  <c:v>-669.21592666354081</c:v>
                </c:pt>
                <c:pt idx="79">
                  <c:v>754.94126155914637</c:v>
                </c:pt>
                <c:pt idx="80">
                  <c:v>462.40369175535125</c:v>
                </c:pt>
                <c:pt idx="81">
                  <c:v>466.54550695446051</c:v>
                </c:pt>
                <c:pt idx="82">
                  <c:v>-1160.3427744192786</c:v>
                </c:pt>
                <c:pt idx="83">
                  <c:v>-477.44212578093175</c:v>
                </c:pt>
                <c:pt idx="84">
                  <c:v>1840.9137522624806</c:v>
                </c:pt>
                <c:pt idx="85">
                  <c:v>-305.85366409420021</c:v>
                </c:pt>
                <c:pt idx="86">
                  <c:v>857.90722226523212</c:v>
                </c:pt>
                <c:pt idx="87">
                  <c:v>101.43539818928366</c:v>
                </c:pt>
                <c:pt idx="88">
                  <c:v>177.66536286732844</c:v>
                </c:pt>
                <c:pt idx="89">
                  <c:v>93.74933790614341</c:v>
                </c:pt>
                <c:pt idx="90">
                  <c:v>-1520.7882365335845</c:v>
                </c:pt>
                <c:pt idx="91">
                  <c:v>1019.9975867529138</c:v>
                </c:pt>
                <c:pt idx="92">
                  <c:v>-176.25234143586022</c:v>
                </c:pt>
                <c:pt idx="93">
                  <c:v>-246.3595824824497</c:v>
                </c:pt>
                <c:pt idx="94">
                  <c:v>358.0206575913453</c:v>
                </c:pt>
                <c:pt idx="95">
                  <c:v>910.59639597548994</c:v>
                </c:pt>
                <c:pt idx="96">
                  <c:v>-338.47888558535124</c:v>
                </c:pt>
                <c:pt idx="97">
                  <c:v>-1099.331372675977</c:v>
                </c:pt>
                <c:pt idx="98">
                  <c:v>211.91252432530382</c:v>
                </c:pt>
                <c:pt idx="99">
                  <c:v>106.1299958274285</c:v>
                </c:pt>
                <c:pt idx="100">
                  <c:v>-497.62851756904638</c:v>
                </c:pt>
                <c:pt idx="101">
                  <c:v>53.630077584684841</c:v>
                </c:pt>
                <c:pt idx="102">
                  <c:v>-689.28326682324314</c:v>
                </c:pt>
                <c:pt idx="103">
                  <c:v>-687.83178984553433</c:v>
                </c:pt>
                <c:pt idx="104">
                  <c:v>-822.83430426882023</c:v>
                </c:pt>
                <c:pt idx="105">
                  <c:v>558.83158001091942</c:v>
                </c:pt>
                <c:pt idx="106">
                  <c:v>-880.29539042488886</c:v>
                </c:pt>
                <c:pt idx="107">
                  <c:v>553.62193039112208</c:v>
                </c:pt>
                <c:pt idx="108">
                  <c:v>310.52448119179098</c:v>
                </c:pt>
                <c:pt idx="109">
                  <c:v>105.24905294477321</c:v>
                </c:pt>
                <c:pt idx="110">
                  <c:v>-859.08916391792172</c:v>
                </c:pt>
                <c:pt idx="111">
                  <c:v>1769.0674195806041</c:v>
                </c:pt>
                <c:pt idx="112">
                  <c:v>-335.03376351002953</c:v>
                </c:pt>
                <c:pt idx="113">
                  <c:v>-136.00667477275601</c:v>
                </c:pt>
                <c:pt idx="114">
                  <c:v>449.14200647013422</c:v>
                </c:pt>
                <c:pt idx="115">
                  <c:v>994.56307673254378</c:v>
                </c:pt>
              </c:numCache>
            </c:numRef>
          </c:val>
          <c:smooth val="0"/>
          <c:extLst>
            <c:ext xmlns:c16="http://schemas.microsoft.com/office/drawing/2014/chart" uri="{C3380CC4-5D6E-409C-BE32-E72D297353CC}">
              <c16:uniqueId val="{00000000-6312-4AEB-9E3D-EB1D76037EF4}"/>
            </c:ext>
          </c:extLst>
        </c:ser>
        <c:dLbls>
          <c:showLegendKey val="0"/>
          <c:showVal val="0"/>
          <c:showCatName val="0"/>
          <c:showSerName val="0"/>
          <c:showPercent val="0"/>
          <c:showBubbleSize val="0"/>
        </c:dLbls>
        <c:smooth val="0"/>
        <c:axId val="235491103"/>
        <c:axId val="232545503"/>
      </c:lineChart>
      <c:catAx>
        <c:axId val="235491103"/>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232545503"/>
        <c:crosses val="autoZero"/>
        <c:auto val="1"/>
        <c:lblAlgn val="ctr"/>
        <c:lblOffset val="100"/>
        <c:noMultiLvlLbl val="0"/>
      </c:catAx>
      <c:valAx>
        <c:axId val="232545503"/>
        <c:scaling>
          <c:orientation val="minMax"/>
        </c:scaling>
        <c:delete val="0"/>
        <c:axPos val="l"/>
        <c:numFmt formatCode="0.00" sourceLinked="0"/>
        <c:majorTickMark val="out"/>
        <c:minorTickMark val="none"/>
        <c:tickLblPos val="nextTo"/>
        <c:txPr>
          <a:bodyPr/>
          <a:lstStyle/>
          <a:p>
            <a:pPr>
              <a:defRPr sz="800" b="0"/>
            </a:pPr>
            <a:endParaRPr lang="en-US"/>
          </a:p>
        </c:txPr>
        <c:crossAx val="235491103"/>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Autocorrelation of Residual North / Residual North</a:t>
            </a:r>
          </a:p>
        </c:rich>
      </c:tx>
      <c:layout/>
      <c:overlay val="0"/>
    </c:title>
    <c:autoTitleDeleted val="0"/>
    <c:plotArea>
      <c:layout>
        <c:manualLayout>
          <c:xMode val="edge"/>
          <c:yMode val="edge"/>
          <c:x val="2.8947368421052631E-2"/>
          <c:y val="0.12882015748031497"/>
          <c:w val="0.94210526315789478"/>
          <c:h val="0.74717984251968506"/>
        </c:manualLayout>
      </c:layout>
      <c:barChart>
        <c:barDir val="col"/>
        <c:grouping val="clustered"/>
        <c:varyColors val="0"/>
        <c:ser>
          <c:idx val="0"/>
          <c:order val="0"/>
          <c:spPr>
            <a:gradFill flip="none" rotWithShape="1">
              <a:gsLst>
                <a:gs pos="0">
                  <a:srgbClr val="333399"/>
                </a:gs>
                <a:gs pos="100000">
                  <a:srgbClr val="333399">
                    <a:shade val="46275"/>
                  </a:srgbClr>
                </a:gs>
              </a:gsLst>
              <a:lin ang="8100000" scaled="1"/>
              <a:tileRect/>
            </a:gradFill>
          </c:spPr>
          <c:invertIfNegative val="0"/>
          <c:val>
            <c:numRef>
              <c:f>'Autocorrelation North'!$B$31:$B$59</c:f>
              <c:numCache>
                <c:formatCode>0.0000</c:formatCode>
                <c:ptCount val="29"/>
                <c:pt idx="0">
                  <c:v>0.78432720587088123</c:v>
                </c:pt>
                <c:pt idx="1">
                  <c:v>0.44410924479659991</c:v>
                </c:pt>
                <c:pt idx="2">
                  <c:v>-7.2895664864963093E-3</c:v>
                </c:pt>
                <c:pt idx="3">
                  <c:v>-0.42532566349763329</c:v>
                </c:pt>
                <c:pt idx="4">
                  <c:v>-0.76765166521413075</c:v>
                </c:pt>
                <c:pt idx="5">
                  <c:v>-0.86928173028000277</c:v>
                </c:pt>
                <c:pt idx="6">
                  <c:v>-0.76738831395018592</c:v>
                </c:pt>
                <c:pt idx="7">
                  <c:v>-0.42782667451558332</c:v>
                </c:pt>
                <c:pt idx="8">
                  <c:v>-1.3556681978904066E-2</c:v>
                </c:pt>
                <c:pt idx="9">
                  <c:v>0.41243036125034416</c:v>
                </c:pt>
                <c:pt idx="10">
                  <c:v>0.71187694440789184</c:v>
                </c:pt>
                <c:pt idx="11">
                  <c:v>0.85499146721458008</c:v>
                </c:pt>
                <c:pt idx="12">
                  <c:v>0.69767072934610663</c:v>
                </c:pt>
                <c:pt idx="13">
                  <c:v>0.40143625688091195</c:v>
                </c:pt>
                <c:pt idx="14">
                  <c:v>-6.9505818756421464E-3</c:v>
                </c:pt>
                <c:pt idx="15">
                  <c:v>-0.3857294832981184</c:v>
                </c:pt>
                <c:pt idx="16">
                  <c:v>-0.68379329783444887</c:v>
                </c:pt>
                <c:pt idx="17">
                  <c:v>-0.76839079293053991</c:v>
                </c:pt>
                <c:pt idx="18">
                  <c:v>-0.66983353424868297</c:v>
                </c:pt>
                <c:pt idx="19">
                  <c:v>-0.3792465718052207</c:v>
                </c:pt>
                <c:pt idx="20">
                  <c:v>-1.6712548942844697E-3</c:v>
                </c:pt>
                <c:pt idx="21">
                  <c:v>0.37186705236818696</c:v>
                </c:pt>
                <c:pt idx="22">
                  <c:v>0.63671933525375457</c:v>
                </c:pt>
                <c:pt idx="23">
                  <c:v>0.74782399836600733</c:v>
                </c:pt>
                <c:pt idx="24">
                  <c:v>0.60679266614500693</c:v>
                </c:pt>
                <c:pt idx="25">
                  <c:v>0.34445358834213163</c:v>
                </c:pt>
                <c:pt idx="26">
                  <c:v>-1.3744357134324748E-2</c:v>
                </c:pt>
                <c:pt idx="27">
                  <c:v>-0.34863941483100092</c:v>
                </c:pt>
                <c:pt idx="28">
                  <c:v>-0.60237366598257869</c:v>
                </c:pt>
              </c:numCache>
            </c:numRef>
          </c:val>
          <c:extLst>
            <c:ext xmlns:c16="http://schemas.microsoft.com/office/drawing/2014/chart" uri="{C3380CC4-5D6E-409C-BE32-E72D297353CC}">
              <c16:uniqueId val="{00000000-8273-44C5-BB0C-9AC1991252F1}"/>
            </c:ext>
          </c:extLst>
        </c:ser>
        <c:dLbls>
          <c:showLegendKey val="0"/>
          <c:showVal val="0"/>
          <c:showCatName val="0"/>
          <c:showSerName val="0"/>
          <c:showPercent val="0"/>
          <c:showBubbleSize val="0"/>
        </c:dLbls>
        <c:gapWidth val="150"/>
        <c:axId val="883096815"/>
        <c:axId val="883098255"/>
      </c:barChart>
      <c:catAx>
        <c:axId val="883096815"/>
        <c:scaling>
          <c:orientation val="minMax"/>
        </c:scaling>
        <c:delete val="0"/>
        <c:axPos val="b"/>
        <c:title>
          <c:tx>
            <c:rich>
              <a:bodyPr/>
              <a:lstStyle/>
              <a:p>
                <a:pPr>
                  <a:defRPr sz="800" b="0"/>
                </a:pPr>
                <a:r>
                  <a:rPr lang="en-GB"/>
                  <a:t>Number of Lags</a:t>
                </a:r>
              </a:p>
            </c:rich>
          </c:tx>
          <c:layout/>
          <c:overlay val="0"/>
        </c:title>
        <c:majorTickMark val="none"/>
        <c:minorTickMark val="none"/>
        <c:tickLblPos val="low"/>
        <c:txPr>
          <a:bodyPr rot="-60000000" vert="horz"/>
          <a:lstStyle/>
          <a:p>
            <a:pPr>
              <a:defRPr sz="800"/>
            </a:pPr>
            <a:endParaRPr lang="en-US"/>
          </a:p>
        </c:txPr>
        <c:crossAx val="883098255"/>
        <c:crosses val="autoZero"/>
        <c:auto val="1"/>
        <c:lblAlgn val="ctr"/>
        <c:lblOffset val="100"/>
        <c:noMultiLvlLbl val="0"/>
      </c:catAx>
      <c:valAx>
        <c:axId val="883098255"/>
        <c:scaling>
          <c:orientation val="minMax"/>
          <c:max val="1"/>
          <c:min val="-1"/>
        </c:scaling>
        <c:delete val="0"/>
        <c:axPos val="l"/>
        <c:numFmt formatCode="General" sourceLinked="0"/>
        <c:majorTickMark val="out"/>
        <c:minorTickMark val="none"/>
        <c:tickLblPos val="nextTo"/>
        <c:txPr>
          <a:bodyPr/>
          <a:lstStyle/>
          <a:p>
            <a:pPr>
              <a:defRPr sz="800" b="0"/>
            </a:pPr>
            <a:endParaRPr lang="en-US"/>
          </a:p>
        </c:txPr>
        <c:crossAx val="883096815"/>
        <c:crosses val="autoZero"/>
        <c:crossBetween val="between"/>
        <c:majorUnit val="0.5"/>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Autocorrelation of Residual South / Residual South</a:t>
            </a:r>
          </a:p>
        </c:rich>
      </c:tx>
      <c:layout/>
      <c:overlay val="0"/>
    </c:title>
    <c:autoTitleDeleted val="0"/>
    <c:plotArea>
      <c:layout>
        <c:manualLayout>
          <c:xMode val="edge"/>
          <c:yMode val="edge"/>
          <c:x val="2.8947368421052631E-2"/>
          <c:y val="0.12882015748031497"/>
          <c:w val="0.94210526315789478"/>
          <c:h val="0.74717984251968506"/>
        </c:manualLayout>
      </c:layout>
      <c:barChart>
        <c:barDir val="col"/>
        <c:grouping val="clustered"/>
        <c:varyColors val="0"/>
        <c:ser>
          <c:idx val="0"/>
          <c:order val="0"/>
          <c:spPr>
            <a:gradFill flip="none" rotWithShape="1">
              <a:gsLst>
                <a:gs pos="0">
                  <a:srgbClr val="333399"/>
                </a:gs>
                <a:gs pos="100000">
                  <a:srgbClr val="333399">
                    <a:shade val="46275"/>
                  </a:srgbClr>
                </a:gs>
              </a:gsLst>
              <a:lin ang="8100000" scaled="1"/>
              <a:tileRect/>
            </a:gradFill>
          </c:spPr>
          <c:invertIfNegative val="0"/>
          <c:val>
            <c:numRef>
              <c:f>'Autocorrelation South'!$B$31:$B$59</c:f>
              <c:numCache>
                <c:formatCode>0.0000</c:formatCode>
                <c:ptCount val="29"/>
                <c:pt idx="0">
                  <c:v>0.72156904797169275</c:v>
                </c:pt>
                <c:pt idx="1">
                  <c:v>0.48200221835660395</c:v>
                </c:pt>
                <c:pt idx="2">
                  <c:v>0.20165008327072459</c:v>
                </c:pt>
                <c:pt idx="3">
                  <c:v>-2.8039500841216085E-2</c:v>
                </c:pt>
                <c:pt idx="4">
                  <c:v>-0.11179002104422676</c:v>
                </c:pt>
                <c:pt idx="5">
                  <c:v>-0.12344984733209637</c:v>
                </c:pt>
                <c:pt idx="6">
                  <c:v>-9.2452028655376967E-2</c:v>
                </c:pt>
                <c:pt idx="7">
                  <c:v>3.0102564078999219E-2</c:v>
                </c:pt>
                <c:pt idx="8">
                  <c:v>0.20005986854050276</c:v>
                </c:pt>
                <c:pt idx="9">
                  <c:v>0.43989893923118767</c:v>
                </c:pt>
                <c:pt idx="10">
                  <c:v>0.63738870528132074</c:v>
                </c:pt>
                <c:pt idx="11">
                  <c:v>0.76058050223594076</c:v>
                </c:pt>
                <c:pt idx="12">
                  <c:v>0.61009974482299956</c:v>
                </c:pt>
                <c:pt idx="13">
                  <c:v>0.38741617398320882</c:v>
                </c:pt>
                <c:pt idx="14">
                  <c:v>0.12282308549946917</c:v>
                </c:pt>
                <c:pt idx="15">
                  <c:v>-6.2895132075535792E-2</c:v>
                </c:pt>
                <c:pt idx="16">
                  <c:v>-0.15544782953348724</c:v>
                </c:pt>
                <c:pt idx="17">
                  <c:v>-0.14928002506029819</c:v>
                </c:pt>
                <c:pt idx="18">
                  <c:v>-0.12497773342159402</c:v>
                </c:pt>
                <c:pt idx="19">
                  <c:v>-4.5486636145908928E-2</c:v>
                </c:pt>
                <c:pt idx="20">
                  <c:v>0.13465141497002878</c:v>
                </c:pt>
                <c:pt idx="21">
                  <c:v>0.33295841756433536</c:v>
                </c:pt>
                <c:pt idx="22">
                  <c:v>0.48306361136319603</c:v>
                </c:pt>
                <c:pt idx="23">
                  <c:v>0.61142520244981702</c:v>
                </c:pt>
                <c:pt idx="24">
                  <c:v>0.44061034306409147</c:v>
                </c:pt>
                <c:pt idx="25">
                  <c:v>0.26020163000437518</c:v>
                </c:pt>
                <c:pt idx="26">
                  <c:v>4.6111064264510469E-2</c:v>
                </c:pt>
                <c:pt idx="27">
                  <c:v>-0.12990356554845511</c:v>
                </c:pt>
                <c:pt idx="28">
                  <c:v>-0.19084971668792791</c:v>
                </c:pt>
              </c:numCache>
            </c:numRef>
          </c:val>
          <c:extLst>
            <c:ext xmlns:c16="http://schemas.microsoft.com/office/drawing/2014/chart" uri="{C3380CC4-5D6E-409C-BE32-E72D297353CC}">
              <c16:uniqueId val="{00000000-CEC5-49EA-A8D5-060F6318DA01}"/>
            </c:ext>
          </c:extLst>
        </c:ser>
        <c:dLbls>
          <c:showLegendKey val="0"/>
          <c:showVal val="0"/>
          <c:showCatName val="0"/>
          <c:showSerName val="0"/>
          <c:showPercent val="0"/>
          <c:showBubbleSize val="0"/>
        </c:dLbls>
        <c:gapWidth val="150"/>
        <c:axId val="1536910319"/>
        <c:axId val="1536913199"/>
      </c:barChart>
      <c:catAx>
        <c:axId val="1536910319"/>
        <c:scaling>
          <c:orientation val="minMax"/>
        </c:scaling>
        <c:delete val="0"/>
        <c:axPos val="b"/>
        <c:title>
          <c:tx>
            <c:rich>
              <a:bodyPr/>
              <a:lstStyle/>
              <a:p>
                <a:pPr>
                  <a:defRPr sz="800" b="0"/>
                </a:pPr>
                <a:r>
                  <a:rPr lang="en-GB"/>
                  <a:t>Number of Lags</a:t>
                </a:r>
              </a:p>
            </c:rich>
          </c:tx>
          <c:layout/>
          <c:overlay val="0"/>
        </c:title>
        <c:majorTickMark val="none"/>
        <c:minorTickMark val="none"/>
        <c:tickLblPos val="low"/>
        <c:txPr>
          <a:bodyPr rot="-60000000" vert="horz"/>
          <a:lstStyle/>
          <a:p>
            <a:pPr>
              <a:defRPr sz="800"/>
            </a:pPr>
            <a:endParaRPr lang="en-US"/>
          </a:p>
        </c:txPr>
        <c:crossAx val="1536913199"/>
        <c:crosses val="autoZero"/>
        <c:auto val="1"/>
        <c:lblAlgn val="ctr"/>
        <c:lblOffset val="100"/>
        <c:noMultiLvlLbl val="0"/>
      </c:catAx>
      <c:valAx>
        <c:axId val="1536913199"/>
        <c:scaling>
          <c:orientation val="minMax"/>
          <c:max val="1"/>
          <c:min val="-1"/>
        </c:scaling>
        <c:delete val="0"/>
        <c:axPos val="l"/>
        <c:numFmt formatCode="General" sourceLinked="0"/>
        <c:majorTickMark val="out"/>
        <c:minorTickMark val="none"/>
        <c:tickLblPos val="nextTo"/>
        <c:txPr>
          <a:bodyPr/>
          <a:lstStyle/>
          <a:p>
            <a:pPr>
              <a:defRPr sz="800" b="0"/>
            </a:pPr>
            <a:endParaRPr lang="en-US"/>
          </a:p>
        </c:txPr>
        <c:crossAx val="1536910319"/>
        <c:crosses val="autoZero"/>
        <c:crossBetween val="between"/>
        <c:majorUnit val="0.5"/>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Autocorrelation of Ressidual East / Residual east</a:t>
            </a:r>
          </a:p>
        </c:rich>
      </c:tx>
      <c:overlay val="0"/>
    </c:title>
    <c:autoTitleDeleted val="0"/>
    <c:plotArea>
      <c:layout>
        <c:manualLayout>
          <c:xMode val="edge"/>
          <c:yMode val="edge"/>
          <c:x val="2.8947368421052631E-2"/>
          <c:y val="0.12882015748031497"/>
          <c:w val="0.94210526315789478"/>
          <c:h val="0.74717984251968506"/>
        </c:manualLayout>
      </c:layout>
      <c:barChart>
        <c:barDir val="col"/>
        <c:grouping val="clustered"/>
        <c:varyColors val="0"/>
        <c:ser>
          <c:idx val="0"/>
          <c:order val="0"/>
          <c:spPr>
            <a:gradFill flip="none" rotWithShape="1">
              <a:gsLst>
                <a:gs pos="0">
                  <a:srgbClr val="333399"/>
                </a:gs>
                <a:gs pos="100000">
                  <a:srgbClr val="333399">
                    <a:shade val="46275"/>
                  </a:srgbClr>
                </a:gs>
              </a:gsLst>
              <a:lin ang="8100000" scaled="1"/>
              <a:tileRect/>
            </a:gradFill>
          </c:spPr>
          <c:invertIfNegative val="0"/>
          <c:val>
            <c:numRef>
              <c:f>'Autocorrelation East'!$B$31:$B$59</c:f>
              <c:numCache>
                <c:formatCode>0.0000</c:formatCode>
                <c:ptCount val="29"/>
                <c:pt idx="0">
                  <c:v>0.28004939705787235</c:v>
                </c:pt>
                <c:pt idx="1">
                  <c:v>0.29050406352680519</c:v>
                </c:pt>
                <c:pt idx="2">
                  <c:v>2.0637636894930381E-2</c:v>
                </c:pt>
                <c:pt idx="3">
                  <c:v>-0.22952219675691121</c:v>
                </c:pt>
                <c:pt idx="4">
                  <c:v>-0.26329306182391471</c:v>
                </c:pt>
                <c:pt idx="5">
                  <c:v>-0.37317468953109595</c:v>
                </c:pt>
                <c:pt idx="6">
                  <c:v>-0.29837886821926957</c:v>
                </c:pt>
                <c:pt idx="7">
                  <c:v>-0.16990824002413721</c:v>
                </c:pt>
                <c:pt idx="8">
                  <c:v>2.6781610103270348E-2</c:v>
                </c:pt>
                <c:pt idx="9">
                  <c:v>0.18098697060204469</c:v>
                </c:pt>
                <c:pt idx="10">
                  <c:v>0.31285598341261583</c:v>
                </c:pt>
                <c:pt idx="11">
                  <c:v>0.34546831933093963</c:v>
                </c:pt>
                <c:pt idx="12">
                  <c:v>0.22749013157286085</c:v>
                </c:pt>
                <c:pt idx="13">
                  <c:v>0.10931059465937851</c:v>
                </c:pt>
                <c:pt idx="14">
                  <c:v>-3.7318683001588977E-2</c:v>
                </c:pt>
                <c:pt idx="15">
                  <c:v>-1.8975139315804388E-2</c:v>
                </c:pt>
                <c:pt idx="16">
                  <c:v>-0.23979046821623667</c:v>
                </c:pt>
                <c:pt idx="17">
                  <c:v>-0.23412609588853694</c:v>
                </c:pt>
                <c:pt idx="18">
                  <c:v>-0.25199986503713001</c:v>
                </c:pt>
                <c:pt idx="19">
                  <c:v>-0.1205843769087534</c:v>
                </c:pt>
                <c:pt idx="20">
                  <c:v>5.769171994422826E-2</c:v>
                </c:pt>
                <c:pt idx="21">
                  <c:v>5.7313688281429628E-3</c:v>
                </c:pt>
                <c:pt idx="22">
                  <c:v>0.19645533598249842</c:v>
                </c:pt>
                <c:pt idx="23">
                  <c:v>0.24242510747667487</c:v>
                </c:pt>
                <c:pt idx="24">
                  <c:v>0.11824084847590716</c:v>
                </c:pt>
                <c:pt idx="25">
                  <c:v>0.17875385864277349</c:v>
                </c:pt>
                <c:pt idx="26">
                  <c:v>-8.7548929119515437E-2</c:v>
                </c:pt>
                <c:pt idx="27">
                  <c:v>-8.1927710487874145E-2</c:v>
                </c:pt>
                <c:pt idx="28">
                  <c:v>-0.26879413275784897</c:v>
                </c:pt>
              </c:numCache>
            </c:numRef>
          </c:val>
          <c:extLst>
            <c:ext xmlns:c16="http://schemas.microsoft.com/office/drawing/2014/chart" uri="{C3380CC4-5D6E-409C-BE32-E72D297353CC}">
              <c16:uniqueId val="{00000000-B483-4264-BA59-AC47134AE7EA}"/>
            </c:ext>
          </c:extLst>
        </c:ser>
        <c:dLbls>
          <c:showLegendKey val="0"/>
          <c:showVal val="0"/>
          <c:showCatName val="0"/>
          <c:showSerName val="0"/>
          <c:showPercent val="0"/>
          <c:showBubbleSize val="0"/>
        </c:dLbls>
        <c:gapWidth val="150"/>
        <c:axId val="1538778255"/>
        <c:axId val="1538776335"/>
      </c:barChart>
      <c:catAx>
        <c:axId val="1538778255"/>
        <c:scaling>
          <c:orientation val="minMax"/>
        </c:scaling>
        <c:delete val="0"/>
        <c:axPos val="b"/>
        <c:title>
          <c:tx>
            <c:rich>
              <a:bodyPr/>
              <a:lstStyle/>
              <a:p>
                <a:pPr>
                  <a:defRPr sz="800" b="0"/>
                </a:pPr>
                <a:r>
                  <a:rPr lang="en-GB"/>
                  <a:t>Number of Lags</a:t>
                </a:r>
              </a:p>
            </c:rich>
          </c:tx>
          <c:overlay val="0"/>
        </c:title>
        <c:majorTickMark val="none"/>
        <c:minorTickMark val="none"/>
        <c:tickLblPos val="low"/>
        <c:txPr>
          <a:bodyPr rot="-60000000" vert="horz"/>
          <a:lstStyle/>
          <a:p>
            <a:pPr>
              <a:defRPr sz="800"/>
            </a:pPr>
            <a:endParaRPr lang="en-US"/>
          </a:p>
        </c:txPr>
        <c:crossAx val="1538776335"/>
        <c:crosses val="autoZero"/>
        <c:auto val="1"/>
        <c:lblAlgn val="ctr"/>
        <c:lblOffset val="100"/>
        <c:noMultiLvlLbl val="0"/>
      </c:catAx>
      <c:valAx>
        <c:axId val="1538776335"/>
        <c:scaling>
          <c:orientation val="minMax"/>
          <c:max val="1"/>
          <c:min val="-1"/>
        </c:scaling>
        <c:delete val="0"/>
        <c:axPos val="l"/>
        <c:numFmt formatCode="General" sourceLinked="0"/>
        <c:majorTickMark val="out"/>
        <c:minorTickMark val="none"/>
        <c:tickLblPos val="nextTo"/>
        <c:txPr>
          <a:bodyPr/>
          <a:lstStyle/>
          <a:p>
            <a:pPr>
              <a:defRPr sz="800" b="0"/>
            </a:pPr>
            <a:endParaRPr lang="en-US"/>
          </a:p>
        </c:txPr>
        <c:crossAx val="1538778255"/>
        <c:crosses val="autoZero"/>
        <c:crossBetween val="between"/>
        <c:majorUnit val="0.5"/>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Autocorrelation of Residual West  / r west</a:t>
            </a:r>
          </a:p>
        </c:rich>
      </c:tx>
      <c:overlay val="0"/>
    </c:title>
    <c:autoTitleDeleted val="0"/>
    <c:plotArea>
      <c:layout>
        <c:manualLayout>
          <c:xMode val="edge"/>
          <c:yMode val="edge"/>
          <c:x val="2.8947368421052631E-2"/>
          <c:y val="0.12882015748031497"/>
          <c:w val="0.94210526315789478"/>
          <c:h val="0.74717984251968506"/>
        </c:manualLayout>
      </c:layout>
      <c:barChart>
        <c:barDir val="col"/>
        <c:grouping val="clustered"/>
        <c:varyColors val="0"/>
        <c:ser>
          <c:idx val="0"/>
          <c:order val="0"/>
          <c:spPr>
            <a:gradFill flip="none" rotWithShape="1">
              <a:gsLst>
                <a:gs pos="0">
                  <a:srgbClr val="333399"/>
                </a:gs>
                <a:gs pos="100000">
                  <a:srgbClr val="333399">
                    <a:shade val="46275"/>
                  </a:srgbClr>
                </a:gs>
              </a:gsLst>
              <a:lin ang="8100000" scaled="1"/>
              <a:tileRect/>
            </a:gradFill>
          </c:spPr>
          <c:invertIfNegative val="0"/>
          <c:val>
            <c:numRef>
              <c:f>'Autocorrelation West'!$B$31:$B$59</c:f>
              <c:numCache>
                <c:formatCode>0.0000</c:formatCode>
                <c:ptCount val="29"/>
                <c:pt idx="0">
                  <c:v>0.55389545176709087</c:v>
                </c:pt>
                <c:pt idx="1">
                  <c:v>0.27007061790341341</c:v>
                </c:pt>
                <c:pt idx="2">
                  <c:v>1.2322757522431714E-2</c:v>
                </c:pt>
                <c:pt idx="3">
                  <c:v>-0.31890012365057341</c:v>
                </c:pt>
                <c:pt idx="4">
                  <c:v>-0.53718854746931222</c:v>
                </c:pt>
                <c:pt idx="5">
                  <c:v>-0.6301766928150907</c:v>
                </c:pt>
                <c:pt idx="6">
                  <c:v>-0.53578468659119527</c:v>
                </c:pt>
                <c:pt idx="7">
                  <c:v>-0.29906443994813486</c:v>
                </c:pt>
                <c:pt idx="8">
                  <c:v>-5.7578841918031941E-2</c:v>
                </c:pt>
                <c:pt idx="9">
                  <c:v>0.28502794927644431</c:v>
                </c:pt>
                <c:pt idx="10">
                  <c:v>0.49902707034580396</c:v>
                </c:pt>
                <c:pt idx="11">
                  <c:v>0.6165474124471223</c:v>
                </c:pt>
                <c:pt idx="12">
                  <c:v>0.50013993187136629</c:v>
                </c:pt>
                <c:pt idx="13">
                  <c:v>0.29238543906299447</c:v>
                </c:pt>
                <c:pt idx="14">
                  <c:v>-4.2275220998558918E-2</c:v>
                </c:pt>
                <c:pt idx="15">
                  <c:v>-0.26625505793538046</c:v>
                </c:pt>
                <c:pt idx="16">
                  <c:v>-0.48638379994971825</c:v>
                </c:pt>
                <c:pt idx="17">
                  <c:v>-0.58729968904331797</c:v>
                </c:pt>
                <c:pt idx="18">
                  <c:v>-0.44822236592912096</c:v>
                </c:pt>
                <c:pt idx="19">
                  <c:v>-0.26987240491153991</c:v>
                </c:pt>
                <c:pt idx="20">
                  <c:v>-5.4676002769681641E-3</c:v>
                </c:pt>
                <c:pt idx="21">
                  <c:v>0.28808551573837909</c:v>
                </c:pt>
                <c:pt idx="22">
                  <c:v>0.43936328061261781</c:v>
                </c:pt>
                <c:pt idx="23">
                  <c:v>0.49602908668390056</c:v>
                </c:pt>
                <c:pt idx="24">
                  <c:v>0.43662327019003566</c:v>
                </c:pt>
                <c:pt idx="25">
                  <c:v>0.23608979859222237</c:v>
                </c:pt>
                <c:pt idx="26">
                  <c:v>2.8147039989761105E-2</c:v>
                </c:pt>
                <c:pt idx="27">
                  <c:v>-0.21851624715822848</c:v>
                </c:pt>
                <c:pt idx="28">
                  <c:v>-0.45949549081091356</c:v>
                </c:pt>
              </c:numCache>
            </c:numRef>
          </c:val>
          <c:extLst>
            <c:ext xmlns:c16="http://schemas.microsoft.com/office/drawing/2014/chart" uri="{C3380CC4-5D6E-409C-BE32-E72D297353CC}">
              <c16:uniqueId val="{00000000-0EE1-434B-85B4-D7F1C0EF5F5E}"/>
            </c:ext>
          </c:extLst>
        </c:ser>
        <c:dLbls>
          <c:showLegendKey val="0"/>
          <c:showVal val="0"/>
          <c:showCatName val="0"/>
          <c:showSerName val="0"/>
          <c:showPercent val="0"/>
          <c:showBubbleSize val="0"/>
        </c:dLbls>
        <c:gapWidth val="150"/>
        <c:axId val="110399375"/>
        <c:axId val="110403215"/>
      </c:barChart>
      <c:catAx>
        <c:axId val="110399375"/>
        <c:scaling>
          <c:orientation val="minMax"/>
        </c:scaling>
        <c:delete val="0"/>
        <c:axPos val="b"/>
        <c:title>
          <c:tx>
            <c:rich>
              <a:bodyPr/>
              <a:lstStyle/>
              <a:p>
                <a:pPr>
                  <a:defRPr sz="800" b="0"/>
                </a:pPr>
                <a:r>
                  <a:rPr lang="en-GB"/>
                  <a:t>Number of Lags</a:t>
                </a:r>
              </a:p>
            </c:rich>
          </c:tx>
          <c:overlay val="0"/>
        </c:title>
        <c:majorTickMark val="none"/>
        <c:minorTickMark val="none"/>
        <c:tickLblPos val="low"/>
        <c:txPr>
          <a:bodyPr rot="-60000000" vert="horz"/>
          <a:lstStyle/>
          <a:p>
            <a:pPr>
              <a:defRPr sz="800"/>
            </a:pPr>
            <a:endParaRPr lang="en-US"/>
          </a:p>
        </c:txPr>
        <c:crossAx val="110403215"/>
        <c:crosses val="autoZero"/>
        <c:auto val="1"/>
        <c:lblAlgn val="ctr"/>
        <c:lblOffset val="100"/>
        <c:noMultiLvlLbl val="0"/>
      </c:catAx>
      <c:valAx>
        <c:axId val="110403215"/>
        <c:scaling>
          <c:orientation val="minMax"/>
          <c:max val="1"/>
          <c:min val="-1"/>
        </c:scaling>
        <c:delete val="0"/>
        <c:axPos val="l"/>
        <c:numFmt formatCode="General" sourceLinked="0"/>
        <c:majorTickMark val="out"/>
        <c:minorTickMark val="none"/>
        <c:tickLblPos val="nextTo"/>
        <c:txPr>
          <a:bodyPr/>
          <a:lstStyle/>
          <a:p>
            <a:pPr>
              <a:defRPr sz="800" b="0"/>
            </a:pPr>
            <a:endParaRPr lang="en-US"/>
          </a:p>
        </c:txPr>
        <c:crossAx val="110399375"/>
        <c:crosses val="autoZero"/>
        <c:crossBetween val="between"/>
        <c:majorUnit val="0.5"/>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Deseasonalized Observations</a:t>
            </a:r>
          </a:p>
        </c:rich>
      </c:tx>
      <c:overlay val="0"/>
    </c:title>
    <c:autoTitleDeleted val="0"/>
    <c:plotArea>
      <c:layout/>
      <c:lineChart>
        <c:grouping val="standard"/>
        <c:varyColors val="0"/>
        <c:ser>
          <c:idx val="0"/>
          <c:order val="0"/>
          <c:tx>
            <c:v>East</c:v>
          </c:tx>
          <c:spPr>
            <a:ln>
              <a:solidFill>
                <a:srgbClr val="333399"/>
              </a:solidFill>
              <a:prstDash val="solid"/>
            </a:ln>
          </c:spPr>
          <c:marker>
            <c:symbol val="none"/>
          </c:marker>
          <c:cat>
            <c:strRef>
              <c:f>'Moving Averages Ds(East) a(3)'!$A$146:$A$270</c:f>
              <c:strCache>
                <c:ptCount val="125"/>
                <c:pt idx="0">
                  <c:v>Aug-2013</c:v>
                </c:pt>
                <c:pt idx="1">
                  <c:v>Sep-2013</c:v>
                </c:pt>
                <c:pt idx="2">
                  <c:v>Oct-2013</c:v>
                </c:pt>
                <c:pt idx="3">
                  <c:v>Nov-2013</c:v>
                </c:pt>
                <c:pt idx="4">
                  <c:v>Dec-2013</c:v>
                </c:pt>
                <c:pt idx="5">
                  <c:v>Jan-2014</c:v>
                </c:pt>
                <c:pt idx="6">
                  <c:v>Feb-2014</c:v>
                </c:pt>
                <c:pt idx="7">
                  <c:v>Mar-2014</c:v>
                </c:pt>
                <c:pt idx="8">
                  <c:v>Apr-2014</c:v>
                </c:pt>
                <c:pt idx="9">
                  <c:v>May-2014</c:v>
                </c:pt>
                <c:pt idx="10">
                  <c:v>Jun-2014</c:v>
                </c:pt>
                <c:pt idx="11">
                  <c:v>Jul-2014</c:v>
                </c:pt>
                <c:pt idx="12">
                  <c:v>Aug-2014</c:v>
                </c:pt>
                <c:pt idx="13">
                  <c:v>Sep-2014</c:v>
                </c:pt>
                <c:pt idx="14">
                  <c:v>Oct-2014</c:v>
                </c:pt>
                <c:pt idx="15">
                  <c:v>Nov-2014</c:v>
                </c:pt>
                <c:pt idx="16">
                  <c:v>Dec-2014</c:v>
                </c:pt>
                <c:pt idx="17">
                  <c:v>Jan-2015</c:v>
                </c:pt>
                <c:pt idx="18">
                  <c:v>Feb-2015</c:v>
                </c:pt>
                <c:pt idx="19">
                  <c:v>Mar-2015</c:v>
                </c:pt>
                <c:pt idx="20">
                  <c:v>Apr-2015</c:v>
                </c:pt>
                <c:pt idx="21">
                  <c:v>May-2015</c:v>
                </c:pt>
                <c:pt idx="22">
                  <c:v>Jun-2015</c:v>
                </c:pt>
                <c:pt idx="23">
                  <c:v>Jul-2015</c:v>
                </c:pt>
                <c:pt idx="24">
                  <c:v>Aug-2015</c:v>
                </c:pt>
                <c:pt idx="25">
                  <c:v>Sep-2015</c:v>
                </c:pt>
                <c:pt idx="26">
                  <c:v>Oct-2015</c:v>
                </c:pt>
                <c:pt idx="27">
                  <c:v>Nov-2015</c:v>
                </c:pt>
                <c:pt idx="28">
                  <c:v>Dec-2015</c:v>
                </c:pt>
                <c:pt idx="29">
                  <c:v>Jan-2016</c:v>
                </c:pt>
                <c:pt idx="30">
                  <c:v>Feb-2016</c:v>
                </c:pt>
                <c:pt idx="31">
                  <c:v>Mar-2016</c:v>
                </c:pt>
                <c:pt idx="32">
                  <c:v>Apr-2016</c:v>
                </c:pt>
                <c:pt idx="33">
                  <c:v>May-2016</c:v>
                </c:pt>
                <c:pt idx="34">
                  <c:v>Jun-2016</c:v>
                </c:pt>
                <c:pt idx="35">
                  <c:v>Jul-2016</c:v>
                </c:pt>
                <c:pt idx="36">
                  <c:v>Aug-2016</c:v>
                </c:pt>
                <c:pt idx="37">
                  <c:v>Sep-2016</c:v>
                </c:pt>
                <c:pt idx="38">
                  <c:v>Oct-2016</c:v>
                </c:pt>
                <c:pt idx="39">
                  <c:v>Nov-2016</c:v>
                </c:pt>
                <c:pt idx="40">
                  <c:v>Dec-2016</c:v>
                </c:pt>
                <c:pt idx="41">
                  <c:v>Jan-2017</c:v>
                </c:pt>
                <c:pt idx="42">
                  <c:v>Feb-2017</c:v>
                </c:pt>
                <c:pt idx="43">
                  <c:v>Mar-2017</c:v>
                </c:pt>
                <c:pt idx="44">
                  <c:v>Apr-2017</c:v>
                </c:pt>
                <c:pt idx="45">
                  <c:v>May-2017</c:v>
                </c:pt>
                <c:pt idx="46">
                  <c:v>Jun-2017</c:v>
                </c:pt>
                <c:pt idx="47">
                  <c:v>Jul-2017</c:v>
                </c:pt>
                <c:pt idx="48">
                  <c:v>Aug-2017</c:v>
                </c:pt>
                <c:pt idx="49">
                  <c:v>Sep-2017</c:v>
                </c:pt>
                <c:pt idx="50">
                  <c:v>Oct-2017</c:v>
                </c:pt>
                <c:pt idx="51">
                  <c:v>Nov-2017</c:v>
                </c:pt>
                <c:pt idx="52">
                  <c:v>Dec-2017</c:v>
                </c:pt>
                <c:pt idx="53">
                  <c:v>Jan-2018</c:v>
                </c:pt>
                <c:pt idx="54">
                  <c:v>Feb-2018</c:v>
                </c:pt>
                <c:pt idx="55">
                  <c:v>Mar-2018</c:v>
                </c:pt>
                <c:pt idx="56">
                  <c:v>Apr-2018</c:v>
                </c:pt>
                <c:pt idx="57">
                  <c:v>May-2018</c:v>
                </c:pt>
                <c:pt idx="58">
                  <c:v>Jun-2018</c:v>
                </c:pt>
                <c:pt idx="59">
                  <c:v>Jul-2018</c:v>
                </c:pt>
                <c:pt idx="60">
                  <c:v>Aug-2018</c:v>
                </c:pt>
                <c:pt idx="61">
                  <c:v>Sep-2018</c:v>
                </c:pt>
                <c:pt idx="62">
                  <c:v>Oct-2018</c:v>
                </c:pt>
                <c:pt idx="63">
                  <c:v>Nov-2018</c:v>
                </c:pt>
                <c:pt idx="64">
                  <c:v>Dec-2018</c:v>
                </c:pt>
                <c:pt idx="65">
                  <c:v>Jan-2019</c:v>
                </c:pt>
                <c:pt idx="66">
                  <c:v>Feb-2019</c:v>
                </c:pt>
                <c:pt idx="67">
                  <c:v>Mar-2019</c:v>
                </c:pt>
                <c:pt idx="68">
                  <c:v>Apr-2019</c:v>
                </c:pt>
                <c:pt idx="69">
                  <c:v>May-2019</c:v>
                </c:pt>
                <c:pt idx="70">
                  <c:v>Jun-2019</c:v>
                </c:pt>
                <c:pt idx="71">
                  <c:v>Jul-2019</c:v>
                </c:pt>
                <c:pt idx="72">
                  <c:v>Aug-2019</c:v>
                </c:pt>
                <c:pt idx="73">
                  <c:v>Sep-2019</c:v>
                </c:pt>
                <c:pt idx="74">
                  <c:v>Oct-2019</c:v>
                </c:pt>
                <c:pt idx="75">
                  <c:v>Nov-2019</c:v>
                </c:pt>
                <c:pt idx="76">
                  <c:v>Dec-2019</c:v>
                </c:pt>
                <c:pt idx="77">
                  <c:v>Jan-2020</c:v>
                </c:pt>
                <c:pt idx="78">
                  <c:v>Feb-2020</c:v>
                </c:pt>
                <c:pt idx="79">
                  <c:v>Mar-2020</c:v>
                </c:pt>
                <c:pt idx="80">
                  <c:v>Apr-2020</c:v>
                </c:pt>
                <c:pt idx="81">
                  <c:v>May-2020</c:v>
                </c:pt>
                <c:pt idx="82">
                  <c:v>Jun-2020</c:v>
                </c:pt>
                <c:pt idx="83">
                  <c:v>Jul-2020</c:v>
                </c:pt>
                <c:pt idx="84">
                  <c:v>Aug-2020</c:v>
                </c:pt>
                <c:pt idx="85">
                  <c:v>Sep-2020</c:v>
                </c:pt>
                <c:pt idx="86">
                  <c:v>Oct-2020</c:v>
                </c:pt>
                <c:pt idx="87">
                  <c:v>Nov-2020</c:v>
                </c:pt>
                <c:pt idx="88">
                  <c:v>Dec-2020</c:v>
                </c:pt>
                <c:pt idx="89">
                  <c:v>Jan-2021</c:v>
                </c:pt>
                <c:pt idx="90">
                  <c:v>Feb-2021</c:v>
                </c:pt>
                <c:pt idx="91">
                  <c:v>Mar-2021</c:v>
                </c:pt>
                <c:pt idx="92">
                  <c:v>Apr-2021</c:v>
                </c:pt>
                <c:pt idx="93">
                  <c:v>May-2021</c:v>
                </c:pt>
                <c:pt idx="94">
                  <c:v>Jun-2021</c:v>
                </c:pt>
                <c:pt idx="95">
                  <c:v>Jul-2021</c:v>
                </c:pt>
                <c:pt idx="96">
                  <c:v>Aug-2021</c:v>
                </c:pt>
                <c:pt idx="97">
                  <c:v>Sep-2021</c:v>
                </c:pt>
                <c:pt idx="98">
                  <c:v>Oct-2021</c:v>
                </c:pt>
                <c:pt idx="99">
                  <c:v>Nov-2021</c:v>
                </c:pt>
                <c:pt idx="100">
                  <c:v>Dec-2021</c:v>
                </c:pt>
                <c:pt idx="101">
                  <c:v>Jan-2022</c:v>
                </c:pt>
                <c:pt idx="102">
                  <c:v>Feb-2022</c:v>
                </c:pt>
                <c:pt idx="103">
                  <c:v>Mar-2022</c:v>
                </c:pt>
                <c:pt idx="104">
                  <c:v>Apr-2022</c:v>
                </c:pt>
                <c:pt idx="105">
                  <c:v>May-2022</c:v>
                </c:pt>
                <c:pt idx="106">
                  <c:v>Jun-2022</c:v>
                </c:pt>
                <c:pt idx="107">
                  <c:v>Jul-2022</c:v>
                </c:pt>
                <c:pt idx="108">
                  <c:v>Aug-2022</c:v>
                </c:pt>
                <c:pt idx="109">
                  <c:v>Sep-2022</c:v>
                </c:pt>
                <c:pt idx="110">
                  <c:v>Oct-2022</c:v>
                </c:pt>
                <c:pt idx="111">
                  <c:v>Nov-2022</c:v>
                </c:pt>
                <c:pt idx="112">
                  <c:v>Dec-2022</c:v>
                </c:pt>
                <c:pt idx="113">
                  <c:v>Jan-2023</c:v>
                </c:pt>
                <c:pt idx="114">
                  <c:v>Feb-2023</c:v>
                </c:pt>
                <c:pt idx="115">
                  <c:v>Mar-2023</c:v>
                </c:pt>
                <c:pt idx="116">
                  <c:v>Apr-2023</c:v>
                </c:pt>
                <c:pt idx="117">
                  <c:v>May-2023</c:v>
                </c:pt>
                <c:pt idx="118">
                  <c:v>Jun-2023</c:v>
                </c:pt>
                <c:pt idx="119">
                  <c:v>Jul-2023</c:v>
                </c:pt>
                <c:pt idx="120">
                  <c:v>Aug-2023</c:v>
                </c:pt>
                <c:pt idx="121">
                  <c:v>Sep-2023</c:v>
                </c:pt>
                <c:pt idx="122">
                  <c:v>Oct-2023</c:v>
                </c:pt>
                <c:pt idx="123">
                  <c:v>Nov-2023</c:v>
                </c:pt>
                <c:pt idx="124">
                  <c:v>Dec-2023</c:v>
                </c:pt>
              </c:strCache>
            </c:strRef>
          </c:cat>
          <c:val>
            <c:numRef>
              <c:f>'Moving Averages Ds(East) a(3)'!$D$146:$D$270</c:f>
              <c:numCache>
                <c:formatCode>0.00</c:formatCode>
                <c:ptCount val="125"/>
                <c:pt idx="0">
                  <c:v>8145.242261508587</c:v>
                </c:pt>
                <c:pt idx="1">
                  <c:v>10416.446453608565</c:v>
                </c:pt>
                <c:pt idx="2">
                  <c:v>12823.374877466002</c:v>
                </c:pt>
                <c:pt idx="3">
                  <c:v>8132.5736898867053</c:v>
                </c:pt>
                <c:pt idx="4">
                  <c:v>11467.956753951106</c:v>
                </c:pt>
                <c:pt idx="5">
                  <c:v>11072.302866226855</c:v>
                </c:pt>
                <c:pt idx="6">
                  <c:v>10173.135204727409</c:v>
                </c:pt>
                <c:pt idx="7">
                  <c:v>13154.801260364744</c:v>
                </c:pt>
                <c:pt idx="8">
                  <c:v>12394.288572970971</c:v>
                </c:pt>
                <c:pt idx="9">
                  <c:v>11360.513533881589</c:v>
                </c:pt>
                <c:pt idx="10">
                  <c:v>10473.33579782507</c:v>
                </c:pt>
                <c:pt idx="11">
                  <c:v>9752.7846194837675</c:v>
                </c:pt>
                <c:pt idx="12">
                  <c:v>11110.641823219692</c:v>
                </c:pt>
                <c:pt idx="13">
                  <c:v>10517.966670631495</c:v>
                </c:pt>
                <c:pt idx="14">
                  <c:v>10378.929420378467</c:v>
                </c:pt>
                <c:pt idx="15">
                  <c:v>12637.271456287886</c:v>
                </c:pt>
                <c:pt idx="16">
                  <c:v>10386.799346074211</c:v>
                </c:pt>
                <c:pt idx="17">
                  <c:v>11816.899701000282</c:v>
                </c:pt>
                <c:pt idx="18">
                  <c:v>12045.469202257626</c:v>
                </c:pt>
                <c:pt idx="19">
                  <c:v>10118.378006667626</c:v>
                </c:pt>
                <c:pt idx="20">
                  <c:v>10537.286663765644</c:v>
                </c:pt>
                <c:pt idx="21">
                  <c:v>7521.2927179701583</c:v>
                </c:pt>
                <c:pt idx="22">
                  <c:v>12760.314810938829</c:v>
                </c:pt>
                <c:pt idx="23">
                  <c:v>11269.577794003175</c:v>
                </c:pt>
                <c:pt idx="24">
                  <c:v>13179.065656712371</c:v>
                </c:pt>
                <c:pt idx="25">
                  <c:v>11811.759203853955</c:v>
                </c:pt>
                <c:pt idx="26">
                  <c:v>9292.878245830063</c:v>
                </c:pt>
                <c:pt idx="27">
                  <c:v>10171.337765197584</c:v>
                </c:pt>
                <c:pt idx="28">
                  <c:v>10053.322350044627</c:v>
                </c:pt>
                <c:pt idx="29">
                  <c:v>10742.905061174768</c:v>
                </c:pt>
                <c:pt idx="30">
                  <c:v>8324.2957457762368</c:v>
                </c:pt>
                <c:pt idx="31">
                  <c:v>10925.664603128642</c:v>
                </c:pt>
                <c:pt idx="32">
                  <c:v>8817.3328659407853</c:v>
                </c:pt>
                <c:pt idx="33">
                  <c:v>12009.923614968262</c:v>
                </c:pt>
                <c:pt idx="34">
                  <c:v>10299.972910978191</c:v>
                </c:pt>
                <c:pt idx="35">
                  <c:v>11764.059268638008</c:v>
                </c:pt>
                <c:pt idx="36">
                  <c:v>10962.426739609549</c:v>
                </c:pt>
                <c:pt idx="37">
                  <c:v>8064.954915123948</c:v>
                </c:pt>
                <c:pt idx="38">
                  <c:v>10019.126533805345</c:v>
                </c:pt>
                <c:pt idx="39">
                  <c:v>10303.167622698889</c:v>
                </c:pt>
                <c:pt idx="40">
                  <c:v>10243.606053830961</c:v>
                </c:pt>
                <c:pt idx="41">
                  <c:v>11300.119911038328</c:v>
                </c:pt>
                <c:pt idx="42">
                  <c:v>9819.8134899425077</c:v>
                </c:pt>
                <c:pt idx="43">
                  <c:v>10263.954278160596</c:v>
                </c:pt>
                <c:pt idx="44">
                  <c:v>10166.400212342256</c:v>
                </c:pt>
                <c:pt idx="45">
                  <c:v>9084.456086226859</c:v>
                </c:pt>
                <c:pt idx="46">
                  <c:v>10749.506908267189</c:v>
                </c:pt>
                <c:pt idx="47">
                  <c:v>9203.1052127966741</c:v>
                </c:pt>
                <c:pt idx="48">
                  <c:v>10126.932823851625</c:v>
                </c:pt>
                <c:pt idx="49">
                  <c:v>10789.474227785844</c:v>
                </c:pt>
                <c:pt idx="50">
                  <c:v>12859.908709025734</c:v>
                </c:pt>
                <c:pt idx="51">
                  <c:v>9634.8209032736686</c:v>
                </c:pt>
                <c:pt idx="52">
                  <c:v>13693.699470967009</c:v>
                </c:pt>
                <c:pt idx="53">
                  <c:v>9379.9476761987717</c:v>
                </c:pt>
                <c:pt idx="54">
                  <c:v>10928.574983653692</c:v>
                </c:pt>
                <c:pt idx="55">
                  <c:v>10978.601429126085</c:v>
                </c:pt>
                <c:pt idx="56">
                  <c:v>9579.6629854946332</c:v>
                </c:pt>
                <c:pt idx="57">
                  <c:v>11232.504815975082</c:v>
                </c:pt>
                <c:pt idx="58">
                  <c:v>8761.8812520925148</c:v>
                </c:pt>
                <c:pt idx="59">
                  <c:v>9750.4847056482558</c:v>
                </c:pt>
                <c:pt idx="60">
                  <c:v>8914.8628067731133</c:v>
                </c:pt>
                <c:pt idx="61">
                  <c:v>10906.340524126193</c:v>
                </c:pt>
                <c:pt idx="62">
                  <c:v>10258.257067650866</c:v>
                </c:pt>
                <c:pt idx="63">
                  <c:v>8841.797884506128</c:v>
                </c:pt>
                <c:pt idx="64">
                  <c:v>11921.562350855902</c:v>
                </c:pt>
                <c:pt idx="65">
                  <c:v>8840.4848038529908</c:v>
                </c:pt>
                <c:pt idx="66">
                  <c:v>10410.791498815461</c:v>
                </c:pt>
                <c:pt idx="67">
                  <c:v>10230.041624005984</c:v>
                </c:pt>
                <c:pt idx="68">
                  <c:v>10903.033811012267</c:v>
                </c:pt>
                <c:pt idx="69">
                  <c:v>11402.142385233299</c:v>
                </c:pt>
                <c:pt idx="70">
                  <c:v>12164.631868342869</c:v>
                </c:pt>
                <c:pt idx="71">
                  <c:v>11386.873399614227</c:v>
                </c:pt>
                <c:pt idx="72">
                  <c:v>11078.803027481217</c:v>
                </c:pt>
                <c:pt idx="73">
                  <c:v>11531.988373220996</c:v>
                </c:pt>
                <c:pt idx="74">
                  <c:v>9496.5820339206912</c:v>
                </c:pt>
                <c:pt idx="75">
                  <c:v>9977.1697580251202</c:v>
                </c:pt>
                <c:pt idx="76">
                  <c:v>8022.6684808500668</c:v>
                </c:pt>
                <c:pt idx="77">
                  <c:v>9109.7231295392758</c:v>
                </c:pt>
                <c:pt idx="78">
                  <c:v>10124.338855370925</c:v>
                </c:pt>
                <c:pt idx="79">
                  <c:v>8880.9796989773804</c:v>
                </c:pt>
                <c:pt idx="80">
                  <c:v>10515.016345666319</c:v>
                </c:pt>
                <c:pt idx="81">
                  <c:v>9605.8574494070235</c:v>
                </c:pt>
                <c:pt idx="82">
                  <c:v>9479.5229697377326</c:v>
                </c:pt>
                <c:pt idx="83">
                  <c:v>11934.252892465811</c:v>
                </c:pt>
                <c:pt idx="84">
                  <c:v>9691.0706890869787</c:v>
                </c:pt>
                <c:pt idx="85">
                  <c:v>10103.622529061164</c:v>
                </c:pt>
                <c:pt idx="86">
                  <c:v>10122.0855136555</c:v>
                </c:pt>
                <c:pt idx="87">
                  <c:v>10208.127492872367</c:v>
                </c:pt>
                <c:pt idx="88">
                  <c:v>8936.6068763086696</c:v>
                </c:pt>
                <c:pt idx="89">
                  <c:v>10378.989522060338</c:v>
                </c:pt>
                <c:pt idx="90">
                  <c:v>11645.158410314631</c:v>
                </c:pt>
                <c:pt idx="91">
                  <c:v>9218.4519647110847</c:v>
                </c:pt>
                <c:pt idx="92">
                  <c:v>10177.535371391919</c:v>
                </c:pt>
                <c:pt idx="93">
                  <c:v>9832.7346892738424</c:v>
                </c:pt>
                <c:pt idx="94">
                  <c:v>7919.2569881158279</c:v>
                </c:pt>
                <c:pt idx="95">
                  <c:v>9753.9345764015234</c:v>
                </c:pt>
                <c:pt idx="96">
                  <c:v>9951.2705025358991</c:v>
                </c:pt>
                <c:pt idx="97">
                  <c:v>8960.9298537332979</c:v>
                </c:pt>
                <c:pt idx="98">
                  <c:v>9743.462168400094</c:v>
                </c:pt>
                <c:pt idx="99">
                  <c:v>10867.276780378892</c:v>
                </c:pt>
                <c:pt idx="100">
                  <c:v>9563.1976584737677</c:v>
                </c:pt>
                <c:pt idx="101">
                  <c:v>11059.481993575127</c:v>
                </c:pt>
                <c:pt idx="102">
                  <c:v>9930.9607301433844</c:v>
                </c:pt>
                <c:pt idx="103">
                  <c:v>9904.9764268654308</c:v>
                </c:pt>
                <c:pt idx="104">
                  <c:v>10395.955798904539</c:v>
                </c:pt>
                <c:pt idx="105">
                  <c:v>11335.536223070563</c:v>
                </c:pt>
                <c:pt idx="106">
                  <c:v>11338.134384537985</c:v>
                </c:pt>
                <c:pt idx="107">
                  <c:v>8660.3255476161121</c:v>
                </c:pt>
                <c:pt idx="108">
                  <c:v>8774.3329497205323</c:v>
                </c:pt>
                <c:pt idx="109">
                  <c:v>10895.716315367979</c:v>
                </c:pt>
                <c:pt idx="110">
                  <c:v>11207.029602399063</c:v>
                </c:pt>
                <c:pt idx="111">
                  <c:v>11669.497231065128</c:v>
                </c:pt>
                <c:pt idx="112">
                  <c:v>11630.370622334392</c:v>
                </c:pt>
                <c:pt idx="113">
                  <c:v>10752.767270906867</c:v>
                </c:pt>
                <c:pt idx="114">
                  <c:v>11307.198509216028</c:v>
                </c:pt>
                <c:pt idx="115">
                  <c:v>8847.0670448227684</c:v>
                </c:pt>
                <c:pt idx="116">
                  <c:v>11784.424477327893</c:v>
                </c:pt>
              </c:numCache>
            </c:numRef>
          </c:val>
          <c:smooth val="0"/>
          <c:extLst>
            <c:ext xmlns:c16="http://schemas.microsoft.com/office/drawing/2014/chart" uri="{C3380CC4-5D6E-409C-BE32-E72D297353CC}">
              <c16:uniqueId val="{00000000-E081-45CA-B34D-3DCC2B0C4967}"/>
            </c:ext>
          </c:extLst>
        </c:ser>
        <c:dLbls>
          <c:showLegendKey val="0"/>
          <c:showVal val="0"/>
          <c:showCatName val="0"/>
          <c:showSerName val="0"/>
          <c:showPercent val="0"/>
          <c:showBubbleSize val="0"/>
        </c:dLbls>
        <c:smooth val="0"/>
        <c:axId val="562969599"/>
        <c:axId val="562970559"/>
      </c:lineChart>
      <c:catAx>
        <c:axId val="562969599"/>
        <c:scaling>
          <c:orientation val="minMax"/>
        </c:scaling>
        <c:delete val="0"/>
        <c:axPos val="b"/>
        <c:numFmt formatCode="General" sourceLinked="1"/>
        <c:majorTickMark val="none"/>
        <c:minorTickMark val="none"/>
        <c:tickLblPos val="low"/>
        <c:txPr>
          <a:bodyPr rot="-5400000" vert="horz"/>
          <a:lstStyle/>
          <a:p>
            <a:pPr>
              <a:defRPr sz="800"/>
            </a:pPr>
            <a:endParaRPr lang="en-US"/>
          </a:p>
        </c:txPr>
        <c:crossAx val="562970559"/>
        <c:crosses val="autoZero"/>
        <c:auto val="1"/>
        <c:lblAlgn val="ctr"/>
        <c:lblOffset val="100"/>
        <c:noMultiLvlLbl val="0"/>
      </c:catAx>
      <c:valAx>
        <c:axId val="562970559"/>
        <c:scaling>
          <c:orientation val="minMax"/>
        </c:scaling>
        <c:delete val="0"/>
        <c:axPos val="l"/>
        <c:numFmt formatCode="0.00" sourceLinked="0"/>
        <c:majorTickMark val="out"/>
        <c:minorTickMark val="none"/>
        <c:tickLblPos val="nextTo"/>
        <c:txPr>
          <a:bodyPr/>
          <a:lstStyle/>
          <a:p>
            <a:pPr>
              <a:defRPr sz="800" b="0"/>
            </a:pPr>
            <a:endParaRPr lang="en-US"/>
          </a:p>
        </c:txPr>
        <c:crossAx val="562969599"/>
        <c:crosses val="autoZero"/>
        <c:crossBetween val="between"/>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ln w="6350">
      <a:no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3.xml.rels><?xml version="1.0" encoding="UTF-8" standalone="yes"?>
<Relationships xmlns="http://schemas.openxmlformats.org/package/2006/relationships"><Relationship Id="rId1" Type="http://schemas.openxmlformats.org/officeDocument/2006/relationships/chart" Target="../charts/chart83.xml"/></Relationships>
</file>

<file path=xl/drawings/_rels/drawing105.xml.rels><?xml version="1.0" encoding="UTF-8" standalone="yes"?>
<Relationships xmlns="http://schemas.openxmlformats.org/package/2006/relationships"><Relationship Id="rId1" Type="http://schemas.openxmlformats.org/officeDocument/2006/relationships/chart" Target="../charts/chart84.xml"/></Relationships>
</file>

<file path=xl/drawings/_rels/drawing107.xml.rels><?xml version="1.0" encoding="UTF-8" standalone="yes"?>
<Relationships xmlns="http://schemas.openxmlformats.org/package/2006/relationships"><Relationship Id="rId1" Type="http://schemas.openxmlformats.org/officeDocument/2006/relationships/chart" Target="../charts/chart85.xml"/></Relationships>
</file>

<file path=xl/drawings/_rels/drawing109.xml.rels><?xml version="1.0" encoding="UTF-8" standalone="yes"?>
<Relationships xmlns="http://schemas.openxmlformats.org/package/2006/relationships"><Relationship Id="rId1" Type="http://schemas.openxmlformats.org/officeDocument/2006/relationships/chart" Target="../charts/chart86.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23.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27.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1.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35.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6" Type="http://schemas.openxmlformats.org/officeDocument/2006/relationships/chart" Target="../charts/chart31.xml"/><Relationship Id="rId5" Type="http://schemas.openxmlformats.org/officeDocument/2006/relationships/chart" Target="../charts/chart30.xml"/><Relationship Id="rId4" Type="http://schemas.openxmlformats.org/officeDocument/2006/relationships/chart" Target="../charts/chart29.xml"/></Relationships>
</file>

<file path=xl/drawings/_rels/drawing42.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chart" Target="../charts/chart32.xml"/></Relationships>
</file>

<file path=xl/drawings/_rels/drawing46.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 Id="rId6" Type="http://schemas.openxmlformats.org/officeDocument/2006/relationships/chart" Target="../charts/chart40.xml"/><Relationship Id="rId5" Type="http://schemas.openxmlformats.org/officeDocument/2006/relationships/chart" Target="../charts/chart39.xml"/><Relationship Id="rId4" Type="http://schemas.openxmlformats.org/officeDocument/2006/relationships/chart" Target="../charts/chart3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3.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 Id="rId6" Type="http://schemas.openxmlformats.org/officeDocument/2006/relationships/chart" Target="../charts/chart46.xml"/><Relationship Id="rId5" Type="http://schemas.openxmlformats.org/officeDocument/2006/relationships/chart" Target="../charts/chart45.xml"/><Relationship Id="rId4" Type="http://schemas.openxmlformats.org/officeDocument/2006/relationships/chart" Target="../charts/chart44.xml"/></Relationships>
</file>

<file path=xl/drawings/_rels/drawing60.xml.rels><?xml version="1.0" encoding="UTF-8" standalone="yes"?>
<Relationships xmlns="http://schemas.openxmlformats.org/package/2006/relationships"><Relationship Id="rId3" Type="http://schemas.openxmlformats.org/officeDocument/2006/relationships/chart" Target="../charts/chart49.xml"/><Relationship Id="rId2" Type="http://schemas.openxmlformats.org/officeDocument/2006/relationships/chart" Target="../charts/chart48.xml"/><Relationship Id="rId1" Type="http://schemas.openxmlformats.org/officeDocument/2006/relationships/chart" Target="../charts/chart47.xml"/><Relationship Id="rId6" Type="http://schemas.openxmlformats.org/officeDocument/2006/relationships/chart" Target="../charts/chart52.xml"/><Relationship Id="rId5" Type="http://schemas.openxmlformats.org/officeDocument/2006/relationships/chart" Target="../charts/chart51.xml"/><Relationship Id="rId4" Type="http://schemas.openxmlformats.org/officeDocument/2006/relationships/chart" Target="../charts/chart50.xml"/></Relationships>
</file>

<file path=xl/drawings/_rels/drawing67.xml.rels><?xml version="1.0" encoding="UTF-8" standalone="yes"?>
<Relationships xmlns="http://schemas.openxmlformats.org/package/2006/relationships"><Relationship Id="rId3" Type="http://schemas.openxmlformats.org/officeDocument/2006/relationships/chart" Target="../charts/chart55.xml"/><Relationship Id="rId2" Type="http://schemas.openxmlformats.org/officeDocument/2006/relationships/chart" Target="../charts/chart54.xml"/><Relationship Id="rId1" Type="http://schemas.openxmlformats.org/officeDocument/2006/relationships/chart" Target="../charts/chart5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1.xml.rels><?xml version="1.0" encoding="UTF-8" standalone="yes"?>
<Relationships xmlns="http://schemas.openxmlformats.org/package/2006/relationships"><Relationship Id="rId3" Type="http://schemas.openxmlformats.org/officeDocument/2006/relationships/chart" Target="../charts/chart58.xml"/><Relationship Id="rId2" Type="http://schemas.openxmlformats.org/officeDocument/2006/relationships/chart" Target="../charts/chart57.xml"/><Relationship Id="rId1" Type="http://schemas.openxmlformats.org/officeDocument/2006/relationships/chart" Target="../charts/chart56.xml"/><Relationship Id="rId6" Type="http://schemas.openxmlformats.org/officeDocument/2006/relationships/chart" Target="../charts/chart61.xml"/><Relationship Id="rId5" Type="http://schemas.openxmlformats.org/officeDocument/2006/relationships/chart" Target="../charts/chart60.xml"/><Relationship Id="rId4" Type="http://schemas.openxmlformats.org/officeDocument/2006/relationships/chart" Target="../charts/chart59.xml"/></Relationships>
</file>

<file path=xl/drawings/_rels/drawing78.xml.rels><?xml version="1.0" encoding="UTF-8" standalone="yes"?>
<Relationships xmlns="http://schemas.openxmlformats.org/package/2006/relationships"><Relationship Id="rId3" Type="http://schemas.openxmlformats.org/officeDocument/2006/relationships/chart" Target="../charts/chart64.xml"/><Relationship Id="rId2" Type="http://schemas.openxmlformats.org/officeDocument/2006/relationships/chart" Target="../charts/chart63.xml"/><Relationship Id="rId1" Type="http://schemas.openxmlformats.org/officeDocument/2006/relationships/chart" Target="../charts/chart62.xml"/></Relationships>
</file>

<file path=xl/drawings/_rels/drawing82.xml.rels><?xml version="1.0" encoding="UTF-8" standalone="yes"?>
<Relationships xmlns="http://schemas.openxmlformats.org/package/2006/relationships"><Relationship Id="rId3" Type="http://schemas.openxmlformats.org/officeDocument/2006/relationships/chart" Target="../charts/chart67.xml"/><Relationship Id="rId2" Type="http://schemas.openxmlformats.org/officeDocument/2006/relationships/chart" Target="../charts/chart66.xml"/><Relationship Id="rId1" Type="http://schemas.openxmlformats.org/officeDocument/2006/relationships/chart" Target="../charts/chart65.xml"/><Relationship Id="rId6" Type="http://schemas.openxmlformats.org/officeDocument/2006/relationships/chart" Target="../charts/chart70.xml"/><Relationship Id="rId5" Type="http://schemas.openxmlformats.org/officeDocument/2006/relationships/chart" Target="../charts/chart69.xml"/><Relationship Id="rId4" Type="http://schemas.openxmlformats.org/officeDocument/2006/relationships/chart" Target="../charts/chart68.xml"/></Relationships>
</file>

<file path=xl/drawings/_rels/drawing89.xml.rels><?xml version="1.0" encoding="UTF-8" standalone="yes"?>
<Relationships xmlns="http://schemas.openxmlformats.org/package/2006/relationships"><Relationship Id="rId3" Type="http://schemas.openxmlformats.org/officeDocument/2006/relationships/chart" Target="../charts/chart73.xml"/><Relationship Id="rId2" Type="http://schemas.openxmlformats.org/officeDocument/2006/relationships/chart" Target="../charts/chart72.xml"/><Relationship Id="rId1" Type="http://schemas.openxmlformats.org/officeDocument/2006/relationships/chart" Target="../charts/chart71.xml"/><Relationship Id="rId6" Type="http://schemas.openxmlformats.org/officeDocument/2006/relationships/chart" Target="../charts/chart76.xml"/><Relationship Id="rId5" Type="http://schemas.openxmlformats.org/officeDocument/2006/relationships/chart" Target="../charts/chart75.xml"/><Relationship Id="rId4" Type="http://schemas.openxmlformats.org/officeDocument/2006/relationships/chart" Target="../charts/chart74.xml"/></Relationships>
</file>

<file path=xl/drawings/_rels/drawing9.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96.xml.rels><?xml version="1.0" encoding="UTF-8" standalone="yes"?>
<Relationships xmlns="http://schemas.openxmlformats.org/package/2006/relationships"><Relationship Id="rId3" Type="http://schemas.openxmlformats.org/officeDocument/2006/relationships/chart" Target="../charts/chart79.xml"/><Relationship Id="rId2" Type="http://schemas.openxmlformats.org/officeDocument/2006/relationships/chart" Target="../charts/chart78.xml"/><Relationship Id="rId1" Type="http://schemas.openxmlformats.org/officeDocument/2006/relationships/chart" Target="../charts/chart77.xml"/><Relationship Id="rId6" Type="http://schemas.openxmlformats.org/officeDocument/2006/relationships/chart" Target="../charts/chart82.xml"/><Relationship Id="rId5" Type="http://schemas.openxmlformats.org/officeDocument/2006/relationships/chart" Target="../charts/chart81.xml"/><Relationship Id="rId4" Type="http://schemas.openxmlformats.org/officeDocument/2006/relationships/chart" Target="../charts/chart80.xml"/></Relationships>
</file>

<file path=xl/drawings/drawing1.xml><?xml version="1.0" encoding="utf-8"?>
<xdr:wsDr xmlns:xdr="http://schemas.openxmlformats.org/drawingml/2006/spreadsheetDrawing" xmlns:a="http://schemas.openxmlformats.org/drawingml/2006/main">
  <xdr:twoCellAnchor editAs="oneCell">
    <xdr:from>
      <xdr:col>0</xdr:col>
      <xdr:colOff>12699</xdr:colOff>
      <xdr:row>6</xdr:row>
      <xdr:rowOff>0</xdr:rowOff>
    </xdr:from>
    <xdr:to>
      <xdr:col>7</xdr:col>
      <xdr:colOff>800099</xdr:colOff>
      <xdr:row>22</xdr:row>
      <xdr:rowOff>127000</xdr:rowOff>
    </xdr:to>
    <xdr:graphicFrame macro="">
      <xdr:nvGraphicFramePr>
        <xdr:cNvPr id="2" name="Chart 1">
          <a:extLst>
            <a:ext uri="{FF2B5EF4-FFF2-40B4-BE49-F238E27FC236}">
              <a16:creationId xmlns:a16="http://schemas.microsoft.com/office/drawing/2014/main" id="{C028DC8C-D596-A618-CB13-84540FE7B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25524          ">
          <a:extLst xmlns:a="http://schemas.openxmlformats.org/drawingml/2006/main">
            <a:ext uri="{FF2B5EF4-FFF2-40B4-BE49-F238E27FC236}">
              <a16:creationId xmlns:a16="http://schemas.microsoft.com/office/drawing/2014/main" id="{EB7773F5-6B38-8B6A-552C-7D410D6BE60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25524         ">
          <a:extLst xmlns:a="http://schemas.openxmlformats.org/drawingml/2006/main">
            <a:ext uri="{FF2B5EF4-FFF2-40B4-BE49-F238E27FC236}">
              <a16:creationId xmlns:a16="http://schemas.microsoft.com/office/drawing/2014/main" id="{2F3458F8-BC3B-BBF6-9FD6-6B42CD68F44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25524        ">
          <a:extLst xmlns:a="http://schemas.openxmlformats.org/drawingml/2006/main">
            <a:ext uri="{FF2B5EF4-FFF2-40B4-BE49-F238E27FC236}">
              <a16:creationId xmlns:a16="http://schemas.microsoft.com/office/drawing/2014/main" id="{F3CDB136-40E2-57B7-BC1D-8BAF4FFEB7A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25524       ">
          <a:extLst xmlns:a="http://schemas.openxmlformats.org/drawingml/2006/main">
            <a:ext uri="{FF2B5EF4-FFF2-40B4-BE49-F238E27FC236}">
              <a16:creationId xmlns:a16="http://schemas.microsoft.com/office/drawing/2014/main" id="{390960FA-457F-60DC-0D07-302B597E483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25524      ">
          <a:extLst xmlns:a="http://schemas.openxmlformats.org/drawingml/2006/main">
            <a:ext uri="{FF2B5EF4-FFF2-40B4-BE49-F238E27FC236}">
              <a16:creationId xmlns:a16="http://schemas.microsoft.com/office/drawing/2014/main" id="{5377F717-ED91-89A2-2270-9FEF3573E08F}"/>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25524     ">
          <a:extLst xmlns:a="http://schemas.openxmlformats.org/drawingml/2006/main">
            <a:ext uri="{FF2B5EF4-FFF2-40B4-BE49-F238E27FC236}">
              <a16:creationId xmlns:a16="http://schemas.microsoft.com/office/drawing/2014/main" id="{A91D282A-BB79-AE27-F23A-D42775E276F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25524    ">
          <a:extLst xmlns:a="http://schemas.openxmlformats.org/drawingml/2006/main">
            <a:ext uri="{FF2B5EF4-FFF2-40B4-BE49-F238E27FC236}">
              <a16:creationId xmlns:a16="http://schemas.microsoft.com/office/drawing/2014/main" id="{DA75FF47-B59B-72CC-B14F-D2B26256062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25524   ">
          <a:extLst xmlns:a="http://schemas.openxmlformats.org/drawingml/2006/main">
            <a:ext uri="{FF2B5EF4-FFF2-40B4-BE49-F238E27FC236}">
              <a16:creationId xmlns:a16="http://schemas.microsoft.com/office/drawing/2014/main" id="{78FC3EA8-01E6-9EE8-4EEE-768215AF976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25524  ">
          <a:extLst xmlns:a="http://schemas.openxmlformats.org/drawingml/2006/main">
            <a:ext uri="{FF2B5EF4-FFF2-40B4-BE49-F238E27FC236}">
              <a16:creationId xmlns:a16="http://schemas.microsoft.com/office/drawing/2014/main" id="{3B65E35D-EA52-7DD8-0BEC-610ED89C75C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25524 ">
          <a:extLst xmlns:a="http://schemas.openxmlformats.org/drawingml/2006/main">
            <a:ext uri="{FF2B5EF4-FFF2-40B4-BE49-F238E27FC236}">
              <a16:creationId xmlns:a16="http://schemas.microsoft.com/office/drawing/2014/main" id="{5146D649-ED93-17A0-9747-352FC9B1D58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100.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17831          ">
          <a:extLst xmlns:a="http://schemas.openxmlformats.org/drawingml/2006/main">
            <a:ext uri="{FF2B5EF4-FFF2-40B4-BE49-F238E27FC236}">
              <a16:creationId xmlns:a16="http://schemas.microsoft.com/office/drawing/2014/main" id="{2BB79A02-6F18-BADD-137D-BE672619F24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17831         ">
          <a:extLst xmlns:a="http://schemas.openxmlformats.org/drawingml/2006/main">
            <a:ext uri="{FF2B5EF4-FFF2-40B4-BE49-F238E27FC236}">
              <a16:creationId xmlns:a16="http://schemas.microsoft.com/office/drawing/2014/main" id="{C6BEBDE8-1E04-77E4-3214-D7E1C92F7D2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17831        ">
          <a:extLst xmlns:a="http://schemas.openxmlformats.org/drawingml/2006/main">
            <a:ext uri="{FF2B5EF4-FFF2-40B4-BE49-F238E27FC236}">
              <a16:creationId xmlns:a16="http://schemas.microsoft.com/office/drawing/2014/main" id="{F1FE0FFE-AC2B-1B2A-8121-DBB0E127DBB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17831       ">
          <a:extLst xmlns:a="http://schemas.openxmlformats.org/drawingml/2006/main">
            <a:ext uri="{FF2B5EF4-FFF2-40B4-BE49-F238E27FC236}">
              <a16:creationId xmlns:a16="http://schemas.microsoft.com/office/drawing/2014/main" id="{A745673C-DDCC-AD2F-5CF7-BC647AFDCA3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17831      ">
          <a:extLst xmlns:a="http://schemas.openxmlformats.org/drawingml/2006/main">
            <a:ext uri="{FF2B5EF4-FFF2-40B4-BE49-F238E27FC236}">
              <a16:creationId xmlns:a16="http://schemas.microsoft.com/office/drawing/2014/main" id="{F4476577-DFA7-EE87-A88A-ADACFB50EF8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17831     ">
          <a:extLst xmlns:a="http://schemas.openxmlformats.org/drawingml/2006/main">
            <a:ext uri="{FF2B5EF4-FFF2-40B4-BE49-F238E27FC236}">
              <a16:creationId xmlns:a16="http://schemas.microsoft.com/office/drawing/2014/main" id="{EDDAF44A-EF0E-5659-7242-06E03A32BEE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17831    ">
          <a:extLst xmlns:a="http://schemas.openxmlformats.org/drawingml/2006/main">
            <a:ext uri="{FF2B5EF4-FFF2-40B4-BE49-F238E27FC236}">
              <a16:creationId xmlns:a16="http://schemas.microsoft.com/office/drawing/2014/main" id="{A2116860-8325-9453-D26C-E9399198CA6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17831   ">
          <a:extLst xmlns:a="http://schemas.openxmlformats.org/drawingml/2006/main">
            <a:ext uri="{FF2B5EF4-FFF2-40B4-BE49-F238E27FC236}">
              <a16:creationId xmlns:a16="http://schemas.microsoft.com/office/drawing/2014/main" id="{08B6F673-D371-4EFA-60BB-D2A30A0C823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17831  ">
          <a:extLst xmlns:a="http://schemas.openxmlformats.org/drawingml/2006/main">
            <a:ext uri="{FF2B5EF4-FFF2-40B4-BE49-F238E27FC236}">
              <a16:creationId xmlns:a16="http://schemas.microsoft.com/office/drawing/2014/main" id="{88CFABE2-8657-69D4-02A2-85F7122F15D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17831 ">
          <a:extLst xmlns:a="http://schemas.openxmlformats.org/drawingml/2006/main">
            <a:ext uri="{FF2B5EF4-FFF2-40B4-BE49-F238E27FC236}">
              <a16:creationId xmlns:a16="http://schemas.microsoft.com/office/drawing/2014/main" id="{296826D1-A83B-52E9-D5DA-F013749077E0}"/>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101.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19960          ">
          <a:extLst xmlns:a="http://schemas.openxmlformats.org/drawingml/2006/main">
            <a:ext uri="{FF2B5EF4-FFF2-40B4-BE49-F238E27FC236}">
              <a16:creationId xmlns:a16="http://schemas.microsoft.com/office/drawing/2014/main" id="{13D11BC0-C9ED-3712-839D-9134FBC3D9E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19960         ">
          <a:extLst xmlns:a="http://schemas.openxmlformats.org/drawingml/2006/main">
            <a:ext uri="{FF2B5EF4-FFF2-40B4-BE49-F238E27FC236}">
              <a16:creationId xmlns:a16="http://schemas.microsoft.com/office/drawing/2014/main" id="{3AC6D305-7188-50E2-4C52-FCCF09CE85C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19960        ">
          <a:extLst xmlns:a="http://schemas.openxmlformats.org/drawingml/2006/main">
            <a:ext uri="{FF2B5EF4-FFF2-40B4-BE49-F238E27FC236}">
              <a16:creationId xmlns:a16="http://schemas.microsoft.com/office/drawing/2014/main" id="{B625C55D-EB3C-F753-6CC7-B426FA17B23F}"/>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19960       ">
          <a:extLst xmlns:a="http://schemas.openxmlformats.org/drawingml/2006/main">
            <a:ext uri="{FF2B5EF4-FFF2-40B4-BE49-F238E27FC236}">
              <a16:creationId xmlns:a16="http://schemas.microsoft.com/office/drawing/2014/main" id="{77C7596E-E8D8-5629-CA9F-2690FD4D7F2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19960      ">
          <a:extLst xmlns:a="http://schemas.openxmlformats.org/drawingml/2006/main">
            <a:ext uri="{FF2B5EF4-FFF2-40B4-BE49-F238E27FC236}">
              <a16:creationId xmlns:a16="http://schemas.microsoft.com/office/drawing/2014/main" id="{AF873B9C-EFAC-1C74-39F5-BA28053F0E3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19960     ">
          <a:extLst xmlns:a="http://schemas.openxmlformats.org/drawingml/2006/main">
            <a:ext uri="{FF2B5EF4-FFF2-40B4-BE49-F238E27FC236}">
              <a16:creationId xmlns:a16="http://schemas.microsoft.com/office/drawing/2014/main" id="{D2D96A5A-3072-433E-E1D2-51C2BADC3D1C}"/>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19960    ">
          <a:extLst xmlns:a="http://schemas.openxmlformats.org/drawingml/2006/main">
            <a:ext uri="{FF2B5EF4-FFF2-40B4-BE49-F238E27FC236}">
              <a16:creationId xmlns:a16="http://schemas.microsoft.com/office/drawing/2014/main" id="{C62B8F50-AD83-EAEB-567B-C0AE9C28951F}"/>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19960   ">
          <a:extLst xmlns:a="http://schemas.openxmlformats.org/drawingml/2006/main">
            <a:ext uri="{FF2B5EF4-FFF2-40B4-BE49-F238E27FC236}">
              <a16:creationId xmlns:a16="http://schemas.microsoft.com/office/drawing/2014/main" id="{70CF07D4-FE3F-98AD-06E2-9ACE853FAF4F}"/>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19960  ">
          <a:extLst xmlns:a="http://schemas.openxmlformats.org/drawingml/2006/main">
            <a:ext uri="{FF2B5EF4-FFF2-40B4-BE49-F238E27FC236}">
              <a16:creationId xmlns:a16="http://schemas.microsoft.com/office/drawing/2014/main" id="{9CAB4232-DBE4-84AD-A4D1-20E3E949680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19960 ">
          <a:extLst xmlns:a="http://schemas.openxmlformats.org/drawingml/2006/main">
            <a:ext uri="{FF2B5EF4-FFF2-40B4-BE49-F238E27FC236}">
              <a16:creationId xmlns:a16="http://schemas.microsoft.com/office/drawing/2014/main" id="{8760DF09-B07A-E017-AC45-B27F7AD0CE7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102.xml><?xml version="1.0" encoding="utf-8"?>
<c:userShapes xmlns:c="http://schemas.openxmlformats.org/drawingml/2006/chart">
  <cdr:relSizeAnchor xmlns:cdr="http://schemas.openxmlformats.org/drawingml/2006/chartDrawing">
    <cdr:from>
      <cdr:x>0.08158</cdr:x>
      <cdr:y>0.46195</cdr:y>
    </cdr:from>
    <cdr:to>
      <cdr:x>0.91842</cdr:x>
      <cdr:y>0.66195</cdr:y>
    </cdr:to>
    <cdr:sp macro="objClick" textlink="">
      <cdr:nvSpPr>
        <cdr:cNvPr id="2" name="gwm_27784          ">
          <a:extLst xmlns:a="http://schemas.openxmlformats.org/drawingml/2006/main">
            <a:ext uri="{FF2B5EF4-FFF2-40B4-BE49-F238E27FC236}">
              <a16:creationId xmlns:a16="http://schemas.microsoft.com/office/drawing/2014/main" id="{9D0A5AD0-6CE3-C1C2-07AA-DE2585D1C51E}"/>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3" name="gwm_27784         ">
          <a:extLst xmlns:a="http://schemas.openxmlformats.org/drawingml/2006/main">
            <a:ext uri="{FF2B5EF4-FFF2-40B4-BE49-F238E27FC236}">
              <a16:creationId xmlns:a16="http://schemas.microsoft.com/office/drawing/2014/main" id="{1E7144FD-7B64-9226-7649-95A4C86157C0}"/>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4" name="gwm_27784        ">
          <a:extLst xmlns:a="http://schemas.openxmlformats.org/drawingml/2006/main">
            <a:ext uri="{FF2B5EF4-FFF2-40B4-BE49-F238E27FC236}">
              <a16:creationId xmlns:a16="http://schemas.microsoft.com/office/drawing/2014/main" id="{AEB24FEA-D050-143B-C714-9B7878A61C22}"/>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5" name="gwm_27784       ">
          <a:extLst xmlns:a="http://schemas.openxmlformats.org/drawingml/2006/main">
            <a:ext uri="{FF2B5EF4-FFF2-40B4-BE49-F238E27FC236}">
              <a16:creationId xmlns:a16="http://schemas.microsoft.com/office/drawing/2014/main" id="{CA24E33E-F845-F221-856A-6BEFB8AD006F}"/>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6" name="gwm_27784      ">
          <a:extLst xmlns:a="http://schemas.openxmlformats.org/drawingml/2006/main">
            <a:ext uri="{FF2B5EF4-FFF2-40B4-BE49-F238E27FC236}">
              <a16:creationId xmlns:a16="http://schemas.microsoft.com/office/drawing/2014/main" id="{04C5E339-2182-1C42-BC2D-86BDB496DB50}"/>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7" name="gwm_27784     ">
          <a:extLst xmlns:a="http://schemas.openxmlformats.org/drawingml/2006/main">
            <a:ext uri="{FF2B5EF4-FFF2-40B4-BE49-F238E27FC236}">
              <a16:creationId xmlns:a16="http://schemas.microsoft.com/office/drawing/2014/main" id="{0F431621-9F27-BA71-58EE-8FDF8967032F}"/>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8" name="gwm_27784    ">
          <a:extLst xmlns:a="http://schemas.openxmlformats.org/drawingml/2006/main">
            <a:ext uri="{FF2B5EF4-FFF2-40B4-BE49-F238E27FC236}">
              <a16:creationId xmlns:a16="http://schemas.microsoft.com/office/drawing/2014/main" id="{C0C64B40-F4EE-7513-EC21-AEF0935FB010}"/>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9" name="gwm_27784   ">
          <a:extLst xmlns:a="http://schemas.openxmlformats.org/drawingml/2006/main">
            <a:ext uri="{FF2B5EF4-FFF2-40B4-BE49-F238E27FC236}">
              <a16:creationId xmlns:a16="http://schemas.microsoft.com/office/drawing/2014/main" id="{EE17C231-B050-AF77-CB92-A257AA48216D}"/>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0" name="gwm_27784  ">
          <a:extLst xmlns:a="http://schemas.openxmlformats.org/drawingml/2006/main">
            <a:ext uri="{FF2B5EF4-FFF2-40B4-BE49-F238E27FC236}">
              <a16:creationId xmlns:a16="http://schemas.microsoft.com/office/drawing/2014/main" id="{78AA3A59-B552-C66A-AE7F-FACEE626DD37}"/>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1" name="gwm_27784 ">
          <a:extLst xmlns:a="http://schemas.openxmlformats.org/drawingml/2006/main">
            <a:ext uri="{FF2B5EF4-FFF2-40B4-BE49-F238E27FC236}">
              <a16:creationId xmlns:a16="http://schemas.microsoft.com/office/drawing/2014/main" id="{F8401CEE-80CA-3850-E8B2-FBDF0F34ED06}"/>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103.xml><?xml version="1.0" encoding="utf-8"?>
<xdr:wsDr xmlns:xdr="http://schemas.openxmlformats.org/drawingml/2006/spreadsheetDrawing" xmlns:a="http://schemas.openxmlformats.org/drawingml/2006/main">
  <xdr:twoCellAnchor editAs="oneCell">
    <xdr:from>
      <xdr:col>0</xdr:col>
      <xdr:colOff>12700</xdr:colOff>
      <xdr:row>6</xdr:row>
      <xdr:rowOff>0</xdr:rowOff>
    </xdr:from>
    <xdr:to>
      <xdr:col>5</xdr:col>
      <xdr:colOff>361950</xdr:colOff>
      <xdr:row>22</xdr:row>
      <xdr:rowOff>127000</xdr:rowOff>
    </xdr:to>
    <xdr:graphicFrame macro="">
      <xdr:nvGraphicFramePr>
        <xdr:cNvPr id="2" name="Chart 1">
          <a:extLst>
            <a:ext uri="{FF2B5EF4-FFF2-40B4-BE49-F238E27FC236}">
              <a16:creationId xmlns:a16="http://schemas.microsoft.com/office/drawing/2014/main" id="{076C6CB0-CBFB-181A-83CE-6A75C89C17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4.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15983          ">
          <a:extLst xmlns:a="http://schemas.openxmlformats.org/drawingml/2006/main">
            <a:ext uri="{FF2B5EF4-FFF2-40B4-BE49-F238E27FC236}">
              <a16:creationId xmlns:a16="http://schemas.microsoft.com/office/drawing/2014/main" id="{91F5306D-A745-F6BA-1C56-10F47BDF70B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15983         ">
          <a:extLst xmlns:a="http://schemas.openxmlformats.org/drawingml/2006/main">
            <a:ext uri="{FF2B5EF4-FFF2-40B4-BE49-F238E27FC236}">
              <a16:creationId xmlns:a16="http://schemas.microsoft.com/office/drawing/2014/main" id="{31BBA21D-4ECA-D0EA-158A-CD6ADEE3902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15983        ">
          <a:extLst xmlns:a="http://schemas.openxmlformats.org/drawingml/2006/main">
            <a:ext uri="{FF2B5EF4-FFF2-40B4-BE49-F238E27FC236}">
              <a16:creationId xmlns:a16="http://schemas.microsoft.com/office/drawing/2014/main" id="{5F562A58-50E9-A10D-0152-43EEECD1A1A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15983       ">
          <a:extLst xmlns:a="http://schemas.openxmlformats.org/drawingml/2006/main">
            <a:ext uri="{FF2B5EF4-FFF2-40B4-BE49-F238E27FC236}">
              <a16:creationId xmlns:a16="http://schemas.microsoft.com/office/drawing/2014/main" id="{B24D07A1-1ED5-8BC3-3ECF-09B92C6E1A4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15983      ">
          <a:extLst xmlns:a="http://schemas.openxmlformats.org/drawingml/2006/main">
            <a:ext uri="{FF2B5EF4-FFF2-40B4-BE49-F238E27FC236}">
              <a16:creationId xmlns:a16="http://schemas.microsoft.com/office/drawing/2014/main" id="{52F481C4-2149-C89C-5505-3EB54FDDEF4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15983     ">
          <a:extLst xmlns:a="http://schemas.openxmlformats.org/drawingml/2006/main">
            <a:ext uri="{FF2B5EF4-FFF2-40B4-BE49-F238E27FC236}">
              <a16:creationId xmlns:a16="http://schemas.microsoft.com/office/drawing/2014/main" id="{C33C5E37-F613-8AB4-9134-738D704256FF}"/>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15983    ">
          <a:extLst xmlns:a="http://schemas.openxmlformats.org/drawingml/2006/main">
            <a:ext uri="{FF2B5EF4-FFF2-40B4-BE49-F238E27FC236}">
              <a16:creationId xmlns:a16="http://schemas.microsoft.com/office/drawing/2014/main" id="{0210FF9F-2FBA-7AD8-0811-FFD545D2F9D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15983   ">
          <a:extLst xmlns:a="http://schemas.openxmlformats.org/drawingml/2006/main">
            <a:ext uri="{FF2B5EF4-FFF2-40B4-BE49-F238E27FC236}">
              <a16:creationId xmlns:a16="http://schemas.microsoft.com/office/drawing/2014/main" id="{9DEE6364-98CE-9B53-B18C-865B4E4D2FA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15983  ">
          <a:extLst xmlns:a="http://schemas.openxmlformats.org/drawingml/2006/main">
            <a:ext uri="{FF2B5EF4-FFF2-40B4-BE49-F238E27FC236}">
              <a16:creationId xmlns:a16="http://schemas.microsoft.com/office/drawing/2014/main" id="{4EC2A3B8-E23F-4031-0B07-54EE45B879F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15983 ">
          <a:extLst xmlns:a="http://schemas.openxmlformats.org/drawingml/2006/main">
            <a:ext uri="{FF2B5EF4-FFF2-40B4-BE49-F238E27FC236}">
              <a16:creationId xmlns:a16="http://schemas.microsoft.com/office/drawing/2014/main" id="{1D8CEAC6-E7AF-0285-8C40-E8D9EEB3B87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105.xml><?xml version="1.0" encoding="utf-8"?>
<xdr:wsDr xmlns:xdr="http://schemas.openxmlformats.org/drawingml/2006/spreadsheetDrawing" xmlns:a="http://schemas.openxmlformats.org/drawingml/2006/main">
  <xdr:twoCellAnchor editAs="oneCell">
    <xdr:from>
      <xdr:col>0</xdr:col>
      <xdr:colOff>12700</xdr:colOff>
      <xdr:row>6</xdr:row>
      <xdr:rowOff>0</xdr:rowOff>
    </xdr:from>
    <xdr:to>
      <xdr:col>5</xdr:col>
      <xdr:colOff>361950</xdr:colOff>
      <xdr:row>22</xdr:row>
      <xdr:rowOff>127000</xdr:rowOff>
    </xdr:to>
    <xdr:graphicFrame macro="">
      <xdr:nvGraphicFramePr>
        <xdr:cNvPr id="2" name="Chart 1">
          <a:extLst>
            <a:ext uri="{FF2B5EF4-FFF2-40B4-BE49-F238E27FC236}">
              <a16:creationId xmlns:a16="http://schemas.microsoft.com/office/drawing/2014/main" id="{5B5EF424-B660-DB83-847E-556FD278DE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6.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32048          ">
          <a:extLst xmlns:a="http://schemas.openxmlformats.org/drawingml/2006/main">
            <a:ext uri="{FF2B5EF4-FFF2-40B4-BE49-F238E27FC236}">
              <a16:creationId xmlns:a16="http://schemas.microsoft.com/office/drawing/2014/main" id="{D47C2F97-9EEC-88BF-8B39-FC0D6F26C2DC}"/>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32048         ">
          <a:extLst xmlns:a="http://schemas.openxmlformats.org/drawingml/2006/main">
            <a:ext uri="{FF2B5EF4-FFF2-40B4-BE49-F238E27FC236}">
              <a16:creationId xmlns:a16="http://schemas.microsoft.com/office/drawing/2014/main" id="{8DF9051C-BA32-9D1D-7EA9-46548189B250}"/>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32048        ">
          <a:extLst xmlns:a="http://schemas.openxmlformats.org/drawingml/2006/main">
            <a:ext uri="{FF2B5EF4-FFF2-40B4-BE49-F238E27FC236}">
              <a16:creationId xmlns:a16="http://schemas.microsoft.com/office/drawing/2014/main" id="{F0B886F0-B687-DFD8-E937-7094B60CBBD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32048       ">
          <a:extLst xmlns:a="http://schemas.openxmlformats.org/drawingml/2006/main">
            <a:ext uri="{FF2B5EF4-FFF2-40B4-BE49-F238E27FC236}">
              <a16:creationId xmlns:a16="http://schemas.microsoft.com/office/drawing/2014/main" id="{98C43169-7F64-8841-1029-C42A5D6F186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32048      ">
          <a:extLst xmlns:a="http://schemas.openxmlformats.org/drawingml/2006/main">
            <a:ext uri="{FF2B5EF4-FFF2-40B4-BE49-F238E27FC236}">
              <a16:creationId xmlns:a16="http://schemas.microsoft.com/office/drawing/2014/main" id="{64223928-E3D7-ED94-A017-75CEB7F774F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32048     ">
          <a:extLst xmlns:a="http://schemas.openxmlformats.org/drawingml/2006/main">
            <a:ext uri="{FF2B5EF4-FFF2-40B4-BE49-F238E27FC236}">
              <a16:creationId xmlns:a16="http://schemas.microsoft.com/office/drawing/2014/main" id="{1A76CCA2-E9B9-D03C-8E65-1A448CBADF2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32048    ">
          <a:extLst xmlns:a="http://schemas.openxmlformats.org/drawingml/2006/main">
            <a:ext uri="{FF2B5EF4-FFF2-40B4-BE49-F238E27FC236}">
              <a16:creationId xmlns:a16="http://schemas.microsoft.com/office/drawing/2014/main" id="{A853A51A-EAB0-8317-9B32-B67ABC54C1F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32048   ">
          <a:extLst xmlns:a="http://schemas.openxmlformats.org/drawingml/2006/main">
            <a:ext uri="{FF2B5EF4-FFF2-40B4-BE49-F238E27FC236}">
              <a16:creationId xmlns:a16="http://schemas.microsoft.com/office/drawing/2014/main" id="{C8FB135D-FAD4-A2CB-28A8-4CBB91BAD62C}"/>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32048  ">
          <a:extLst xmlns:a="http://schemas.openxmlformats.org/drawingml/2006/main">
            <a:ext uri="{FF2B5EF4-FFF2-40B4-BE49-F238E27FC236}">
              <a16:creationId xmlns:a16="http://schemas.microsoft.com/office/drawing/2014/main" id="{D315E034-9042-7F7A-C5FC-4637353698C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32048 ">
          <a:extLst xmlns:a="http://schemas.openxmlformats.org/drawingml/2006/main">
            <a:ext uri="{FF2B5EF4-FFF2-40B4-BE49-F238E27FC236}">
              <a16:creationId xmlns:a16="http://schemas.microsoft.com/office/drawing/2014/main" id="{828C9792-6E9E-77FC-2690-6E394E860DA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107.xml><?xml version="1.0" encoding="utf-8"?>
<xdr:wsDr xmlns:xdr="http://schemas.openxmlformats.org/drawingml/2006/spreadsheetDrawing" xmlns:a="http://schemas.openxmlformats.org/drawingml/2006/main">
  <xdr:twoCellAnchor editAs="oneCell">
    <xdr:from>
      <xdr:col>0</xdr:col>
      <xdr:colOff>12700</xdr:colOff>
      <xdr:row>6</xdr:row>
      <xdr:rowOff>0</xdr:rowOff>
    </xdr:from>
    <xdr:to>
      <xdr:col>5</xdr:col>
      <xdr:colOff>361950</xdr:colOff>
      <xdr:row>22</xdr:row>
      <xdr:rowOff>127000</xdr:rowOff>
    </xdr:to>
    <xdr:graphicFrame macro="">
      <xdr:nvGraphicFramePr>
        <xdr:cNvPr id="2" name="Chart 1">
          <a:extLst>
            <a:ext uri="{FF2B5EF4-FFF2-40B4-BE49-F238E27FC236}">
              <a16:creationId xmlns:a16="http://schemas.microsoft.com/office/drawing/2014/main" id="{5B688506-D6DF-DBDF-96B7-677091DD68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8.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32437          ">
          <a:extLst xmlns:a="http://schemas.openxmlformats.org/drawingml/2006/main">
            <a:ext uri="{FF2B5EF4-FFF2-40B4-BE49-F238E27FC236}">
              <a16:creationId xmlns:a16="http://schemas.microsoft.com/office/drawing/2014/main" id="{D5EC01E8-DE41-1243-9F56-146A9EC4EFE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32437         ">
          <a:extLst xmlns:a="http://schemas.openxmlformats.org/drawingml/2006/main">
            <a:ext uri="{FF2B5EF4-FFF2-40B4-BE49-F238E27FC236}">
              <a16:creationId xmlns:a16="http://schemas.microsoft.com/office/drawing/2014/main" id="{9B70647D-EA6E-5B41-A969-37F8853A59B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32437        ">
          <a:extLst xmlns:a="http://schemas.openxmlformats.org/drawingml/2006/main">
            <a:ext uri="{FF2B5EF4-FFF2-40B4-BE49-F238E27FC236}">
              <a16:creationId xmlns:a16="http://schemas.microsoft.com/office/drawing/2014/main" id="{E206B64C-CE29-AE29-EC70-33EBF861D14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32437       ">
          <a:extLst xmlns:a="http://schemas.openxmlformats.org/drawingml/2006/main">
            <a:ext uri="{FF2B5EF4-FFF2-40B4-BE49-F238E27FC236}">
              <a16:creationId xmlns:a16="http://schemas.microsoft.com/office/drawing/2014/main" id="{ED105904-87B2-B469-19D8-54BBBBE39C2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32437      ">
          <a:extLst xmlns:a="http://schemas.openxmlformats.org/drawingml/2006/main">
            <a:ext uri="{FF2B5EF4-FFF2-40B4-BE49-F238E27FC236}">
              <a16:creationId xmlns:a16="http://schemas.microsoft.com/office/drawing/2014/main" id="{3B0ADE57-3AC2-93DF-BAB7-A414C1BC0A8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32437     ">
          <a:extLst xmlns:a="http://schemas.openxmlformats.org/drawingml/2006/main">
            <a:ext uri="{FF2B5EF4-FFF2-40B4-BE49-F238E27FC236}">
              <a16:creationId xmlns:a16="http://schemas.microsoft.com/office/drawing/2014/main" id="{64B30EE8-9A87-DDD3-4ACF-FBD8A930562F}"/>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32437    ">
          <a:extLst xmlns:a="http://schemas.openxmlformats.org/drawingml/2006/main">
            <a:ext uri="{FF2B5EF4-FFF2-40B4-BE49-F238E27FC236}">
              <a16:creationId xmlns:a16="http://schemas.microsoft.com/office/drawing/2014/main" id="{430EE484-5C38-E523-F855-37F1EACFF2D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32437   ">
          <a:extLst xmlns:a="http://schemas.openxmlformats.org/drawingml/2006/main">
            <a:ext uri="{FF2B5EF4-FFF2-40B4-BE49-F238E27FC236}">
              <a16:creationId xmlns:a16="http://schemas.microsoft.com/office/drawing/2014/main" id="{14428BE7-9FAC-8C51-9B9E-D3C77E48FFC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32437  ">
          <a:extLst xmlns:a="http://schemas.openxmlformats.org/drawingml/2006/main">
            <a:ext uri="{FF2B5EF4-FFF2-40B4-BE49-F238E27FC236}">
              <a16:creationId xmlns:a16="http://schemas.microsoft.com/office/drawing/2014/main" id="{F877C07E-7BBB-4FE8-FAFA-6385251567C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32437 ">
          <a:extLst xmlns:a="http://schemas.openxmlformats.org/drawingml/2006/main">
            <a:ext uri="{FF2B5EF4-FFF2-40B4-BE49-F238E27FC236}">
              <a16:creationId xmlns:a16="http://schemas.microsoft.com/office/drawing/2014/main" id="{C04FC2C0-03F0-0DAB-FF6F-BAE3CAEECAC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109.xml><?xml version="1.0" encoding="utf-8"?>
<xdr:wsDr xmlns:xdr="http://schemas.openxmlformats.org/drawingml/2006/spreadsheetDrawing" xmlns:a="http://schemas.openxmlformats.org/drawingml/2006/main">
  <xdr:twoCellAnchor editAs="oneCell">
    <xdr:from>
      <xdr:col>0</xdr:col>
      <xdr:colOff>12700</xdr:colOff>
      <xdr:row>6</xdr:row>
      <xdr:rowOff>0</xdr:rowOff>
    </xdr:from>
    <xdr:to>
      <xdr:col>5</xdr:col>
      <xdr:colOff>361950</xdr:colOff>
      <xdr:row>22</xdr:row>
      <xdr:rowOff>127000</xdr:rowOff>
    </xdr:to>
    <xdr:graphicFrame macro="">
      <xdr:nvGraphicFramePr>
        <xdr:cNvPr id="2" name="Chart 1">
          <a:extLst>
            <a:ext uri="{FF2B5EF4-FFF2-40B4-BE49-F238E27FC236}">
              <a16:creationId xmlns:a16="http://schemas.microsoft.com/office/drawing/2014/main" id="{0D3152E5-31C2-1929-1D07-1ABC27076D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32360          ">
          <a:extLst xmlns:a="http://schemas.openxmlformats.org/drawingml/2006/main">
            <a:ext uri="{FF2B5EF4-FFF2-40B4-BE49-F238E27FC236}">
              <a16:creationId xmlns:a16="http://schemas.microsoft.com/office/drawing/2014/main" id="{49EDFA1A-7D71-74EF-C054-BA6B8D2999B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32360         ">
          <a:extLst xmlns:a="http://schemas.openxmlformats.org/drawingml/2006/main">
            <a:ext uri="{FF2B5EF4-FFF2-40B4-BE49-F238E27FC236}">
              <a16:creationId xmlns:a16="http://schemas.microsoft.com/office/drawing/2014/main" id="{E136263B-CDFE-28C9-7438-DE1600A028BB}"/>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32360        ">
          <a:extLst xmlns:a="http://schemas.openxmlformats.org/drawingml/2006/main">
            <a:ext uri="{FF2B5EF4-FFF2-40B4-BE49-F238E27FC236}">
              <a16:creationId xmlns:a16="http://schemas.microsoft.com/office/drawing/2014/main" id="{3A680141-E282-AEEA-B14C-2123A8A65FF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32360       ">
          <a:extLst xmlns:a="http://schemas.openxmlformats.org/drawingml/2006/main">
            <a:ext uri="{FF2B5EF4-FFF2-40B4-BE49-F238E27FC236}">
              <a16:creationId xmlns:a16="http://schemas.microsoft.com/office/drawing/2014/main" id="{37D69293-FF0C-3F10-2339-FE49EF03ECC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32360      ">
          <a:extLst xmlns:a="http://schemas.openxmlformats.org/drawingml/2006/main">
            <a:ext uri="{FF2B5EF4-FFF2-40B4-BE49-F238E27FC236}">
              <a16:creationId xmlns:a16="http://schemas.microsoft.com/office/drawing/2014/main" id="{AC9C1997-3EC8-F190-42B2-3A5C73D14C7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32360     ">
          <a:extLst xmlns:a="http://schemas.openxmlformats.org/drawingml/2006/main">
            <a:ext uri="{FF2B5EF4-FFF2-40B4-BE49-F238E27FC236}">
              <a16:creationId xmlns:a16="http://schemas.microsoft.com/office/drawing/2014/main" id="{8E62D167-A27B-3DDB-0392-6669C207227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32360    ">
          <a:extLst xmlns:a="http://schemas.openxmlformats.org/drawingml/2006/main">
            <a:ext uri="{FF2B5EF4-FFF2-40B4-BE49-F238E27FC236}">
              <a16:creationId xmlns:a16="http://schemas.microsoft.com/office/drawing/2014/main" id="{F1C88F39-AC0E-BCF6-7880-EF6C89A1AD8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32360   ">
          <a:extLst xmlns:a="http://schemas.openxmlformats.org/drawingml/2006/main">
            <a:ext uri="{FF2B5EF4-FFF2-40B4-BE49-F238E27FC236}">
              <a16:creationId xmlns:a16="http://schemas.microsoft.com/office/drawing/2014/main" id="{7563EAF7-AC27-D779-7F88-21A9B7C1897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32360  ">
          <a:extLst xmlns:a="http://schemas.openxmlformats.org/drawingml/2006/main">
            <a:ext uri="{FF2B5EF4-FFF2-40B4-BE49-F238E27FC236}">
              <a16:creationId xmlns:a16="http://schemas.microsoft.com/office/drawing/2014/main" id="{29304AF7-697C-6E53-8C7A-44D4C711652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32360 ">
          <a:extLst xmlns:a="http://schemas.openxmlformats.org/drawingml/2006/main">
            <a:ext uri="{FF2B5EF4-FFF2-40B4-BE49-F238E27FC236}">
              <a16:creationId xmlns:a16="http://schemas.microsoft.com/office/drawing/2014/main" id="{36D228DE-C1D2-CE3C-E87B-A5411F8481F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110.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28614          ">
          <a:extLst xmlns:a="http://schemas.openxmlformats.org/drawingml/2006/main">
            <a:ext uri="{FF2B5EF4-FFF2-40B4-BE49-F238E27FC236}">
              <a16:creationId xmlns:a16="http://schemas.microsoft.com/office/drawing/2014/main" id="{89631338-EAA4-B636-5967-05DC50D18C7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28614         ">
          <a:extLst xmlns:a="http://schemas.openxmlformats.org/drawingml/2006/main">
            <a:ext uri="{FF2B5EF4-FFF2-40B4-BE49-F238E27FC236}">
              <a16:creationId xmlns:a16="http://schemas.microsoft.com/office/drawing/2014/main" id="{E38ED2C0-E5A2-9A7C-C48C-BF1B8E30F5C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28614        ">
          <a:extLst xmlns:a="http://schemas.openxmlformats.org/drawingml/2006/main">
            <a:ext uri="{FF2B5EF4-FFF2-40B4-BE49-F238E27FC236}">
              <a16:creationId xmlns:a16="http://schemas.microsoft.com/office/drawing/2014/main" id="{83D2925C-9343-0F44-92A4-0AB360CAF80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28614       ">
          <a:extLst xmlns:a="http://schemas.openxmlformats.org/drawingml/2006/main">
            <a:ext uri="{FF2B5EF4-FFF2-40B4-BE49-F238E27FC236}">
              <a16:creationId xmlns:a16="http://schemas.microsoft.com/office/drawing/2014/main" id="{05ED393F-EB45-A010-2D93-4BF6E25DE72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28614      ">
          <a:extLst xmlns:a="http://schemas.openxmlformats.org/drawingml/2006/main">
            <a:ext uri="{FF2B5EF4-FFF2-40B4-BE49-F238E27FC236}">
              <a16:creationId xmlns:a16="http://schemas.microsoft.com/office/drawing/2014/main" id="{E1825D5E-BA7E-4E2B-2690-483BD383A83F}"/>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28614     ">
          <a:extLst xmlns:a="http://schemas.openxmlformats.org/drawingml/2006/main">
            <a:ext uri="{FF2B5EF4-FFF2-40B4-BE49-F238E27FC236}">
              <a16:creationId xmlns:a16="http://schemas.microsoft.com/office/drawing/2014/main" id="{D4C680A0-F62B-DDB8-712C-1217954C6CA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28614    ">
          <a:extLst xmlns:a="http://schemas.openxmlformats.org/drawingml/2006/main">
            <a:ext uri="{FF2B5EF4-FFF2-40B4-BE49-F238E27FC236}">
              <a16:creationId xmlns:a16="http://schemas.microsoft.com/office/drawing/2014/main" id="{EF606C20-84E2-3F48-A24A-E48110A7E8A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28614   ">
          <a:extLst xmlns:a="http://schemas.openxmlformats.org/drawingml/2006/main">
            <a:ext uri="{FF2B5EF4-FFF2-40B4-BE49-F238E27FC236}">
              <a16:creationId xmlns:a16="http://schemas.microsoft.com/office/drawing/2014/main" id="{4C9F363B-A206-284C-1DD5-A737A962B56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28614  ">
          <a:extLst xmlns:a="http://schemas.openxmlformats.org/drawingml/2006/main">
            <a:ext uri="{FF2B5EF4-FFF2-40B4-BE49-F238E27FC236}">
              <a16:creationId xmlns:a16="http://schemas.microsoft.com/office/drawing/2014/main" id="{C4DF027F-6CBB-B22C-EAD1-50000F9AE03C}"/>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28614 ">
          <a:extLst xmlns:a="http://schemas.openxmlformats.org/drawingml/2006/main">
            <a:ext uri="{FF2B5EF4-FFF2-40B4-BE49-F238E27FC236}">
              <a16:creationId xmlns:a16="http://schemas.microsoft.com/office/drawing/2014/main" id="{7841FD33-707D-C369-A871-DEB0A1744E9F}"/>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12.xml><?xml version="1.0" encoding="utf-8"?>
<c:userShapes xmlns:c="http://schemas.openxmlformats.org/drawingml/2006/chart">
  <cdr:relSizeAnchor xmlns:cdr="http://schemas.openxmlformats.org/drawingml/2006/chartDrawing">
    <cdr:from>
      <cdr:x>0.08158</cdr:x>
      <cdr:y>0.46195</cdr:y>
    </cdr:from>
    <cdr:to>
      <cdr:x>0.91842</cdr:x>
      <cdr:y>0.66195</cdr:y>
    </cdr:to>
    <cdr:sp macro="objClick" textlink="">
      <cdr:nvSpPr>
        <cdr:cNvPr id="2" name="gwm_20936          ">
          <a:extLst xmlns:a="http://schemas.openxmlformats.org/drawingml/2006/main">
            <a:ext uri="{FF2B5EF4-FFF2-40B4-BE49-F238E27FC236}">
              <a16:creationId xmlns:a16="http://schemas.microsoft.com/office/drawing/2014/main" id="{A01E9B19-E636-9551-29D9-FC1BCFF3F5F5}"/>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3" name="gwm_20936         ">
          <a:extLst xmlns:a="http://schemas.openxmlformats.org/drawingml/2006/main">
            <a:ext uri="{FF2B5EF4-FFF2-40B4-BE49-F238E27FC236}">
              <a16:creationId xmlns:a16="http://schemas.microsoft.com/office/drawing/2014/main" id="{C2D46EB3-CDC3-3670-3A9C-877D03D630D6}"/>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4" name="gwm_20936        ">
          <a:extLst xmlns:a="http://schemas.openxmlformats.org/drawingml/2006/main">
            <a:ext uri="{FF2B5EF4-FFF2-40B4-BE49-F238E27FC236}">
              <a16:creationId xmlns:a16="http://schemas.microsoft.com/office/drawing/2014/main" id="{63B86F17-E500-0E45-FFF8-6F4FE14BD90C}"/>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5" name="gwm_20936       ">
          <a:extLst xmlns:a="http://schemas.openxmlformats.org/drawingml/2006/main">
            <a:ext uri="{FF2B5EF4-FFF2-40B4-BE49-F238E27FC236}">
              <a16:creationId xmlns:a16="http://schemas.microsoft.com/office/drawing/2014/main" id="{7057C377-669D-0CDF-CBF5-153751C7F597}"/>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6" name="gwm_20936      ">
          <a:extLst xmlns:a="http://schemas.openxmlformats.org/drawingml/2006/main">
            <a:ext uri="{FF2B5EF4-FFF2-40B4-BE49-F238E27FC236}">
              <a16:creationId xmlns:a16="http://schemas.microsoft.com/office/drawing/2014/main" id="{8C02EA3B-E84C-6482-B401-22AD04324291}"/>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7" name="gwm_20936     ">
          <a:extLst xmlns:a="http://schemas.openxmlformats.org/drawingml/2006/main">
            <a:ext uri="{FF2B5EF4-FFF2-40B4-BE49-F238E27FC236}">
              <a16:creationId xmlns:a16="http://schemas.microsoft.com/office/drawing/2014/main" id="{6F45DB8E-B8C2-0C5B-4DAF-B59F1A3BDA13}"/>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8" name="gwm_20936    ">
          <a:extLst xmlns:a="http://schemas.openxmlformats.org/drawingml/2006/main">
            <a:ext uri="{FF2B5EF4-FFF2-40B4-BE49-F238E27FC236}">
              <a16:creationId xmlns:a16="http://schemas.microsoft.com/office/drawing/2014/main" id="{400BACA3-9706-7D60-D7C0-37312B0EB6C8}"/>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9" name="gwm_20936   ">
          <a:extLst xmlns:a="http://schemas.openxmlformats.org/drawingml/2006/main">
            <a:ext uri="{FF2B5EF4-FFF2-40B4-BE49-F238E27FC236}">
              <a16:creationId xmlns:a16="http://schemas.microsoft.com/office/drawing/2014/main" id="{6E19FCF2-6550-8380-A8F9-9A39C83495BA}"/>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0" name="gwm_20936  ">
          <a:extLst xmlns:a="http://schemas.openxmlformats.org/drawingml/2006/main">
            <a:ext uri="{FF2B5EF4-FFF2-40B4-BE49-F238E27FC236}">
              <a16:creationId xmlns:a16="http://schemas.microsoft.com/office/drawing/2014/main" id="{D31F4BD7-1892-844C-5D0A-FF0D7516C952}"/>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1" name="gwm_20936 ">
          <a:extLst xmlns:a="http://schemas.openxmlformats.org/drawingml/2006/main">
            <a:ext uri="{FF2B5EF4-FFF2-40B4-BE49-F238E27FC236}">
              <a16:creationId xmlns:a16="http://schemas.microsoft.com/office/drawing/2014/main" id="{557456A4-CF17-A0F9-10C4-1DFD4C00F66A}"/>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13.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17752          ">
          <a:extLst xmlns:a="http://schemas.openxmlformats.org/drawingml/2006/main">
            <a:ext uri="{FF2B5EF4-FFF2-40B4-BE49-F238E27FC236}">
              <a16:creationId xmlns:a16="http://schemas.microsoft.com/office/drawing/2014/main" id="{431A4231-FE4B-F2E5-2C67-8830266F52C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17752         ">
          <a:extLst xmlns:a="http://schemas.openxmlformats.org/drawingml/2006/main">
            <a:ext uri="{FF2B5EF4-FFF2-40B4-BE49-F238E27FC236}">
              <a16:creationId xmlns:a16="http://schemas.microsoft.com/office/drawing/2014/main" id="{D022FB11-5C33-77D9-359C-9162E09512CC}"/>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17752        ">
          <a:extLst xmlns:a="http://schemas.openxmlformats.org/drawingml/2006/main">
            <a:ext uri="{FF2B5EF4-FFF2-40B4-BE49-F238E27FC236}">
              <a16:creationId xmlns:a16="http://schemas.microsoft.com/office/drawing/2014/main" id="{9339F91F-0A13-7C6D-BC21-B0071698105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17752       ">
          <a:extLst xmlns:a="http://schemas.openxmlformats.org/drawingml/2006/main">
            <a:ext uri="{FF2B5EF4-FFF2-40B4-BE49-F238E27FC236}">
              <a16:creationId xmlns:a16="http://schemas.microsoft.com/office/drawing/2014/main" id="{F8D26594-76CC-3C55-3657-649B13BFACA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17752      ">
          <a:extLst xmlns:a="http://schemas.openxmlformats.org/drawingml/2006/main">
            <a:ext uri="{FF2B5EF4-FFF2-40B4-BE49-F238E27FC236}">
              <a16:creationId xmlns:a16="http://schemas.microsoft.com/office/drawing/2014/main" id="{047E3683-240E-EE91-2B30-7BE668F557D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17752     ">
          <a:extLst xmlns:a="http://schemas.openxmlformats.org/drawingml/2006/main">
            <a:ext uri="{FF2B5EF4-FFF2-40B4-BE49-F238E27FC236}">
              <a16:creationId xmlns:a16="http://schemas.microsoft.com/office/drawing/2014/main" id="{0D1BDA82-DE46-E9D7-24B3-BD130F5A5A2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17752    ">
          <a:extLst xmlns:a="http://schemas.openxmlformats.org/drawingml/2006/main">
            <a:ext uri="{FF2B5EF4-FFF2-40B4-BE49-F238E27FC236}">
              <a16:creationId xmlns:a16="http://schemas.microsoft.com/office/drawing/2014/main" id="{B5E26E7B-0083-395A-23C7-4FF793B6236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17752   ">
          <a:extLst xmlns:a="http://schemas.openxmlformats.org/drawingml/2006/main">
            <a:ext uri="{FF2B5EF4-FFF2-40B4-BE49-F238E27FC236}">
              <a16:creationId xmlns:a16="http://schemas.microsoft.com/office/drawing/2014/main" id="{C9230AC5-BC31-5C0B-7C0F-84D70B5F0C0B}"/>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17752  ">
          <a:extLst xmlns:a="http://schemas.openxmlformats.org/drawingml/2006/main">
            <a:ext uri="{FF2B5EF4-FFF2-40B4-BE49-F238E27FC236}">
              <a16:creationId xmlns:a16="http://schemas.microsoft.com/office/drawing/2014/main" id="{24B14EE1-5FD6-F339-16E5-3A9BDD34D1B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17752 ">
          <a:extLst xmlns:a="http://schemas.openxmlformats.org/drawingml/2006/main">
            <a:ext uri="{FF2B5EF4-FFF2-40B4-BE49-F238E27FC236}">
              <a16:creationId xmlns:a16="http://schemas.microsoft.com/office/drawing/2014/main" id="{A5E510C9-5A83-7ADC-54CE-26483E1D025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14.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6958          ">
          <a:extLst xmlns:a="http://schemas.openxmlformats.org/drawingml/2006/main">
            <a:ext uri="{FF2B5EF4-FFF2-40B4-BE49-F238E27FC236}">
              <a16:creationId xmlns:a16="http://schemas.microsoft.com/office/drawing/2014/main" id="{5E271DEC-CAFC-7D8A-9EF1-A5BFE925FD7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6958         ">
          <a:extLst xmlns:a="http://schemas.openxmlformats.org/drawingml/2006/main">
            <a:ext uri="{FF2B5EF4-FFF2-40B4-BE49-F238E27FC236}">
              <a16:creationId xmlns:a16="http://schemas.microsoft.com/office/drawing/2014/main" id="{B7CA48EC-AEA5-4B6E-C057-AA813A568540}"/>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6958        ">
          <a:extLst xmlns:a="http://schemas.openxmlformats.org/drawingml/2006/main">
            <a:ext uri="{FF2B5EF4-FFF2-40B4-BE49-F238E27FC236}">
              <a16:creationId xmlns:a16="http://schemas.microsoft.com/office/drawing/2014/main" id="{F92BF1BD-4803-8C04-A889-913F30B3516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6958       ">
          <a:extLst xmlns:a="http://schemas.openxmlformats.org/drawingml/2006/main">
            <a:ext uri="{FF2B5EF4-FFF2-40B4-BE49-F238E27FC236}">
              <a16:creationId xmlns:a16="http://schemas.microsoft.com/office/drawing/2014/main" id="{5BFFB449-52D0-5EF8-DD9C-31FD07DC7D2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6958      ">
          <a:extLst xmlns:a="http://schemas.openxmlformats.org/drawingml/2006/main">
            <a:ext uri="{FF2B5EF4-FFF2-40B4-BE49-F238E27FC236}">
              <a16:creationId xmlns:a16="http://schemas.microsoft.com/office/drawing/2014/main" id="{9FB1A14E-A2E8-72C6-2A9B-90BFB2D8F88F}"/>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6958     ">
          <a:extLst xmlns:a="http://schemas.openxmlformats.org/drawingml/2006/main">
            <a:ext uri="{FF2B5EF4-FFF2-40B4-BE49-F238E27FC236}">
              <a16:creationId xmlns:a16="http://schemas.microsoft.com/office/drawing/2014/main" id="{C5E7254A-7DCD-0CAD-4981-B194293E534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6958    ">
          <a:extLst xmlns:a="http://schemas.openxmlformats.org/drawingml/2006/main">
            <a:ext uri="{FF2B5EF4-FFF2-40B4-BE49-F238E27FC236}">
              <a16:creationId xmlns:a16="http://schemas.microsoft.com/office/drawing/2014/main" id="{4751ACDE-561D-C3A9-D78B-659400EFE35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6958   ">
          <a:extLst xmlns:a="http://schemas.openxmlformats.org/drawingml/2006/main">
            <a:ext uri="{FF2B5EF4-FFF2-40B4-BE49-F238E27FC236}">
              <a16:creationId xmlns:a16="http://schemas.microsoft.com/office/drawing/2014/main" id="{6A4777C6-49E9-8362-2C64-3BD70B8BB58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6958  ">
          <a:extLst xmlns:a="http://schemas.openxmlformats.org/drawingml/2006/main">
            <a:ext uri="{FF2B5EF4-FFF2-40B4-BE49-F238E27FC236}">
              <a16:creationId xmlns:a16="http://schemas.microsoft.com/office/drawing/2014/main" id="{06631E2E-3567-DFB5-179C-C013CC2D764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6958 ">
          <a:extLst xmlns:a="http://schemas.openxmlformats.org/drawingml/2006/main">
            <a:ext uri="{FF2B5EF4-FFF2-40B4-BE49-F238E27FC236}">
              <a16:creationId xmlns:a16="http://schemas.microsoft.com/office/drawing/2014/main" id="{8DDCF138-81F3-8151-D1E8-C1C67F07C46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15.xml><?xml version="1.0" encoding="utf-8"?>
<c:userShapes xmlns:c="http://schemas.openxmlformats.org/drawingml/2006/chart">
  <cdr:relSizeAnchor xmlns:cdr="http://schemas.openxmlformats.org/drawingml/2006/chartDrawing">
    <cdr:from>
      <cdr:x>0.08158</cdr:x>
      <cdr:y>0.46195</cdr:y>
    </cdr:from>
    <cdr:to>
      <cdr:x>0.91842</cdr:x>
      <cdr:y>0.66195</cdr:y>
    </cdr:to>
    <cdr:sp macro="objClick" textlink="">
      <cdr:nvSpPr>
        <cdr:cNvPr id="2" name="gwm_8503          ">
          <a:extLst xmlns:a="http://schemas.openxmlformats.org/drawingml/2006/main">
            <a:ext uri="{FF2B5EF4-FFF2-40B4-BE49-F238E27FC236}">
              <a16:creationId xmlns:a16="http://schemas.microsoft.com/office/drawing/2014/main" id="{BAA0BC6E-2DE3-5F8C-411E-682949B01740}"/>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3" name="gwm_8503         ">
          <a:extLst xmlns:a="http://schemas.openxmlformats.org/drawingml/2006/main">
            <a:ext uri="{FF2B5EF4-FFF2-40B4-BE49-F238E27FC236}">
              <a16:creationId xmlns:a16="http://schemas.microsoft.com/office/drawing/2014/main" id="{D3FE8D2D-5A52-845D-186B-786F1A761369}"/>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4" name="gwm_8503        ">
          <a:extLst xmlns:a="http://schemas.openxmlformats.org/drawingml/2006/main">
            <a:ext uri="{FF2B5EF4-FFF2-40B4-BE49-F238E27FC236}">
              <a16:creationId xmlns:a16="http://schemas.microsoft.com/office/drawing/2014/main" id="{5D803D60-DC19-2243-8C60-B24752682E83}"/>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5" name="gwm_8503       ">
          <a:extLst xmlns:a="http://schemas.openxmlformats.org/drawingml/2006/main">
            <a:ext uri="{FF2B5EF4-FFF2-40B4-BE49-F238E27FC236}">
              <a16:creationId xmlns:a16="http://schemas.microsoft.com/office/drawing/2014/main" id="{7CD40D04-55D9-A39F-155C-C194F5FB3F9A}"/>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6" name="gwm_8503      ">
          <a:extLst xmlns:a="http://schemas.openxmlformats.org/drawingml/2006/main">
            <a:ext uri="{FF2B5EF4-FFF2-40B4-BE49-F238E27FC236}">
              <a16:creationId xmlns:a16="http://schemas.microsoft.com/office/drawing/2014/main" id="{FCF602CA-C5A2-3229-DD59-287271F1F61A}"/>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7" name="gwm_8503     ">
          <a:extLst xmlns:a="http://schemas.openxmlformats.org/drawingml/2006/main">
            <a:ext uri="{FF2B5EF4-FFF2-40B4-BE49-F238E27FC236}">
              <a16:creationId xmlns:a16="http://schemas.microsoft.com/office/drawing/2014/main" id="{8E8F9319-9183-051D-FE85-DC49FDCCECEF}"/>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8" name="gwm_8503    ">
          <a:extLst xmlns:a="http://schemas.openxmlformats.org/drawingml/2006/main">
            <a:ext uri="{FF2B5EF4-FFF2-40B4-BE49-F238E27FC236}">
              <a16:creationId xmlns:a16="http://schemas.microsoft.com/office/drawing/2014/main" id="{29D68961-2571-0703-9C64-8BA653821A75}"/>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9" name="gwm_8503   ">
          <a:extLst xmlns:a="http://schemas.openxmlformats.org/drawingml/2006/main">
            <a:ext uri="{FF2B5EF4-FFF2-40B4-BE49-F238E27FC236}">
              <a16:creationId xmlns:a16="http://schemas.microsoft.com/office/drawing/2014/main" id="{A49E58AA-E9A9-344F-C267-73F8F5EBB474}"/>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0" name="gwm_8503  ">
          <a:extLst xmlns:a="http://schemas.openxmlformats.org/drawingml/2006/main">
            <a:ext uri="{FF2B5EF4-FFF2-40B4-BE49-F238E27FC236}">
              <a16:creationId xmlns:a16="http://schemas.microsoft.com/office/drawing/2014/main" id="{0AB4E359-8F85-1EDF-C814-B392ACA6569E}"/>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1" name="gwm_8503 ">
          <a:extLst xmlns:a="http://schemas.openxmlformats.org/drawingml/2006/main">
            <a:ext uri="{FF2B5EF4-FFF2-40B4-BE49-F238E27FC236}">
              <a16:creationId xmlns:a16="http://schemas.microsoft.com/office/drawing/2014/main" id="{CC812390-EECE-724F-777F-7E1B365E7AC7}"/>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16.xml><?xml version="1.0" encoding="utf-8"?>
<xdr:wsDr xmlns:xdr="http://schemas.openxmlformats.org/drawingml/2006/spreadsheetDrawing" xmlns:a="http://schemas.openxmlformats.org/drawingml/2006/main">
  <xdr:twoCellAnchor editAs="oneCell">
    <xdr:from>
      <xdr:col>0</xdr:col>
      <xdr:colOff>12700</xdr:colOff>
      <xdr:row>16</xdr:row>
      <xdr:rowOff>0</xdr:rowOff>
    </xdr:from>
    <xdr:to>
      <xdr:col>4</xdr:col>
      <xdr:colOff>19050</xdr:colOff>
      <xdr:row>32</xdr:row>
      <xdr:rowOff>127000</xdr:rowOff>
    </xdr:to>
    <xdr:graphicFrame macro="">
      <xdr:nvGraphicFramePr>
        <xdr:cNvPr id="2" name="Chart 1">
          <a:extLst>
            <a:ext uri="{FF2B5EF4-FFF2-40B4-BE49-F238E27FC236}">
              <a16:creationId xmlns:a16="http://schemas.microsoft.com/office/drawing/2014/main" id="{1061F962-E7D8-1113-82DE-E94953F332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xdr:colOff>
      <xdr:row>37</xdr:row>
      <xdr:rowOff>0</xdr:rowOff>
    </xdr:from>
    <xdr:to>
      <xdr:col>4</xdr:col>
      <xdr:colOff>19050</xdr:colOff>
      <xdr:row>53</xdr:row>
      <xdr:rowOff>127000</xdr:rowOff>
    </xdr:to>
    <xdr:graphicFrame macro="">
      <xdr:nvGraphicFramePr>
        <xdr:cNvPr id="3" name="Chart 2">
          <a:extLst>
            <a:ext uri="{FF2B5EF4-FFF2-40B4-BE49-F238E27FC236}">
              <a16:creationId xmlns:a16="http://schemas.microsoft.com/office/drawing/2014/main" id="{810A28BF-9B2A-986F-CAFD-A3B03055F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12700</xdr:colOff>
      <xdr:row>58</xdr:row>
      <xdr:rowOff>0</xdr:rowOff>
    </xdr:from>
    <xdr:to>
      <xdr:col>4</xdr:col>
      <xdr:colOff>19050</xdr:colOff>
      <xdr:row>74</xdr:row>
      <xdr:rowOff>127000</xdr:rowOff>
    </xdr:to>
    <xdr:graphicFrame macro="">
      <xdr:nvGraphicFramePr>
        <xdr:cNvPr id="4" name="Chart 3">
          <a:extLst>
            <a:ext uri="{FF2B5EF4-FFF2-40B4-BE49-F238E27FC236}">
              <a16:creationId xmlns:a16="http://schemas.microsoft.com/office/drawing/2014/main" id="{3C3E6C77-C205-94E8-F8D0-C22E030AFE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79</xdr:row>
      <xdr:rowOff>0</xdr:rowOff>
    </xdr:from>
    <xdr:to>
      <xdr:col>4</xdr:col>
      <xdr:colOff>19050</xdr:colOff>
      <xdr:row>95</xdr:row>
      <xdr:rowOff>127000</xdr:rowOff>
    </xdr:to>
    <xdr:graphicFrame macro="">
      <xdr:nvGraphicFramePr>
        <xdr:cNvPr id="5" name="Chart 4">
          <a:extLst>
            <a:ext uri="{FF2B5EF4-FFF2-40B4-BE49-F238E27FC236}">
              <a16:creationId xmlns:a16="http://schemas.microsoft.com/office/drawing/2014/main" id="{5BA82469-251C-9A42-F5F1-A7FAD7C462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12700</xdr:colOff>
      <xdr:row>100</xdr:row>
      <xdr:rowOff>0</xdr:rowOff>
    </xdr:from>
    <xdr:to>
      <xdr:col>4</xdr:col>
      <xdr:colOff>19050</xdr:colOff>
      <xdr:row>116</xdr:row>
      <xdr:rowOff>127000</xdr:rowOff>
    </xdr:to>
    <xdr:graphicFrame macro="">
      <xdr:nvGraphicFramePr>
        <xdr:cNvPr id="6" name="Chart 5">
          <a:extLst>
            <a:ext uri="{FF2B5EF4-FFF2-40B4-BE49-F238E27FC236}">
              <a16:creationId xmlns:a16="http://schemas.microsoft.com/office/drawing/2014/main" id="{9C1E516F-A8D9-DDE0-4B5F-84E6891357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12700</xdr:colOff>
      <xdr:row>121</xdr:row>
      <xdr:rowOff>0</xdr:rowOff>
    </xdr:from>
    <xdr:to>
      <xdr:col>4</xdr:col>
      <xdr:colOff>19050</xdr:colOff>
      <xdr:row>137</xdr:row>
      <xdr:rowOff>127000</xdr:rowOff>
    </xdr:to>
    <xdr:graphicFrame macro="">
      <xdr:nvGraphicFramePr>
        <xdr:cNvPr id="7" name="Chart 6">
          <a:extLst>
            <a:ext uri="{FF2B5EF4-FFF2-40B4-BE49-F238E27FC236}">
              <a16:creationId xmlns:a16="http://schemas.microsoft.com/office/drawing/2014/main" id="{03509991-BD41-E81C-C432-F345F8904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3392          ">
          <a:extLst xmlns:a="http://schemas.openxmlformats.org/drawingml/2006/main">
            <a:ext uri="{FF2B5EF4-FFF2-40B4-BE49-F238E27FC236}">
              <a16:creationId xmlns:a16="http://schemas.microsoft.com/office/drawing/2014/main" id="{13589932-DD72-A5CA-ACEE-44243E522C4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3392         ">
          <a:extLst xmlns:a="http://schemas.openxmlformats.org/drawingml/2006/main">
            <a:ext uri="{FF2B5EF4-FFF2-40B4-BE49-F238E27FC236}">
              <a16:creationId xmlns:a16="http://schemas.microsoft.com/office/drawing/2014/main" id="{590AC2F3-4B67-0940-594C-23521370BFE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3392        ">
          <a:extLst xmlns:a="http://schemas.openxmlformats.org/drawingml/2006/main">
            <a:ext uri="{FF2B5EF4-FFF2-40B4-BE49-F238E27FC236}">
              <a16:creationId xmlns:a16="http://schemas.microsoft.com/office/drawing/2014/main" id="{13E06847-BF1A-41EF-0D2E-D888944F647F}"/>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3392       ">
          <a:extLst xmlns:a="http://schemas.openxmlformats.org/drawingml/2006/main">
            <a:ext uri="{FF2B5EF4-FFF2-40B4-BE49-F238E27FC236}">
              <a16:creationId xmlns:a16="http://schemas.microsoft.com/office/drawing/2014/main" id="{DA13705A-B2A6-6787-9E86-315B7BFDC23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3392      ">
          <a:extLst xmlns:a="http://schemas.openxmlformats.org/drawingml/2006/main">
            <a:ext uri="{FF2B5EF4-FFF2-40B4-BE49-F238E27FC236}">
              <a16:creationId xmlns:a16="http://schemas.microsoft.com/office/drawing/2014/main" id="{F743CB7E-301D-C442-DAB4-6264DB74741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3392     ">
          <a:extLst xmlns:a="http://schemas.openxmlformats.org/drawingml/2006/main">
            <a:ext uri="{FF2B5EF4-FFF2-40B4-BE49-F238E27FC236}">
              <a16:creationId xmlns:a16="http://schemas.microsoft.com/office/drawing/2014/main" id="{278639B2-78D8-2FBD-A3DE-6652E4E2509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3392    ">
          <a:extLst xmlns:a="http://schemas.openxmlformats.org/drawingml/2006/main">
            <a:ext uri="{FF2B5EF4-FFF2-40B4-BE49-F238E27FC236}">
              <a16:creationId xmlns:a16="http://schemas.microsoft.com/office/drawing/2014/main" id="{19483E0D-758C-71BD-DF40-8AF86E37B1DF}"/>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3392   ">
          <a:extLst xmlns:a="http://schemas.openxmlformats.org/drawingml/2006/main">
            <a:ext uri="{FF2B5EF4-FFF2-40B4-BE49-F238E27FC236}">
              <a16:creationId xmlns:a16="http://schemas.microsoft.com/office/drawing/2014/main" id="{0ABF0CC9-446A-F06F-7B39-2A9D05879B1F}"/>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3392  ">
          <a:extLst xmlns:a="http://schemas.openxmlformats.org/drawingml/2006/main">
            <a:ext uri="{FF2B5EF4-FFF2-40B4-BE49-F238E27FC236}">
              <a16:creationId xmlns:a16="http://schemas.microsoft.com/office/drawing/2014/main" id="{4DB295AE-5A46-09CF-5EF1-D12D21D3454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3392 ">
          <a:extLst xmlns:a="http://schemas.openxmlformats.org/drawingml/2006/main">
            <a:ext uri="{FF2B5EF4-FFF2-40B4-BE49-F238E27FC236}">
              <a16:creationId xmlns:a16="http://schemas.microsoft.com/office/drawing/2014/main" id="{B2857FE9-D303-7159-5444-141E3579C2D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18.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11410          ">
          <a:extLst xmlns:a="http://schemas.openxmlformats.org/drawingml/2006/main">
            <a:ext uri="{FF2B5EF4-FFF2-40B4-BE49-F238E27FC236}">
              <a16:creationId xmlns:a16="http://schemas.microsoft.com/office/drawing/2014/main" id="{DA39A8B9-F941-6EFD-D613-6D3F0AC5246B}"/>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11410         ">
          <a:extLst xmlns:a="http://schemas.openxmlformats.org/drawingml/2006/main">
            <a:ext uri="{FF2B5EF4-FFF2-40B4-BE49-F238E27FC236}">
              <a16:creationId xmlns:a16="http://schemas.microsoft.com/office/drawing/2014/main" id="{F9EB2AC5-CF0A-6078-1DC9-CE7CD1E092AF}"/>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11410        ">
          <a:extLst xmlns:a="http://schemas.openxmlformats.org/drawingml/2006/main">
            <a:ext uri="{FF2B5EF4-FFF2-40B4-BE49-F238E27FC236}">
              <a16:creationId xmlns:a16="http://schemas.microsoft.com/office/drawing/2014/main" id="{0FFB3D19-2678-2A0F-F09F-8E81EB5E78C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11410       ">
          <a:extLst xmlns:a="http://schemas.openxmlformats.org/drawingml/2006/main">
            <a:ext uri="{FF2B5EF4-FFF2-40B4-BE49-F238E27FC236}">
              <a16:creationId xmlns:a16="http://schemas.microsoft.com/office/drawing/2014/main" id="{A2D69204-0D37-B3D6-F265-6A7FF93BE30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11410      ">
          <a:extLst xmlns:a="http://schemas.openxmlformats.org/drawingml/2006/main">
            <a:ext uri="{FF2B5EF4-FFF2-40B4-BE49-F238E27FC236}">
              <a16:creationId xmlns:a16="http://schemas.microsoft.com/office/drawing/2014/main" id="{4A465A20-F635-8B9D-6AA1-719A21AC559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11410     ">
          <a:extLst xmlns:a="http://schemas.openxmlformats.org/drawingml/2006/main">
            <a:ext uri="{FF2B5EF4-FFF2-40B4-BE49-F238E27FC236}">
              <a16:creationId xmlns:a16="http://schemas.microsoft.com/office/drawing/2014/main" id="{E9857D52-6D15-4748-A294-7FFE09F90E7C}"/>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11410    ">
          <a:extLst xmlns:a="http://schemas.openxmlformats.org/drawingml/2006/main">
            <a:ext uri="{FF2B5EF4-FFF2-40B4-BE49-F238E27FC236}">
              <a16:creationId xmlns:a16="http://schemas.microsoft.com/office/drawing/2014/main" id="{A30F4CBF-DF9B-B631-24A0-682732C47A7C}"/>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11410   ">
          <a:extLst xmlns:a="http://schemas.openxmlformats.org/drawingml/2006/main">
            <a:ext uri="{FF2B5EF4-FFF2-40B4-BE49-F238E27FC236}">
              <a16:creationId xmlns:a16="http://schemas.microsoft.com/office/drawing/2014/main" id="{7D7824B1-DB53-04E2-6CEB-E57241C9196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11410  ">
          <a:extLst xmlns:a="http://schemas.openxmlformats.org/drawingml/2006/main">
            <a:ext uri="{FF2B5EF4-FFF2-40B4-BE49-F238E27FC236}">
              <a16:creationId xmlns:a16="http://schemas.microsoft.com/office/drawing/2014/main" id="{A397DEB9-1854-983F-BA48-B2874C82AD2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11410 ">
          <a:extLst xmlns:a="http://schemas.openxmlformats.org/drawingml/2006/main">
            <a:ext uri="{FF2B5EF4-FFF2-40B4-BE49-F238E27FC236}">
              <a16:creationId xmlns:a16="http://schemas.microsoft.com/office/drawing/2014/main" id="{C91C70BE-7FA9-3FA4-332E-ACBE7924092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19.xml><?xml version="1.0" encoding="utf-8"?>
<c:userShapes xmlns:c="http://schemas.openxmlformats.org/drawingml/2006/chart">
  <cdr:relSizeAnchor xmlns:cdr="http://schemas.openxmlformats.org/drawingml/2006/chartDrawing">
    <cdr:from>
      <cdr:x>0.08158</cdr:x>
      <cdr:y>0.46195</cdr:y>
    </cdr:from>
    <cdr:to>
      <cdr:x>0.91842</cdr:x>
      <cdr:y>0.66195</cdr:y>
    </cdr:to>
    <cdr:sp macro="objClick" textlink="">
      <cdr:nvSpPr>
        <cdr:cNvPr id="2" name="gwm_19153          ">
          <a:extLst xmlns:a="http://schemas.openxmlformats.org/drawingml/2006/main">
            <a:ext uri="{FF2B5EF4-FFF2-40B4-BE49-F238E27FC236}">
              <a16:creationId xmlns:a16="http://schemas.microsoft.com/office/drawing/2014/main" id="{75015B5C-CE09-3BDA-92BB-99CCB7FEB8D4}"/>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3" name="gwm_19153         ">
          <a:extLst xmlns:a="http://schemas.openxmlformats.org/drawingml/2006/main">
            <a:ext uri="{FF2B5EF4-FFF2-40B4-BE49-F238E27FC236}">
              <a16:creationId xmlns:a16="http://schemas.microsoft.com/office/drawing/2014/main" id="{4A090F88-85FE-3918-3E31-8B1B2E469629}"/>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4" name="gwm_19153        ">
          <a:extLst xmlns:a="http://schemas.openxmlformats.org/drawingml/2006/main">
            <a:ext uri="{FF2B5EF4-FFF2-40B4-BE49-F238E27FC236}">
              <a16:creationId xmlns:a16="http://schemas.microsoft.com/office/drawing/2014/main" id="{6330AB51-65C3-0B36-3CFF-C8B649EED456}"/>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5" name="gwm_19153       ">
          <a:extLst xmlns:a="http://schemas.openxmlformats.org/drawingml/2006/main">
            <a:ext uri="{FF2B5EF4-FFF2-40B4-BE49-F238E27FC236}">
              <a16:creationId xmlns:a16="http://schemas.microsoft.com/office/drawing/2014/main" id="{79C62D3A-7869-9EFF-6427-3BEF551EF9B2}"/>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6" name="gwm_19153      ">
          <a:extLst xmlns:a="http://schemas.openxmlformats.org/drawingml/2006/main">
            <a:ext uri="{FF2B5EF4-FFF2-40B4-BE49-F238E27FC236}">
              <a16:creationId xmlns:a16="http://schemas.microsoft.com/office/drawing/2014/main" id="{8D2F0EF7-128E-79CC-CBED-3E69287283D6}"/>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7" name="gwm_19153     ">
          <a:extLst xmlns:a="http://schemas.openxmlformats.org/drawingml/2006/main">
            <a:ext uri="{FF2B5EF4-FFF2-40B4-BE49-F238E27FC236}">
              <a16:creationId xmlns:a16="http://schemas.microsoft.com/office/drawing/2014/main" id="{0F6E4F4D-4215-C0BB-FC2A-90EB58761FB2}"/>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8" name="gwm_19153    ">
          <a:extLst xmlns:a="http://schemas.openxmlformats.org/drawingml/2006/main">
            <a:ext uri="{FF2B5EF4-FFF2-40B4-BE49-F238E27FC236}">
              <a16:creationId xmlns:a16="http://schemas.microsoft.com/office/drawing/2014/main" id="{89D87011-DD75-B591-B016-330CA087BD0A}"/>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9" name="gwm_19153   ">
          <a:extLst xmlns:a="http://schemas.openxmlformats.org/drawingml/2006/main">
            <a:ext uri="{FF2B5EF4-FFF2-40B4-BE49-F238E27FC236}">
              <a16:creationId xmlns:a16="http://schemas.microsoft.com/office/drawing/2014/main" id="{7638CB53-E7E5-CCAE-0D8D-8B79C6921409}"/>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0" name="gwm_19153  ">
          <a:extLst xmlns:a="http://schemas.openxmlformats.org/drawingml/2006/main">
            <a:ext uri="{FF2B5EF4-FFF2-40B4-BE49-F238E27FC236}">
              <a16:creationId xmlns:a16="http://schemas.microsoft.com/office/drawing/2014/main" id="{F5B2AAF5-CA34-8F99-E5BE-C2184F772F4B}"/>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1" name="gwm_19153 ">
          <a:extLst xmlns:a="http://schemas.openxmlformats.org/drawingml/2006/main">
            <a:ext uri="{FF2B5EF4-FFF2-40B4-BE49-F238E27FC236}">
              <a16:creationId xmlns:a16="http://schemas.microsoft.com/office/drawing/2014/main" id="{0C020197-0FCE-8B1D-93EF-DB5F51C380C5}"/>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2.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15020          ">
          <a:extLst xmlns:a="http://schemas.openxmlformats.org/drawingml/2006/main">
            <a:ext uri="{FF2B5EF4-FFF2-40B4-BE49-F238E27FC236}">
              <a16:creationId xmlns:a16="http://schemas.microsoft.com/office/drawing/2014/main" id="{98937DE9-9ADB-FC77-18CD-C12AECA4A14C}"/>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15020         ">
          <a:extLst xmlns:a="http://schemas.openxmlformats.org/drawingml/2006/main">
            <a:ext uri="{FF2B5EF4-FFF2-40B4-BE49-F238E27FC236}">
              <a16:creationId xmlns:a16="http://schemas.microsoft.com/office/drawing/2014/main" id="{35DD9E13-1D73-830A-52CE-875106DF02E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15020        ">
          <a:extLst xmlns:a="http://schemas.openxmlformats.org/drawingml/2006/main">
            <a:ext uri="{FF2B5EF4-FFF2-40B4-BE49-F238E27FC236}">
              <a16:creationId xmlns:a16="http://schemas.microsoft.com/office/drawing/2014/main" id="{D4B24E7C-DD1A-6845-F3BB-AB3090F3499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15020       ">
          <a:extLst xmlns:a="http://schemas.openxmlformats.org/drawingml/2006/main">
            <a:ext uri="{FF2B5EF4-FFF2-40B4-BE49-F238E27FC236}">
              <a16:creationId xmlns:a16="http://schemas.microsoft.com/office/drawing/2014/main" id="{26A703AD-7CFB-930F-E2CD-DB908E3483BC}"/>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15020      ">
          <a:extLst xmlns:a="http://schemas.openxmlformats.org/drawingml/2006/main">
            <a:ext uri="{FF2B5EF4-FFF2-40B4-BE49-F238E27FC236}">
              <a16:creationId xmlns:a16="http://schemas.microsoft.com/office/drawing/2014/main" id="{7CD2CC65-10BB-4DF7-943A-9E74DC573C1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15020     ">
          <a:extLst xmlns:a="http://schemas.openxmlformats.org/drawingml/2006/main">
            <a:ext uri="{FF2B5EF4-FFF2-40B4-BE49-F238E27FC236}">
              <a16:creationId xmlns:a16="http://schemas.microsoft.com/office/drawing/2014/main" id="{9E314653-A94C-75C2-A74A-137C4F30D59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15020    ">
          <a:extLst xmlns:a="http://schemas.openxmlformats.org/drawingml/2006/main">
            <a:ext uri="{FF2B5EF4-FFF2-40B4-BE49-F238E27FC236}">
              <a16:creationId xmlns:a16="http://schemas.microsoft.com/office/drawing/2014/main" id="{143F979E-B423-1F62-FEBB-010A7BC8E90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15020   ">
          <a:extLst xmlns:a="http://schemas.openxmlformats.org/drawingml/2006/main">
            <a:ext uri="{FF2B5EF4-FFF2-40B4-BE49-F238E27FC236}">
              <a16:creationId xmlns:a16="http://schemas.microsoft.com/office/drawing/2014/main" id="{F6079812-4700-4AEB-B764-2DAEEA59BDC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15020  ">
          <a:extLst xmlns:a="http://schemas.openxmlformats.org/drawingml/2006/main">
            <a:ext uri="{FF2B5EF4-FFF2-40B4-BE49-F238E27FC236}">
              <a16:creationId xmlns:a16="http://schemas.microsoft.com/office/drawing/2014/main" id="{005842EF-F2F4-5327-2299-EAB00531B98C}"/>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15020 ">
          <a:extLst xmlns:a="http://schemas.openxmlformats.org/drawingml/2006/main">
            <a:ext uri="{FF2B5EF4-FFF2-40B4-BE49-F238E27FC236}">
              <a16:creationId xmlns:a16="http://schemas.microsoft.com/office/drawing/2014/main" id="{03AE1691-47F1-C511-F134-05B688D4114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20.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20997          ">
          <a:extLst xmlns:a="http://schemas.openxmlformats.org/drawingml/2006/main">
            <a:ext uri="{FF2B5EF4-FFF2-40B4-BE49-F238E27FC236}">
              <a16:creationId xmlns:a16="http://schemas.microsoft.com/office/drawing/2014/main" id="{23AEBF76-B421-FB2F-A19E-C8F5D8A7ABD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20997         ">
          <a:extLst xmlns:a="http://schemas.openxmlformats.org/drawingml/2006/main">
            <a:ext uri="{FF2B5EF4-FFF2-40B4-BE49-F238E27FC236}">
              <a16:creationId xmlns:a16="http://schemas.microsoft.com/office/drawing/2014/main" id="{D1BB1674-3D18-7DC0-95CA-0389C4A4C98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20997        ">
          <a:extLst xmlns:a="http://schemas.openxmlformats.org/drawingml/2006/main">
            <a:ext uri="{FF2B5EF4-FFF2-40B4-BE49-F238E27FC236}">
              <a16:creationId xmlns:a16="http://schemas.microsoft.com/office/drawing/2014/main" id="{DB36F93F-5553-A9DB-E508-2046F755247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20997       ">
          <a:extLst xmlns:a="http://schemas.openxmlformats.org/drawingml/2006/main">
            <a:ext uri="{FF2B5EF4-FFF2-40B4-BE49-F238E27FC236}">
              <a16:creationId xmlns:a16="http://schemas.microsoft.com/office/drawing/2014/main" id="{C8699C9F-AF59-E334-8843-DC4EF3F31D7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20997      ">
          <a:extLst xmlns:a="http://schemas.openxmlformats.org/drawingml/2006/main">
            <a:ext uri="{FF2B5EF4-FFF2-40B4-BE49-F238E27FC236}">
              <a16:creationId xmlns:a16="http://schemas.microsoft.com/office/drawing/2014/main" id="{8F8CECD9-6227-F095-2241-3D6E366BF48F}"/>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20997     ">
          <a:extLst xmlns:a="http://schemas.openxmlformats.org/drawingml/2006/main">
            <a:ext uri="{FF2B5EF4-FFF2-40B4-BE49-F238E27FC236}">
              <a16:creationId xmlns:a16="http://schemas.microsoft.com/office/drawing/2014/main" id="{18902B03-90F7-7908-36ED-A9641AC8F86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20997    ">
          <a:extLst xmlns:a="http://schemas.openxmlformats.org/drawingml/2006/main">
            <a:ext uri="{FF2B5EF4-FFF2-40B4-BE49-F238E27FC236}">
              <a16:creationId xmlns:a16="http://schemas.microsoft.com/office/drawing/2014/main" id="{D4F86D4D-7996-2024-71D7-C7DFCE8D46F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20997   ">
          <a:extLst xmlns:a="http://schemas.openxmlformats.org/drawingml/2006/main">
            <a:ext uri="{FF2B5EF4-FFF2-40B4-BE49-F238E27FC236}">
              <a16:creationId xmlns:a16="http://schemas.microsoft.com/office/drawing/2014/main" id="{6D1617D7-D909-A391-D230-9245C409D23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20997  ">
          <a:extLst xmlns:a="http://schemas.openxmlformats.org/drawingml/2006/main">
            <a:ext uri="{FF2B5EF4-FFF2-40B4-BE49-F238E27FC236}">
              <a16:creationId xmlns:a16="http://schemas.microsoft.com/office/drawing/2014/main" id="{E4994CDF-C2CE-4858-6971-A0F21B1C3E6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20997 ">
          <a:extLst xmlns:a="http://schemas.openxmlformats.org/drawingml/2006/main">
            <a:ext uri="{FF2B5EF4-FFF2-40B4-BE49-F238E27FC236}">
              <a16:creationId xmlns:a16="http://schemas.microsoft.com/office/drawing/2014/main" id="{C7506D4A-F820-FF21-B127-CC084966D9E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21.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3539          ">
          <a:extLst xmlns:a="http://schemas.openxmlformats.org/drawingml/2006/main">
            <a:ext uri="{FF2B5EF4-FFF2-40B4-BE49-F238E27FC236}">
              <a16:creationId xmlns:a16="http://schemas.microsoft.com/office/drawing/2014/main" id="{12CC20DA-475D-39C3-1D61-6B1F3DCCF33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3539         ">
          <a:extLst xmlns:a="http://schemas.openxmlformats.org/drawingml/2006/main">
            <a:ext uri="{FF2B5EF4-FFF2-40B4-BE49-F238E27FC236}">
              <a16:creationId xmlns:a16="http://schemas.microsoft.com/office/drawing/2014/main" id="{1E4FD72B-8A86-7E2F-8675-8EAA9156235B}"/>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3539        ">
          <a:extLst xmlns:a="http://schemas.openxmlformats.org/drawingml/2006/main">
            <a:ext uri="{FF2B5EF4-FFF2-40B4-BE49-F238E27FC236}">
              <a16:creationId xmlns:a16="http://schemas.microsoft.com/office/drawing/2014/main" id="{5128082D-0F16-4027-19B0-3F34BBB88A1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3539       ">
          <a:extLst xmlns:a="http://schemas.openxmlformats.org/drawingml/2006/main">
            <a:ext uri="{FF2B5EF4-FFF2-40B4-BE49-F238E27FC236}">
              <a16:creationId xmlns:a16="http://schemas.microsoft.com/office/drawing/2014/main" id="{31818B53-E6D7-5A95-F910-B961CA7F796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3539      ">
          <a:extLst xmlns:a="http://schemas.openxmlformats.org/drawingml/2006/main">
            <a:ext uri="{FF2B5EF4-FFF2-40B4-BE49-F238E27FC236}">
              <a16:creationId xmlns:a16="http://schemas.microsoft.com/office/drawing/2014/main" id="{0C5AEA5E-BAB9-02AA-7FCA-4FC5C138C87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3539     ">
          <a:extLst xmlns:a="http://schemas.openxmlformats.org/drawingml/2006/main">
            <a:ext uri="{FF2B5EF4-FFF2-40B4-BE49-F238E27FC236}">
              <a16:creationId xmlns:a16="http://schemas.microsoft.com/office/drawing/2014/main" id="{B644AB1F-3030-8A7F-EBE4-30D464C3F0D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3539    ">
          <a:extLst xmlns:a="http://schemas.openxmlformats.org/drawingml/2006/main">
            <a:ext uri="{FF2B5EF4-FFF2-40B4-BE49-F238E27FC236}">
              <a16:creationId xmlns:a16="http://schemas.microsoft.com/office/drawing/2014/main" id="{FCE4DFBD-EFE1-E371-4E14-33DB3CC8119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3539   ">
          <a:extLst xmlns:a="http://schemas.openxmlformats.org/drawingml/2006/main">
            <a:ext uri="{FF2B5EF4-FFF2-40B4-BE49-F238E27FC236}">
              <a16:creationId xmlns:a16="http://schemas.microsoft.com/office/drawing/2014/main" id="{EF2D22E9-8D86-EBEB-BEBF-9DC00794D30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3539  ">
          <a:extLst xmlns:a="http://schemas.openxmlformats.org/drawingml/2006/main">
            <a:ext uri="{FF2B5EF4-FFF2-40B4-BE49-F238E27FC236}">
              <a16:creationId xmlns:a16="http://schemas.microsoft.com/office/drawing/2014/main" id="{6AF7050F-7824-8F97-B4BB-7638412A4D1B}"/>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3539 ">
          <a:extLst xmlns:a="http://schemas.openxmlformats.org/drawingml/2006/main">
            <a:ext uri="{FF2B5EF4-FFF2-40B4-BE49-F238E27FC236}">
              <a16:creationId xmlns:a16="http://schemas.microsoft.com/office/drawing/2014/main" id="{36305DAB-14C0-15D8-B861-AC1B24A324E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22.xml><?xml version="1.0" encoding="utf-8"?>
<c:userShapes xmlns:c="http://schemas.openxmlformats.org/drawingml/2006/chart">
  <cdr:relSizeAnchor xmlns:cdr="http://schemas.openxmlformats.org/drawingml/2006/chartDrawing">
    <cdr:from>
      <cdr:x>0.08158</cdr:x>
      <cdr:y>0.46195</cdr:y>
    </cdr:from>
    <cdr:to>
      <cdr:x>0.91842</cdr:x>
      <cdr:y>0.66195</cdr:y>
    </cdr:to>
    <cdr:sp macro="objClick" textlink="">
      <cdr:nvSpPr>
        <cdr:cNvPr id="2" name="gwm_32479          ">
          <a:extLst xmlns:a="http://schemas.openxmlformats.org/drawingml/2006/main">
            <a:ext uri="{FF2B5EF4-FFF2-40B4-BE49-F238E27FC236}">
              <a16:creationId xmlns:a16="http://schemas.microsoft.com/office/drawing/2014/main" id="{6777CE76-69C5-B960-392A-3D598A61CBA4}"/>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3" name="gwm_32479         ">
          <a:extLst xmlns:a="http://schemas.openxmlformats.org/drawingml/2006/main">
            <a:ext uri="{FF2B5EF4-FFF2-40B4-BE49-F238E27FC236}">
              <a16:creationId xmlns:a16="http://schemas.microsoft.com/office/drawing/2014/main" id="{4D9E0AD7-D943-E1CA-2012-2841CB508A25}"/>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4" name="gwm_32479        ">
          <a:extLst xmlns:a="http://schemas.openxmlformats.org/drawingml/2006/main">
            <a:ext uri="{FF2B5EF4-FFF2-40B4-BE49-F238E27FC236}">
              <a16:creationId xmlns:a16="http://schemas.microsoft.com/office/drawing/2014/main" id="{27C1852A-9E65-01F0-164F-13B229F44A0F}"/>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5" name="gwm_32479       ">
          <a:extLst xmlns:a="http://schemas.openxmlformats.org/drawingml/2006/main">
            <a:ext uri="{FF2B5EF4-FFF2-40B4-BE49-F238E27FC236}">
              <a16:creationId xmlns:a16="http://schemas.microsoft.com/office/drawing/2014/main" id="{94EE932F-D2CD-F7FE-0992-E6CADBEA8809}"/>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6" name="gwm_32479      ">
          <a:extLst xmlns:a="http://schemas.openxmlformats.org/drawingml/2006/main">
            <a:ext uri="{FF2B5EF4-FFF2-40B4-BE49-F238E27FC236}">
              <a16:creationId xmlns:a16="http://schemas.microsoft.com/office/drawing/2014/main" id="{954AD6E0-DEFE-AD44-A900-C8CB73C49A14}"/>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7" name="gwm_32479     ">
          <a:extLst xmlns:a="http://schemas.openxmlformats.org/drawingml/2006/main">
            <a:ext uri="{FF2B5EF4-FFF2-40B4-BE49-F238E27FC236}">
              <a16:creationId xmlns:a16="http://schemas.microsoft.com/office/drawing/2014/main" id="{0A6556AB-1630-A603-A497-0ACF905B312E}"/>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8" name="gwm_32479    ">
          <a:extLst xmlns:a="http://schemas.openxmlformats.org/drawingml/2006/main">
            <a:ext uri="{FF2B5EF4-FFF2-40B4-BE49-F238E27FC236}">
              <a16:creationId xmlns:a16="http://schemas.microsoft.com/office/drawing/2014/main" id="{E6041C36-2BE0-7D10-23AA-AD4DB9AF8DB0}"/>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9" name="gwm_32479   ">
          <a:extLst xmlns:a="http://schemas.openxmlformats.org/drawingml/2006/main">
            <a:ext uri="{FF2B5EF4-FFF2-40B4-BE49-F238E27FC236}">
              <a16:creationId xmlns:a16="http://schemas.microsoft.com/office/drawing/2014/main" id="{25E19B83-F541-741A-36C4-730ABD178106}"/>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0" name="gwm_32479  ">
          <a:extLst xmlns:a="http://schemas.openxmlformats.org/drawingml/2006/main">
            <a:ext uri="{FF2B5EF4-FFF2-40B4-BE49-F238E27FC236}">
              <a16:creationId xmlns:a16="http://schemas.microsoft.com/office/drawing/2014/main" id="{02CE1144-9727-1F01-B7CB-1DA522E953F1}"/>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1" name="gwm_32479 ">
          <a:extLst xmlns:a="http://schemas.openxmlformats.org/drawingml/2006/main">
            <a:ext uri="{FF2B5EF4-FFF2-40B4-BE49-F238E27FC236}">
              <a16:creationId xmlns:a16="http://schemas.microsoft.com/office/drawing/2014/main" id="{83B2FF58-8F55-6860-E36F-705B574553E5}"/>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23.xml><?xml version="1.0" encoding="utf-8"?>
<xdr:wsDr xmlns:xdr="http://schemas.openxmlformats.org/drawingml/2006/spreadsheetDrawing" xmlns:a="http://schemas.openxmlformats.org/drawingml/2006/main">
  <xdr:twoCellAnchor editAs="oneCell">
    <xdr:from>
      <xdr:col>0</xdr:col>
      <xdr:colOff>12700</xdr:colOff>
      <xdr:row>18</xdr:row>
      <xdr:rowOff>0</xdr:rowOff>
    </xdr:from>
    <xdr:to>
      <xdr:col>3</xdr:col>
      <xdr:colOff>790575</xdr:colOff>
      <xdr:row>34</xdr:row>
      <xdr:rowOff>127000</xdr:rowOff>
    </xdr:to>
    <xdr:graphicFrame macro="">
      <xdr:nvGraphicFramePr>
        <xdr:cNvPr id="2" name="Chart 1">
          <a:extLst>
            <a:ext uri="{FF2B5EF4-FFF2-40B4-BE49-F238E27FC236}">
              <a16:creationId xmlns:a16="http://schemas.microsoft.com/office/drawing/2014/main" id="{E957D6A9-3B3D-C349-1CA2-0CBB29B42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xdr:colOff>
      <xdr:row>39</xdr:row>
      <xdr:rowOff>0</xdr:rowOff>
    </xdr:from>
    <xdr:to>
      <xdr:col>3</xdr:col>
      <xdr:colOff>790575</xdr:colOff>
      <xdr:row>55</xdr:row>
      <xdr:rowOff>127000</xdr:rowOff>
    </xdr:to>
    <xdr:graphicFrame macro="">
      <xdr:nvGraphicFramePr>
        <xdr:cNvPr id="3" name="Chart 2">
          <a:extLst>
            <a:ext uri="{FF2B5EF4-FFF2-40B4-BE49-F238E27FC236}">
              <a16:creationId xmlns:a16="http://schemas.microsoft.com/office/drawing/2014/main" id="{4E497229-8B7B-446C-3889-E2468ED31F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12700</xdr:colOff>
      <xdr:row>60</xdr:row>
      <xdr:rowOff>0</xdr:rowOff>
    </xdr:from>
    <xdr:to>
      <xdr:col>3</xdr:col>
      <xdr:colOff>790575</xdr:colOff>
      <xdr:row>76</xdr:row>
      <xdr:rowOff>127000</xdr:rowOff>
    </xdr:to>
    <xdr:graphicFrame macro="">
      <xdr:nvGraphicFramePr>
        <xdr:cNvPr id="4" name="Chart 3">
          <a:extLst>
            <a:ext uri="{FF2B5EF4-FFF2-40B4-BE49-F238E27FC236}">
              <a16:creationId xmlns:a16="http://schemas.microsoft.com/office/drawing/2014/main" id="{4CEA1001-582D-786B-560D-695145C848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11455          ">
          <a:extLst xmlns:a="http://schemas.openxmlformats.org/drawingml/2006/main">
            <a:ext uri="{FF2B5EF4-FFF2-40B4-BE49-F238E27FC236}">
              <a16:creationId xmlns:a16="http://schemas.microsoft.com/office/drawing/2014/main" id="{D266BFE9-008E-252C-2566-F540568F1D8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11455         ">
          <a:extLst xmlns:a="http://schemas.openxmlformats.org/drawingml/2006/main">
            <a:ext uri="{FF2B5EF4-FFF2-40B4-BE49-F238E27FC236}">
              <a16:creationId xmlns:a16="http://schemas.microsoft.com/office/drawing/2014/main" id="{113B6F86-0B58-94BC-5707-BA9CD4EE058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11455        ">
          <a:extLst xmlns:a="http://schemas.openxmlformats.org/drawingml/2006/main">
            <a:ext uri="{FF2B5EF4-FFF2-40B4-BE49-F238E27FC236}">
              <a16:creationId xmlns:a16="http://schemas.microsoft.com/office/drawing/2014/main" id="{FEE9AB84-FC5E-A2D5-1D89-6F1C03D8F7CB}"/>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11455       ">
          <a:extLst xmlns:a="http://schemas.openxmlformats.org/drawingml/2006/main">
            <a:ext uri="{FF2B5EF4-FFF2-40B4-BE49-F238E27FC236}">
              <a16:creationId xmlns:a16="http://schemas.microsoft.com/office/drawing/2014/main" id="{D5ED3DC2-64C7-EFED-F743-481A64E466E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11455      ">
          <a:extLst xmlns:a="http://schemas.openxmlformats.org/drawingml/2006/main">
            <a:ext uri="{FF2B5EF4-FFF2-40B4-BE49-F238E27FC236}">
              <a16:creationId xmlns:a16="http://schemas.microsoft.com/office/drawing/2014/main" id="{2C168FB8-89E1-8DA4-4730-E0B7AA9CB3EB}"/>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11455     ">
          <a:extLst xmlns:a="http://schemas.openxmlformats.org/drawingml/2006/main">
            <a:ext uri="{FF2B5EF4-FFF2-40B4-BE49-F238E27FC236}">
              <a16:creationId xmlns:a16="http://schemas.microsoft.com/office/drawing/2014/main" id="{4AE49CD8-A72A-66BD-C430-40BBD5066FA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11455    ">
          <a:extLst xmlns:a="http://schemas.openxmlformats.org/drawingml/2006/main">
            <a:ext uri="{FF2B5EF4-FFF2-40B4-BE49-F238E27FC236}">
              <a16:creationId xmlns:a16="http://schemas.microsoft.com/office/drawing/2014/main" id="{69A6D7A2-AC62-DF67-7BDE-104EB701D19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11455   ">
          <a:extLst xmlns:a="http://schemas.openxmlformats.org/drawingml/2006/main">
            <a:ext uri="{FF2B5EF4-FFF2-40B4-BE49-F238E27FC236}">
              <a16:creationId xmlns:a16="http://schemas.microsoft.com/office/drawing/2014/main" id="{CDEA14F7-4B30-78C7-3316-CB802AF1E03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11455  ">
          <a:extLst xmlns:a="http://schemas.openxmlformats.org/drawingml/2006/main">
            <a:ext uri="{FF2B5EF4-FFF2-40B4-BE49-F238E27FC236}">
              <a16:creationId xmlns:a16="http://schemas.microsoft.com/office/drawing/2014/main" id="{46CDD63E-4361-C525-AF48-A8BBF91C09A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11455 ">
          <a:extLst xmlns:a="http://schemas.openxmlformats.org/drawingml/2006/main">
            <a:ext uri="{FF2B5EF4-FFF2-40B4-BE49-F238E27FC236}">
              <a16:creationId xmlns:a16="http://schemas.microsoft.com/office/drawing/2014/main" id="{9D8AC973-B5F9-53D9-2DF0-D568FF57D9D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25.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31478          ">
          <a:extLst xmlns:a="http://schemas.openxmlformats.org/drawingml/2006/main">
            <a:ext uri="{FF2B5EF4-FFF2-40B4-BE49-F238E27FC236}">
              <a16:creationId xmlns:a16="http://schemas.microsoft.com/office/drawing/2014/main" id="{90DCA5EF-11AC-E772-717C-9E6EE8B288B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31478         ">
          <a:extLst xmlns:a="http://schemas.openxmlformats.org/drawingml/2006/main">
            <a:ext uri="{FF2B5EF4-FFF2-40B4-BE49-F238E27FC236}">
              <a16:creationId xmlns:a16="http://schemas.microsoft.com/office/drawing/2014/main" id="{BE3EE656-CA1C-9621-07FF-8D9E8D8E7E5C}"/>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31478        ">
          <a:extLst xmlns:a="http://schemas.openxmlformats.org/drawingml/2006/main">
            <a:ext uri="{FF2B5EF4-FFF2-40B4-BE49-F238E27FC236}">
              <a16:creationId xmlns:a16="http://schemas.microsoft.com/office/drawing/2014/main" id="{3253861C-A5B4-C229-849B-AC61882697B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31478       ">
          <a:extLst xmlns:a="http://schemas.openxmlformats.org/drawingml/2006/main">
            <a:ext uri="{FF2B5EF4-FFF2-40B4-BE49-F238E27FC236}">
              <a16:creationId xmlns:a16="http://schemas.microsoft.com/office/drawing/2014/main" id="{A7F04D27-9394-F8A5-3300-B13EF903D28C}"/>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31478      ">
          <a:extLst xmlns:a="http://schemas.openxmlformats.org/drawingml/2006/main">
            <a:ext uri="{FF2B5EF4-FFF2-40B4-BE49-F238E27FC236}">
              <a16:creationId xmlns:a16="http://schemas.microsoft.com/office/drawing/2014/main" id="{A0E92443-D52B-8EB1-F3C2-07CDBBC46BF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31478     ">
          <a:extLst xmlns:a="http://schemas.openxmlformats.org/drawingml/2006/main">
            <a:ext uri="{FF2B5EF4-FFF2-40B4-BE49-F238E27FC236}">
              <a16:creationId xmlns:a16="http://schemas.microsoft.com/office/drawing/2014/main" id="{B0F6A9CB-0A7A-ABF8-16C0-CB652BE428D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31478    ">
          <a:extLst xmlns:a="http://schemas.openxmlformats.org/drawingml/2006/main">
            <a:ext uri="{FF2B5EF4-FFF2-40B4-BE49-F238E27FC236}">
              <a16:creationId xmlns:a16="http://schemas.microsoft.com/office/drawing/2014/main" id="{76DCE656-FB4E-933C-760F-7759EF2C8E1F}"/>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31478   ">
          <a:extLst xmlns:a="http://schemas.openxmlformats.org/drawingml/2006/main">
            <a:ext uri="{FF2B5EF4-FFF2-40B4-BE49-F238E27FC236}">
              <a16:creationId xmlns:a16="http://schemas.microsoft.com/office/drawing/2014/main" id="{1A9CE105-8052-A5C3-F042-87C3EC81375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31478  ">
          <a:extLst xmlns:a="http://schemas.openxmlformats.org/drawingml/2006/main">
            <a:ext uri="{FF2B5EF4-FFF2-40B4-BE49-F238E27FC236}">
              <a16:creationId xmlns:a16="http://schemas.microsoft.com/office/drawing/2014/main" id="{833A4FE3-F72E-8A95-1C43-CADD95C1DB6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31478 ">
          <a:extLst xmlns:a="http://schemas.openxmlformats.org/drawingml/2006/main">
            <a:ext uri="{FF2B5EF4-FFF2-40B4-BE49-F238E27FC236}">
              <a16:creationId xmlns:a16="http://schemas.microsoft.com/office/drawing/2014/main" id="{8A17A09C-9A05-27D5-7A07-0CF1155E318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26.xml><?xml version="1.0" encoding="utf-8"?>
<c:userShapes xmlns:c="http://schemas.openxmlformats.org/drawingml/2006/chart">
  <cdr:relSizeAnchor xmlns:cdr="http://schemas.openxmlformats.org/drawingml/2006/chartDrawing">
    <cdr:from>
      <cdr:x>0.08158</cdr:x>
      <cdr:y>0.46195</cdr:y>
    </cdr:from>
    <cdr:to>
      <cdr:x>0.91842</cdr:x>
      <cdr:y>0.66195</cdr:y>
    </cdr:to>
    <cdr:sp macro="objClick" textlink="">
      <cdr:nvSpPr>
        <cdr:cNvPr id="2" name="gwm_32389          ">
          <a:extLst xmlns:a="http://schemas.openxmlformats.org/drawingml/2006/main">
            <a:ext uri="{FF2B5EF4-FFF2-40B4-BE49-F238E27FC236}">
              <a16:creationId xmlns:a16="http://schemas.microsoft.com/office/drawing/2014/main" id="{952249A4-6107-1682-7668-84F6BF9E1AEB}"/>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3" name="gwm_32389         ">
          <a:extLst xmlns:a="http://schemas.openxmlformats.org/drawingml/2006/main">
            <a:ext uri="{FF2B5EF4-FFF2-40B4-BE49-F238E27FC236}">
              <a16:creationId xmlns:a16="http://schemas.microsoft.com/office/drawing/2014/main" id="{DB7DD2E8-45E4-8447-ED3C-D8D1B4449836}"/>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4" name="gwm_32389        ">
          <a:extLst xmlns:a="http://schemas.openxmlformats.org/drawingml/2006/main">
            <a:ext uri="{FF2B5EF4-FFF2-40B4-BE49-F238E27FC236}">
              <a16:creationId xmlns:a16="http://schemas.microsoft.com/office/drawing/2014/main" id="{04CA5EA4-9957-9B1A-48B5-0C305FA33BA1}"/>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5" name="gwm_32389       ">
          <a:extLst xmlns:a="http://schemas.openxmlformats.org/drawingml/2006/main">
            <a:ext uri="{FF2B5EF4-FFF2-40B4-BE49-F238E27FC236}">
              <a16:creationId xmlns:a16="http://schemas.microsoft.com/office/drawing/2014/main" id="{AB3F8D89-B8CD-BA5E-CC5E-6AD12350057A}"/>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6" name="gwm_32389      ">
          <a:extLst xmlns:a="http://schemas.openxmlformats.org/drawingml/2006/main">
            <a:ext uri="{FF2B5EF4-FFF2-40B4-BE49-F238E27FC236}">
              <a16:creationId xmlns:a16="http://schemas.microsoft.com/office/drawing/2014/main" id="{C6A9270B-50C4-E465-555D-7259E866D5ED}"/>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7" name="gwm_32389     ">
          <a:extLst xmlns:a="http://schemas.openxmlformats.org/drawingml/2006/main">
            <a:ext uri="{FF2B5EF4-FFF2-40B4-BE49-F238E27FC236}">
              <a16:creationId xmlns:a16="http://schemas.microsoft.com/office/drawing/2014/main" id="{0FFA176E-E99A-C020-6DAC-1C705A9B382E}"/>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8" name="gwm_32389    ">
          <a:extLst xmlns:a="http://schemas.openxmlformats.org/drawingml/2006/main">
            <a:ext uri="{FF2B5EF4-FFF2-40B4-BE49-F238E27FC236}">
              <a16:creationId xmlns:a16="http://schemas.microsoft.com/office/drawing/2014/main" id="{0DB25E73-3EF4-48F0-38F0-24A733C2786E}"/>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9" name="gwm_32389   ">
          <a:extLst xmlns:a="http://schemas.openxmlformats.org/drawingml/2006/main">
            <a:ext uri="{FF2B5EF4-FFF2-40B4-BE49-F238E27FC236}">
              <a16:creationId xmlns:a16="http://schemas.microsoft.com/office/drawing/2014/main" id="{F66779A9-960C-84B8-B1CD-42B35AD3DE2C}"/>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0" name="gwm_32389  ">
          <a:extLst xmlns:a="http://schemas.openxmlformats.org/drawingml/2006/main">
            <a:ext uri="{FF2B5EF4-FFF2-40B4-BE49-F238E27FC236}">
              <a16:creationId xmlns:a16="http://schemas.microsoft.com/office/drawing/2014/main" id="{C87DDF08-FF5B-A0EB-C967-FF2CA2ECEBC0}"/>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1" name="gwm_32389 ">
          <a:extLst xmlns:a="http://schemas.openxmlformats.org/drawingml/2006/main">
            <a:ext uri="{FF2B5EF4-FFF2-40B4-BE49-F238E27FC236}">
              <a16:creationId xmlns:a16="http://schemas.microsoft.com/office/drawing/2014/main" id="{537394A4-B98A-6EBE-0F0F-5D99F388A880}"/>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27.xml><?xml version="1.0" encoding="utf-8"?>
<xdr:wsDr xmlns:xdr="http://schemas.openxmlformats.org/drawingml/2006/spreadsheetDrawing" xmlns:a="http://schemas.openxmlformats.org/drawingml/2006/main">
  <xdr:twoCellAnchor editAs="oneCell">
    <xdr:from>
      <xdr:col>0</xdr:col>
      <xdr:colOff>12700</xdr:colOff>
      <xdr:row>16</xdr:row>
      <xdr:rowOff>0</xdr:rowOff>
    </xdr:from>
    <xdr:to>
      <xdr:col>4</xdr:col>
      <xdr:colOff>628650</xdr:colOff>
      <xdr:row>32</xdr:row>
      <xdr:rowOff>127000</xdr:rowOff>
    </xdr:to>
    <xdr:graphicFrame macro="">
      <xdr:nvGraphicFramePr>
        <xdr:cNvPr id="2" name="Chart 1">
          <a:extLst>
            <a:ext uri="{FF2B5EF4-FFF2-40B4-BE49-F238E27FC236}">
              <a16:creationId xmlns:a16="http://schemas.microsoft.com/office/drawing/2014/main" id="{3011950C-A516-DFB3-F5F7-EA24FE4A63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xdr:colOff>
      <xdr:row>37</xdr:row>
      <xdr:rowOff>0</xdr:rowOff>
    </xdr:from>
    <xdr:to>
      <xdr:col>4</xdr:col>
      <xdr:colOff>628650</xdr:colOff>
      <xdr:row>53</xdr:row>
      <xdr:rowOff>127000</xdr:rowOff>
    </xdr:to>
    <xdr:graphicFrame macro="">
      <xdr:nvGraphicFramePr>
        <xdr:cNvPr id="3" name="Chart 2">
          <a:extLst>
            <a:ext uri="{FF2B5EF4-FFF2-40B4-BE49-F238E27FC236}">
              <a16:creationId xmlns:a16="http://schemas.microsoft.com/office/drawing/2014/main" id="{00446CAC-5FDB-2200-7205-F5E8B213A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12700</xdr:colOff>
      <xdr:row>58</xdr:row>
      <xdr:rowOff>0</xdr:rowOff>
    </xdr:from>
    <xdr:to>
      <xdr:col>4</xdr:col>
      <xdr:colOff>628650</xdr:colOff>
      <xdr:row>74</xdr:row>
      <xdr:rowOff>127000</xdr:rowOff>
    </xdr:to>
    <xdr:graphicFrame macro="">
      <xdr:nvGraphicFramePr>
        <xdr:cNvPr id="4" name="Chart 3">
          <a:extLst>
            <a:ext uri="{FF2B5EF4-FFF2-40B4-BE49-F238E27FC236}">
              <a16:creationId xmlns:a16="http://schemas.microsoft.com/office/drawing/2014/main" id="{D5EF0F5A-004E-F949-E569-6DF8686553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30609          ">
          <a:extLst xmlns:a="http://schemas.openxmlformats.org/drawingml/2006/main">
            <a:ext uri="{FF2B5EF4-FFF2-40B4-BE49-F238E27FC236}">
              <a16:creationId xmlns:a16="http://schemas.microsoft.com/office/drawing/2014/main" id="{BA9E2345-2B8C-A33E-2A32-1F1DC3F3D34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30609         ">
          <a:extLst xmlns:a="http://schemas.openxmlformats.org/drawingml/2006/main">
            <a:ext uri="{FF2B5EF4-FFF2-40B4-BE49-F238E27FC236}">
              <a16:creationId xmlns:a16="http://schemas.microsoft.com/office/drawing/2014/main" id="{C738E4C2-F67E-BBFB-3689-EEABE526F610}"/>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30609        ">
          <a:extLst xmlns:a="http://schemas.openxmlformats.org/drawingml/2006/main">
            <a:ext uri="{FF2B5EF4-FFF2-40B4-BE49-F238E27FC236}">
              <a16:creationId xmlns:a16="http://schemas.microsoft.com/office/drawing/2014/main" id="{00921092-0941-30CB-7EA8-5777F602584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30609       ">
          <a:extLst xmlns:a="http://schemas.openxmlformats.org/drawingml/2006/main">
            <a:ext uri="{FF2B5EF4-FFF2-40B4-BE49-F238E27FC236}">
              <a16:creationId xmlns:a16="http://schemas.microsoft.com/office/drawing/2014/main" id="{5FA2DDB0-2D64-2F8F-2AC1-1C0F058379A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30609      ">
          <a:extLst xmlns:a="http://schemas.openxmlformats.org/drawingml/2006/main">
            <a:ext uri="{FF2B5EF4-FFF2-40B4-BE49-F238E27FC236}">
              <a16:creationId xmlns:a16="http://schemas.microsoft.com/office/drawing/2014/main" id="{1128CA72-968E-B8DA-E75B-55804FCBC2B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30609     ">
          <a:extLst xmlns:a="http://schemas.openxmlformats.org/drawingml/2006/main">
            <a:ext uri="{FF2B5EF4-FFF2-40B4-BE49-F238E27FC236}">
              <a16:creationId xmlns:a16="http://schemas.microsoft.com/office/drawing/2014/main" id="{FB6EC753-6E30-1BC7-22A2-27481308ECF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30609    ">
          <a:extLst xmlns:a="http://schemas.openxmlformats.org/drawingml/2006/main">
            <a:ext uri="{FF2B5EF4-FFF2-40B4-BE49-F238E27FC236}">
              <a16:creationId xmlns:a16="http://schemas.microsoft.com/office/drawing/2014/main" id="{E3A195A3-2B7C-21DD-D281-73CF1C396B2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30609   ">
          <a:extLst xmlns:a="http://schemas.openxmlformats.org/drawingml/2006/main">
            <a:ext uri="{FF2B5EF4-FFF2-40B4-BE49-F238E27FC236}">
              <a16:creationId xmlns:a16="http://schemas.microsoft.com/office/drawing/2014/main" id="{47FDE4F4-2146-651C-E2FC-DF9862BA745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30609  ">
          <a:extLst xmlns:a="http://schemas.openxmlformats.org/drawingml/2006/main">
            <a:ext uri="{FF2B5EF4-FFF2-40B4-BE49-F238E27FC236}">
              <a16:creationId xmlns:a16="http://schemas.microsoft.com/office/drawing/2014/main" id="{0A263BE9-FB6C-E064-2EE7-399AAD6C62A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30609 ">
          <a:extLst xmlns:a="http://schemas.openxmlformats.org/drawingml/2006/main">
            <a:ext uri="{FF2B5EF4-FFF2-40B4-BE49-F238E27FC236}">
              <a16:creationId xmlns:a16="http://schemas.microsoft.com/office/drawing/2014/main" id="{E7F068CD-DE28-6352-C360-812B8E2E72E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29.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26000          ">
          <a:extLst xmlns:a="http://schemas.openxmlformats.org/drawingml/2006/main">
            <a:ext uri="{FF2B5EF4-FFF2-40B4-BE49-F238E27FC236}">
              <a16:creationId xmlns:a16="http://schemas.microsoft.com/office/drawing/2014/main" id="{1C41C819-41D6-BAAC-058B-364730A562B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26000         ">
          <a:extLst xmlns:a="http://schemas.openxmlformats.org/drawingml/2006/main">
            <a:ext uri="{FF2B5EF4-FFF2-40B4-BE49-F238E27FC236}">
              <a16:creationId xmlns:a16="http://schemas.microsoft.com/office/drawing/2014/main" id="{FE1E453A-2B7D-B02E-E898-770657FCC88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26000        ">
          <a:extLst xmlns:a="http://schemas.openxmlformats.org/drawingml/2006/main">
            <a:ext uri="{FF2B5EF4-FFF2-40B4-BE49-F238E27FC236}">
              <a16:creationId xmlns:a16="http://schemas.microsoft.com/office/drawing/2014/main" id="{9D8BFABE-B25D-2038-193E-6CAB99A35E5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26000       ">
          <a:extLst xmlns:a="http://schemas.openxmlformats.org/drawingml/2006/main">
            <a:ext uri="{FF2B5EF4-FFF2-40B4-BE49-F238E27FC236}">
              <a16:creationId xmlns:a16="http://schemas.microsoft.com/office/drawing/2014/main" id="{6962D903-4DA7-A10B-2537-291B6DB279CB}"/>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26000      ">
          <a:extLst xmlns:a="http://schemas.openxmlformats.org/drawingml/2006/main">
            <a:ext uri="{FF2B5EF4-FFF2-40B4-BE49-F238E27FC236}">
              <a16:creationId xmlns:a16="http://schemas.microsoft.com/office/drawing/2014/main" id="{517E28D5-C54B-3088-7908-172FDC5413A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26000     ">
          <a:extLst xmlns:a="http://schemas.openxmlformats.org/drawingml/2006/main">
            <a:ext uri="{FF2B5EF4-FFF2-40B4-BE49-F238E27FC236}">
              <a16:creationId xmlns:a16="http://schemas.microsoft.com/office/drawing/2014/main" id="{848FAE5B-B729-2901-A72C-C03E2DC661EF}"/>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26000    ">
          <a:extLst xmlns:a="http://schemas.openxmlformats.org/drawingml/2006/main">
            <a:ext uri="{FF2B5EF4-FFF2-40B4-BE49-F238E27FC236}">
              <a16:creationId xmlns:a16="http://schemas.microsoft.com/office/drawing/2014/main" id="{45C984FC-3A22-57A4-0265-DD259B8676F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26000   ">
          <a:extLst xmlns:a="http://schemas.openxmlformats.org/drawingml/2006/main">
            <a:ext uri="{FF2B5EF4-FFF2-40B4-BE49-F238E27FC236}">
              <a16:creationId xmlns:a16="http://schemas.microsoft.com/office/drawing/2014/main" id="{6351959E-A88B-95FB-BC91-C0A48306DBE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26000  ">
          <a:extLst xmlns:a="http://schemas.openxmlformats.org/drawingml/2006/main">
            <a:ext uri="{FF2B5EF4-FFF2-40B4-BE49-F238E27FC236}">
              <a16:creationId xmlns:a16="http://schemas.microsoft.com/office/drawing/2014/main" id="{FD5E5D66-ABB3-1AF8-2432-FD7704CDDF5C}"/>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26000 ">
          <a:extLst xmlns:a="http://schemas.openxmlformats.org/drawingml/2006/main">
            <a:ext uri="{FF2B5EF4-FFF2-40B4-BE49-F238E27FC236}">
              <a16:creationId xmlns:a16="http://schemas.microsoft.com/office/drawing/2014/main" id="{129F337E-EB92-0780-EA13-A76D2BE4035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12699</xdr:colOff>
      <xdr:row>6</xdr:row>
      <xdr:rowOff>0</xdr:rowOff>
    </xdr:from>
    <xdr:to>
      <xdr:col>8</xdr:col>
      <xdr:colOff>85724</xdr:colOff>
      <xdr:row>22</xdr:row>
      <xdr:rowOff>127000</xdr:rowOff>
    </xdr:to>
    <xdr:graphicFrame macro="">
      <xdr:nvGraphicFramePr>
        <xdr:cNvPr id="2" name="Chart 1">
          <a:extLst>
            <a:ext uri="{FF2B5EF4-FFF2-40B4-BE49-F238E27FC236}">
              <a16:creationId xmlns:a16="http://schemas.microsoft.com/office/drawing/2014/main" id="{96D61AAA-AD37-1BBF-F20F-3B3A940EE5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0.08158</cdr:x>
      <cdr:y>0.46195</cdr:y>
    </cdr:from>
    <cdr:to>
      <cdr:x>0.91842</cdr:x>
      <cdr:y>0.66195</cdr:y>
    </cdr:to>
    <cdr:sp macro="objClick" textlink="">
      <cdr:nvSpPr>
        <cdr:cNvPr id="2" name="gwm_5171          ">
          <a:extLst xmlns:a="http://schemas.openxmlformats.org/drawingml/2006/main">
            <a:ext uri="{FF2B5EF4-FFF2-40B4-BE49-F238E27FC236}">
              <a16:creationId xmlns:a16="http://schemas.microsoft.com/office/drawing/2014/main" id="{8B081356-7A85-C8BB-6FCF-2D4AC3036143}"/>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3" name="gwm_5171         ">
          <a:extLst xmlns:a="http://schemas.openxmlformats.org/drawingml/2006/main">
            <a:ext uri="{FF2B5EF4-FFF2-40B4-BE49-F238E27FC236}">
              <a16:creationId xmlns:a16="http://schemas.microsoft.com/office/drawing/2014/main" id="{1B67E894-C511-98CD-2503-4ADE3A74AB10}"/>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4" name="gwm_5171        ">
          <a:extLst xmlns:a="http://schemas.openxmlformats.org/drawingml/2006/main">
            <a:ext uri="{FF2B5EF4-FFF2-40B4-BE49-F238E27FC236}">
              <a16:creationId xmlns:a16="http://schemas.microsoft.com/office/drawing/2014/main" id="{57B56E5B-1F9F-B37B-7A27-DACE2A6F93F6}"/>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5" name="gwm_5171       ">
          <a:extLst xmlns:a="http://schemas.openxmlformats.org/drawingml/2006/main">
            <a:ext uri="{FF2B5EF4-FFF2-40B4-BE49-F238E27FC236}">
              <a16:creationId xmlns:a16="http://schemas.microsoft.com/office/drawing/2014/main" id="{84F79428-FE46-8FE3-1181-B4CCD7609EC5}"/>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6" name="gwm_5171      ">
          <a:extLst xmlns:a="http://schemas.openxmlformats.org/drawingml/2006/main">
            <a:ext uri="{FF2B5EF4-FFF2-40B4-BE49-F238E27FC236}">
              <a16:creationId xmlns:a16="http://schemas.microsoft.com/office/drawing/2014/main" id="{03079FA0-6547-C23A-C6E3-AEA872FEDC89}"/>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7" name="gwm_5171     ">
          <a:extLst xmlns:a="http://schemas.openxmlformats.org/drawingml/2006/main">
            <a:ext uri="{FF2B5EF4-FFF2-40B4-BE49-F238E27FC236}">
              <a16:creationId xmlns:a16="http://schemas.microsoft.com/office/drawing/2014/main" id="{87022290-4143-E09A-AFFB-F3DFD3FC9D6D}"/>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8" name="gwm_5171    ">
          <a:extLst xmlns:a="http://schemas.openxmlformats.org/drawingml/2006/main">
            <a:ext uri="{FF2B5EF4-FFF2-40B4-BE49-F238E27FC236}">
              <a16:creationId xmlns:a16="http://schemas.microsoft.com/office/drawing/2014/main" id="{9BCBCCB3-76A2-3E9A-17B8-CBDE8DA4E7F8}"/>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9" name="gwm_5171   ">
          <a:extLst xmlns:a="http://schemas.openxmlformats.org/drawingml/2006/main">
            <a:ext uri="{FF2B5EF4-FFF2-40B4-BE49-F238E27FC236}">
              <a16:creationId xmlns:a16="http://schemas.microsoft.com/office/drawing/2014/main" id="{171E9BB6-EB7C-4213-CBB3-D2F754645AE2}"/>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0" name="gwm_5171  ">
          <a:extLst xmlns:a="http://schemas.openxmlformats.org/drawingml/2006/main">
            <a:ext uri="{FF2B5EF4-FFF2-40B4-BE49-F238E27FC236}">
              <a16:creationId xmlns:a16="http://schemas.microsoft.com/office/drawing/2014/main" id="{95F06A0A-8F77-F131-F4DB-7CDE1F5136C3}"/>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1" name="gwm_5171 ">
          <a:extLst xmlns:a="http://schemas.openxmlformats.org/drawingml/2006/main">
            <a:ext uri="{FF2B5EF4-FFF2-40B4-BE49-F238E27FC236}">
              <a16:creationId xmlns:a16="http://schemas.microsoft.com/office/drawing/2014/main" id="{75BF2472-ED25-D0AA-7F08-50B09DAABC82}"/>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31.xml><?xml version="1.0" encoding="utf-8"?>
<xdr:wsDr xmlns:xdr="http://schemas.openxmlformats.org/drawingml/2006/spreadsheetDrawing" xmlns:a="http://schemas.openxmlformats.org/drawingml/2006/main">
  <xdr:twoCellAnchor editAs="oneCell">
    <xdr:from>
      <xdr:col>0</xdr:col>
      <xdr:colOff>12700</xdr:colOff>
      <xdr:row>16</xdr:row>
      <xdr:rowOff>0</xdr:rowOff>
    </xdr:from>
    <xdr:to>
      <xdr:col>4</xdr:col>
      <xdr:colOff>19050</xdr:colOff>
      <xdr:row>32</xdr:row>
      <xdr:rowOff>127000</xdr:rowOff>
    </xdr:to>
    <xdr:graphicFrame macro="">
      <xdr:nvGraphicFramePr>
        <xdr:cNvPr id="2" name="Chart 1">
          <a:extLst>
            <a:ext uri="{FF2B5EF4-FFF2-40B4-BE49-F238E27FC236}">
              <a16:creationId xmlns:a16="http://schemas.microsoft.com/office/drawing/2014/main" id="{0D2C0F8C-53A9-B9E2-6E01-B61128BCA0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xdr:colOff>
      <xdr:row>37</xdr:row>
      <xdr:rowOff>0</xdr:rowOff>
    </xdr:from>
    <xdr:to>
      <xdr:col>4</xdr:col>
      <xdr:colOff>19050</xdr:colOff>
      <xdr:row>53</xdr:row>
      <xdr:rowOff>127000</xdr:rowOff>
    </xdr:to>
    <xdr:graphicFrame macro="">
      <xdr:nvGraphicFramePr>
        <xdr:cNvPr id="3" name="Chart 2">
          <a:extLst>
            <a:ext uri="{FF2B5EF4-FFF2-40B4-BE49-F238E27FC236}">
              <a16:creationId xmlns:a16="http://schemas.microsoft.com/office/drawing/2014/main" id="{311FE3AF-4839-811A-9996-672EEB386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12700</xdr:colOff>
      <xdr:row>58</xdr:row>
      <xdr:rowOff>0</xdr:rowOff>
    </xdr:from>
    <xdr:to>
      <xdr:col>4</xdr:col>
      <xdr:colOff>19050</xdr:colOff>
      <xdr:row>74</xdr:row>
      <xdr:rowOff>127000</xdr:rowOff>
    </xdr:to>
    <xdr:graphicFrame macro="">
      <xdr:nvGraphicFramePr>
        <xdr:cNvPr id="4" name="Chart 3">
          <a:extLst>
            <a:ext uri="{FF2B5EF4-FFF2-40B4-BE49-F238E27FC236}">
              <a16:creationId xmlns:a16="http://schemas.microsoft.com/office/drawing/2014/main" id="{BC5A0C05-D057-5CD0-ABD7-F79A348EAE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30054          ">
          <a:extLst xmlns:a="http://schemas.openxmlformats.org/drawingml/2006/main">
            <a:ext uri="{FF2B5EF4-FFF2-40B4-BE49-F238E27FC236}">
              <a16:creationId xmlns:a16="http://schemas.microsoft.com/office/drawing/2014/main" id="{932E323E-582F-93C2-AD72-71DB7FED518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30054         ">
          <a:extLst xmlns:a="http://schemas.openxmlformats.org/drawingml/2006/main">
            <a:ext uri="{FF2B5EF4-FFF2-40B4-BE49-F238E27FC236}">
              <a16:creationId xmlns:a16="http://schemas.microsoft.com/office/drawing/2014/main" id="{D76BEE03-2A38-64DC-D0DC-5A297B53570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30054        ">
          <a:extLst xmlns:a="http://schemas.openxmlformats.org/drawingml/2006/main">
            <a:ext uri="{FF2B5EF4-FFF2-40B4-BE49-F238E27FC236}">
              <a16:creationId xmlns:a16="http://schemas.microsoft.com/office/drawing/2014/main" id="{7CC08C65-F621-CF1D-6E75-970F7E94CE6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30054       ">
          <a:extLst xmlns:a="http://schemas.openxmlformats.org/drawingml/2006/main">
            <a:ext uri="{FF2B5EF4-FFF2-40B4-BE49-F238E27FC236}">
              <a16:creationId xmlns:a16="http://schemas.microsoft.com/office/drawing/2014/main" id="{909EFCD7-21B0-F8EF-A4B4-30EA8CBE622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30054      ">
          <a:extLst xmlns:a="http://schemas.openxmlformats.org/drawingml/2006/main">
            <a:ext uri="{FF2B5EF4-FFF2-40B4-BE49-F238E27FC236}">
              <a16:creationId xmlns:a16="http://schemas.microsoft.com/office/drawing/2014/main" id="{D921E14F-DAC3-BEB5-21F0-4C90B4583E9F}"/>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30054     ">
          <a:extLst xmlns:a="http://schemas.openxmlformats.org/drawingml/2006/main">
            <a:ext uri="{FF2B5EF4-FFF2-40B4-BE49-F238E27FC236}">
              <a16:creationId xmlns:a16="http://schemas.microsoft.com/office/drawing/2014/main" id="{E3B0BCE4-5669-1793-3E5F-D456AD21D45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30054    ">
          <a:extLst xmlns:a="http://schemas.openxmlformats.org/drawingml/2006/main">
            <a:ext uri="{FF2B5EF4-FFF2-40B4-BE49-F238E27FC236}">
              <a16:creationId xmlns:a16="http://schemas.microsoft.com/office/drawing/2014/main" id="{91DCC99F-D9A1-CC82-CCCD-9E2AA6C7DC4C}"/>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30054   ">
          <a:extLst xmlns:a="http://schemas.openxmlformats.org/drawingml/2006/main">
            <a:ext uri="{FF2B5EF4-FFF2-40B4-BE49-F238E27FC236}">
              <a16:creationId xmlns:a16="http://schemas.microsoft.com/office/drawing/2014/main" id="{FF34C403-C408-99E1-9538-1BC07239DA7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30054  ">
          <a:extLst xmlns:a="http://schemas.openxmlformats.org/drawingml/2006/main">
            <a:ext uri="{FF2B5EF4-FFF2-40B4-BE49-F238E27FC236}">
              <a16:creationId xmlns:a16="http://schemas.microsoft.com/office/drawing/2014/main" id="{6CBF205A-7B11-E929-AB02-07E63D809B1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30054 ">
          <a:extLst xmlns:a="http://schemas.openxmlformats.org/drawingml/2006/main">
            <a:ext uri="{FF2B5EF4-FFF2-40B4-BE49-F238E27FC236}">
              <a16:creationId xmlns:a16="http://schemas.microsoft.com/office/drawing/2014/main" id="{9300BA2F-CACF-F894-0D04-8764FD3C4D1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33.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6170          ">
          <a:extLst xmlns:a="http://schemas.openxmlformats.org/drawingml/2006/main">
            <a:ext uri="{FF2B5EF4-FFF2-40B4-BE49-F238E27FC236}">
              <a16:creationId xmlns:a16="http://schemas.microsoft.com/office/drawing/2014/main" id="{8F8E714A-62EB-44BB-5928-7867A23DDEF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6170         ">
          <a:extLst xmlns:a="http://schemas.openxmlformats.org/drawingml/2006/main">
            <a:ext uri="{FF2B5EF4-FFF2-40B4-BE49-F238E27FC236}">
              <a16:creationId xmlns:a16="http://schemas.microsoft.com/office/drawing/2014/main" id="{F708244F-0048-6750-F7A2-8609D46427B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6170        ">
          <a:extLst xmlns:a="http://schemas.openxmlformats.org/drawingml/2006/main">
            <a:ext uri="{FF2B5EF4-FFF2-40B4-BE49-F238E27FC236}">
              <a16:creationId xmlns:a16="http://schemas.microsoft.com/office/drawing/2014/main" id="{53666EE4-CE32-945A-B3E7-0D646CA698D0}"/>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6170       ">
          <a:extLst xmlns:a="http://schemas.openxmlformats.org/drawingml/2006/main">
            <a:ext uri="{FF2B5EF4-FFF2-40B4-BE49-F238E27FC236}">
              <a16:creationId xmlns:a16="http://schemas.microsoft.com/office/drawing/2014/main" id="{DB78167A-5569-3D1E-1A6A-D61A1CEEC10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6170      ">
          <a:extLst xmlns:a="http://schemas.openxmlformats.org/drawingml/2006/main">
            <a:ext uri="{FF2B5EF4-FFF2-40B4-BE49-F238E27FC236}">
              <a16:creationId xmlns:a16="http://schemas.microsoft.com/office/drawing/2014/main" id="{76216169-77FF-188E-2D95-F50DB789116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6170     ">
          <a:extLst xmlns:a="http://schemas.openxmlformats.org/drawingml/2006/main">
            <a:ext uri="{FF2B5EF4-FFF2-40B4-BE49-F238E27FC236}">
              <a16:creationId xmlns:a16="http://schemas.microsoft.com/office/drawing/2014/main" id="{1E1BD540-7A07-7BFC-5AAC-D60F4EA6FB3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6170    ">
          <a:extLst xmlns:a="http://schemas.openxmlformats.org/drawingml/2006/main">
            <a:ext uri="{FF2B5EF4-FFF2-40B4-BE49-F238E27FC236}">
              <a16:creationId xmlns:a16="http://schemas.microsoft.com/office/drawing/2014/main" id="{5C54BF53-C3C5-F6F1-BC56-860DE13796E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6170   ">
          <a:extLst xmlns:a="http://schemas.openxmlformats.org/drawingml/2006/main">
            <a:ext uri="{FF2B5EF4-FFF2-40B4-BE49-F238E27FC236}">
              <a16:creationId xmlns:a16="http://schemas.microsoft.com/office/drawing/2014/main" id="{BD98315E-3646-727E-CDBB-6202ACC37A4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6170  ">
          <a:extLst xmlns:a="http://schemas.openxmlformats.org/drawingml/2006/main">
            <a:ext uri="{FF2B5EF4-FFF2-40B4-BE49-F238E27FC236}">
              <a16:creationId xmlns:a16="http://schemas.microsoft.com/office/drawing/2014/main" id="{D8ADA855-957E-E046-076F-79F748076BF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6170 ">
          <a:extLst xmlns:a="http://schemas.openxmlformats.org/drawingml/2006/main">
            <a:ext uri="{FF2B5EF4-FFF2-40B4-BE49-F238E27FC236}">
              <a16:creationId xmlns:a16="http://schemas.microsoft.com/office/drawing/2014/main" id="{AAA06BB2-1F5D-E1B3-993B-884FDFA1098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34.xml><?xml version="1.0" encoding="utf-8"?>
<c:userShapes xmlns:c="http://schemas.openxmlformats.org/drawingml/2006/chart">
  <cdr:relSizeAnchor xmlns:cdr="http://schemas.openxmlformats.org/drawingml/2006/chartDrawing">
    <cdr:from>
      <cdr:x>0.08158</cdr:x>
      <cdr:y>0.46195</cdr:y>
    </cdr:from>
    <cdr:to>
      <cdr:x>0.91842</cdr:x>
      <cdr:y>0.66195</cdr:y>
    </cdr:to>
    <cdr:sp macro="objClick" textlink="">
      <cdr:nvSpPr>
        <cdr:cNvPr id="2" name="gwm_6636          ">
          <a:extLst xmlns:a="http://schemas.openxmlformats.org/drawingml/2006/main">
            <a:ext uri="{FF2B5EF4-FFF2-40B4-BE49-F238E27FC236}">
              <a16:creationId xmlns:a16="http://schemas.microsoft.com/office/drawing/2014/main" id="{9B803509-ED3F-5BF4-FEF2-CEE31C09B984}"/>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3" name="gwm_6636         ">
          <a:extLst xmlns:a="http://schemas.openxmlformats.org/drawingml/2006/main">
            <a:ext uri="{FF2B5EF4-FFF2-40B4-BE49-F238E27FC236}">
              <a16:creationId xmlns:a16="http://schemas.microsoft.com/office/drawing/2014/main" id="{86C6A046-F79B-693C-D4E9-C5EAC2D082AD}"/>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4" name="gwm_6636        ">
          <a:extLst xmlns:a="http://schemas.openxmlformats.org/drawingml/2006/main">
            <a:ext uri="{FF2B5EF4-FFF2-40B4-BE49-F238E27FC236}">
              <a16:creationId xmlns:a16="http://schemas.microsoft.com/office/drawing/2014/main" id="{27D44B7A-5E3E-F568-4844-3A78D7462329}"/>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5" name="gwm_6636       ">
          <a:extLst xmlns:a="http://schemas.openxmlformats.org/drawingml/2006/main">
            <a:ext uri="{FF2B5EF4-FFF2-40B4-BE49-F238E27FC236}">
              <a16:creationId xmlns:a16="http://schemas.microsoft.com/office/drawing/2014/main" id="{19C121F5-64E0-8D01-4421-202F0F36036A}"/>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6" name="gwm_6636      ">
          <a:extLst xmlns:a="http://schemas.openxmlformats.org/drawingml/2006/main">
            <a:ext uri="{FF2B5EF4-FFF2-40B4-BE49-F238E27FC236}">
              <a16:creationId xmlns:a16="http://schemas.microsoft.com/office/drawing/2014/main" id="{9E86147F-97B5-C896-159B-0661EF25ADF9}"/>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7" name="gwm_6636     ">
          <a:extLst xmlns:a="http://schemas.openxmlformats.org/drawingml/2006/main">
            <a:ext uri="{FF2B5EF4-FFF2-40B4-BE49-F238E27FC236}">
              <a16:creationId xmlns:a16="http://schemas.microsoft.com/office/drawing/2014/main" id="{C2A88D37-93CA-417C-28E4-A503CE49584D}"/>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8" name="gwm_6636    ">
          <a:extLst xmlns:a="http://schemas.openxmlformats.org/drawingml/2006/main">
            <a:ext uri="{FF2B5EF4-FFF2-40B4-BE49-F238E27FC236}">
              <a16:creationId xmlns:a16="http://schemas.microsoft.com/office/drawing/2014/main" id="{D29DA8E2-7A23-9586-C08F-C39523CA3745}"/>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9" name="gwm_6636   ">
          <a:extLst xmlns:a="http://schemas.openxmlformats.org/drawingml/2006/main">
            <a:ext uri="{FF2B5EF4-FFF2-40B4-BE49-F238E27FC236}">
              <a16:creationId xmlns:a16="http://schemas.microsoft.com/office/drawing/2014/main" id="{9C6FA7D8-99E0-B8DE-BBD6-8973E67E2418}"/>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0" name="gwm_6636  ">
          <a:extLst xmlns:a="http://schemas.openxmlformats.org/drawingml/2006/main">
            <a:ext uri="{FF2B5EF4-FFF2-40B4-BE49-F238E27FC236}">
              <a16:creationId xmlns:a16="http://schemas.microsoft.com/office/drawing/2014/main" id="{EC9D238C-B7B1-CBF5-F033-BAA1A7475B00}"/>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1" name="gwm_6636 ">
          <a:extLst xmlns:a="http://schemas.openxmlformats.org/drawingml/2006/main">
            <a:ext uri="{FF2B5EF4-FFF2-40B4-BE49-F238E27FC236}">
              <a16:creationId xmlns:a16="http://schemas.microsoft.com/office/drawing/2014/main" id="{7FAD1DAF-7B7F-A88A-EA9E-25F707416363}"/>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35.xml><?xml version="1.0" encoding="utf-8"?>
<xdr:wsDr xmlns:xdr="http://schemas.openxmlformats.org/drawingml/2006/spreadsheetDrawing" xmlns:a="http://schemas.openxmlformats.org/drawingml/2006/main">
  <xdr:twoCellAnchor editAs="oneCell">
    <xdr:from>
      <xdr:col>0</xdr:col>
      <xdr:colOff>12700</xdr:colOff>
      <xdr:row>17</xdr:row>
      <xdr:rowOff>0</xdr:rowOff>
    </xdr:from>
    <xdr:to>
      <xdr:col>4</xdr:col>
      <xdr:colOff>66675</xdr:colOff>
      <xdr:row>33</xdr:row>
      <xdr:rowOff>127000</xdr:rowOff>
    </xdr:to>
    <xdr:graphicFrame macro="">
      <xdr:nvGraphicFramePr>
        <xdr:cNvPr id="2" name="Chart 1">
          <a:extLst>
            <a:ext uri="{FF2B5EF4-FFF2-40B4-BE49-F238E27FC236}">
              <a16:creationId xmlns:a16="http://schemas.microsoft.com/office/drawing/2014/main" id="{3DB3418B-038B-9C72-5CF9-8C196B5AD5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xdr:colOff>
      <xdr:row>38</xdr:row>
      <xdr:rowOff>0</xdr:rowOff>
    </xdr:from>
    <xdr:to>
      <xdr:col>4</xdr:col>
      <xdr:colOff>66675</xdr:colOff>
      <xdr:row>54</xdr:row>
      <xdr:rowOff>127000</xdr:rowOff>
    </xdr:to>
    <xdr:graphicFrame macro="">
      <xdr:nvGraphicFramePr>
        <xdr:cNvPr id="3" name="Chart 2">
          <a:extLst>
            <a:ext uri="{FF2B5EF4-FFF2-40B4-BE49-F238E27FC236}">
              <a16:creationId xmlns:a16="http://schemas.microsoft.com/office/drawing/2014/main" id="{B260870B-33BF-307E-8CA8-34AC22DC1C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12700</xdr:colOff>
      <xdr:row>59</xdr:row>
      <xdr:rowOff>0</xdr:rowOff>
    </xdr:from>
    <xdr:to>
      <xdr:col>4</xdr:col>
      <xdr:colOff>66675</xdr:colOff>
      <xdr:row>75</xdr:row>
      <xdr:rowOff>127000</xdr:rowOff>
    </xdr:to>
    <xdr:graphicFrame macro="">
      <xdr:nvGraphicFramePr>
        <xdr:cNvPr id="4" name="Chart 3">
          <a:extLst>
            <a:ext uri="{FF2B5EF4-FFF2-40B4-BE49-F238E27FC236}">
              <a16:creationId xmlns:a16="http://schemas.microsoft.com/office/drawing/2014/main" id="{23F86016-B15E-0D87-8B9E-E072FE3263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80</xdr:row>
      <xdr:rowOff>0</xdr:rowOff>
    </xdr:from>
    <xdr:to>
      <xdr:col>4</xdr:col>
      <xdr:colOff>66675</xdr:colOff>
      <xdr:row>96</xdr:row>
      <xdr:rowOff>127000</xdr:rowOff>
    </xdr:to>
    <xdr:graphicFrame macro="">
      <xdr:nvGraphicFramePr>
        <xdr:cNvPr id="5" name="Chart 4">
          <a:extLst>
            <a:ext uri="{FF2B5EF4-FFF2-40B4-BE49-F238E27FC236}">
              <a16:creationId xmlns:a16="http://schemas.microsoft.com/office/drawing/2014/main" id="{46306E16-90E9-5823-96DA-23D5BB06F4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12700</xdr:colOff>
      <xdr:row>101</xdr:row>
      <xdr:rowOff>0</xdr:rowOff>
    </xdr:from>
    <xdr:to>
      <xdr:col>4</xdr:col>
      <xdr:colOff>66675</xdr:colOff>
      <xdr:row>117</xdr:row>
      <xdr:rowOff>127000</xdr:rowOff>
    </xdr:to>
    <xdr:graphicFrame macro="">
      <xdr:nvGraphicFramePr>
        <xdr:cNvPr id="6" name="Chart 5">
          <a:extLst>
            <a:ext uri="{FF2B5EF4-FFF2-40B4-BE49-F238E27FC236}">
              <a16:creationId xmlns:a16="http://schemas.microsoft.com/office/drawing/2014/main" id="{5284A1F7-1C31-0780-E386-8324F60126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12700</xdr:colOff>
      <xdr:row>122</xdr:row>
      <xdr:rowOff>0</xdr:rowOff>
    </xdr:from>
    <xdr:to>
      <xdr:col>4</xdr:col>
      <xdr:colOff>66675</xdr:colOff>
      <xdr:row>138</xdr:row>
      <xdr:rowOff>127000</xdr:rowOff>
    </xdr:to>
    <xdr:graphicFrame macro="">
      <xdr:nvGraphicFramePr>
        <xdr:cNvPr id="7" name="Chart 6">
          <a:extLst>
            <a:ext uri="{FF2B5EF4-FFF2-40B4-BE49-F238E27FC236}">
              <a16:creationId xmlns:a16="http://schemas.microsoft.com/office/drawing/2014/main" id="{E3F65CB0-6619-8AC8-D5D8-060B5C8D29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6.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1153          ">
          <a:extLst xmlns:a="http://schemas.openxmlformats.org/drawingml/2006/main">
            <a:ext uri="{FF2B5EF4-FFF2-40B4-BE49-F238E27FC236}">
              <a16:creationId xmlns:a16="http://schemas.microsoft.com/office/drawing/2014/main" id="{7BC61638-87A1-127D-2F13-FAE25D8CA3B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1153         ">
          <a:extLst xmlns:a="http://schemas.openxmlformats.org/drawingml/2006/main">
            <a:ext uri="{FF2B5EF4-FFF2-40B4-BE49-F238E27FC236}">
              <a16:creationId xmlns:a16="http://schemas.microsoft.com/office/drawing/2014/main" id="{0628DEC8-A497-3D89-A0B6-106A13DBA67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1153        ">
          <a:extLst xmlns:a="http://schemas.openxmlformats.org/drawingml/2006/main">
            <a:ext uri="{FF2B5EF4-FFF2-40B4-BE49-F238E27FC236}">
              <a16:creationId xmlns:a16="http://schemas.microsoft.com/office/drawing/2014/main" id="{2CF19FC3-FB44-5F7C-8A47-05DDDD66829C}"/>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1153       ">
          <a:extLst xmlns:a="http://schemas.openxmlformats.org/drawingml/2006/main">
            <a:ext uri="{FF2B5EF4-FFF2-40B4-BE49-F238E27FC236}">
              <a16:creationId xmlns:a16="http://schemas.microsoft.com/office/drawing/2014/main" id="{59A3046C-76DD-62B3-AAA5-42BE41FE11B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1153      ">
          <a:extLst xmlns:a="http://schemas.openxmlformats.org/drawingml/2006/main">
            <a:ext uri="{FF2B5EF4-FFF2-40B4-BE49-F238E27FC236}">
              <a16:creationId xmlns:a16="http://schemas.microsoft.com/office/drawing/2014/main" id="{E6B1CBFB-FC57-1E42-304C-D021F2D70A7B}"/>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1153     ">
          <a:extLst xmlns:a="http://schemas.openxmlformats.org/drawingml/2006/main">
            <a:ext uri="{FF2B5EF4-FFF2-40B4-BE49-F238E27FC236}">
              <a16:creationId xmlns:a16="http://schemas.microsoft.com/office/drawing/2014/main" id="{3EAAD51B-0B14-6FC3-32E0-F187EC47F94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1153    ">
          <a:extLst xmlns:a="http://schemas.openxmlformats.org/drawingml/2006/main">
            <a:ext uri="{FF2B5EF4-FFF2-40B4-BE49-F238E27FC236}">
              <a16:creationId xmlns:a16="http://schemas.microsoft.com/office/drawing/2014/main" id="{8FDEAD1D-A1E1-6C9A-FFF7-1D622EC78E4F}"/>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1153   ">
          <a:extLst xmlns:a="http://schemas.openxmlformats.org/drawingml/2006/main">
            <a:ext uri="{FF2B5EF4-FFF2-40B4-BE49-F238E27FC236}">
              <a16:creationId xmlns:a16="http://schemas.microsoft.com/office/drawing/2014/main" id="{08116765-FCFC-A80E-BDDA-CE436E99518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1153  ">
          <a:extLst xmlns:a="http://schemas.openxmlformats.org/drawingml/2006/main">
            <a:ext uri="{FF2B5EF4-FFF2-40B4-BE49-F238E27FC236}">
              <a16:creationId xmlns:a16="http://schemas.microsoft.com/office/drawing/2014/main" id="{2E0918C9-6E42-6025-2BD2-9A1A20A9B8CF}"/>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1153 ">
          <a:extLst xmlns:a="http://schemas.openxmlformats.org/drawingml/2006/main">
            <a:ext uri="{FF2B5EF4-FFF2-40B4-BE49-F238E27FC236}">
              <a16:creationId xmlns:a16="http://schemas.microsoft.com/office/drawing/2014/main" id="{9329CFF4-FD5D-82BF-2588-735BFEE1526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37.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15444          ">
          <a:extLst xmlns:a="http://schemas.openxmlformats.org/drawingml/2006/main">
            <a:ext uri="{FF2B5EF4-FFF2-40B4-BE49-F238E27FC236}">
              <a16:creationId xmlns:a16="http://schemas.microsoft.com/office/drawing/2014/main" id="{9239FBE9-CAA2-FCCD-A3C6-1171B5D402B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15444         ">
          <a:extLst xmlns:a="http://schemas.openxmlformats.org/drawingml/2006/main">
            <a:ext uri="{FF2B5EF4-FFF2-40B4-BE49-F238E27FC236}">
              <a16:creationId xmlns:a16="http://schemas.microsoft.com/office/drawing/2014/main" id="{8723F78C-1DC7-21EF-8109-ECC4B72D388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15444        ">
          <a:extLst xmlns:a="http://schemas.openxmlformats.org/drawingml/2006/main">
            <a:ext uri="{FF2B5EF4-FFF2-40B4-BE49-F238E27FC236}">
              <a16:creationId xmlns:a16="http://schemas.microsoft.com/office/drawing/2014/main" id="{490DA4F5-075D-1182-A08C-7A337B248FA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15444       ">
          <a:extLst xmlns:a="http://schemas.openxmlformats.org/drawingml/2006/main">
            <a:ext uri="{FF2B5EF4-FFF2-40B4-BE49-F238E27FC236}">
              <a16:creationId xmlns:a16="http://schemas.microsoft.com/office/drawing/2014/main" id="{A44483D3-87F4-FCA2-EAD6-DEEF537EFB5F}"/>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15444      ">
          <a:extLst xmlns:a="http://schemas.openxmlformats.org/drawingml/2006/main">
            <a:ext uri="{FF2B5EF4-FFF2-40B4-BE49-F238E27FC236}">
              <a16:creationId xmlns:a16="http://schemas.microsoft.com/office/drawing/2014/main" id="{FF1270BA-E388-8741-2F74-82F833CBA0A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15444     ">
          <a:extLst xmlns:a="http://schemas.openxmlformats.org/drawingml/2006/main">
            <a:ext uri="{FF2B5EF4-FFF2-40B4-BE49-F238E27FC236}">
              <a16:creationId xmlns:a16="http://schemas.microsoft.com/office/drawing/2014/main" id="{8585B44D-25EE-1390-C1C9-A8BA620C56C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15444    ">
          <a:extLst xmlns:a="http://schemas.openxmlformats.org/drawingml/2006/main">
            <a:ext uri="{FF2B5EF4-FFF2-40B4-BE49-F238E27FC236}">
              <a16:creationId xmlns:a16="http://schemas.microsoft.com/office/drawing/2014/main" id="{1201B910-6754-7523-B455-63B741A15C6B}"/>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15444   ">
          <a:extLst xmlns:a="http://schemas.openxmlformats.org/drawingml/2006/main">
            <a:ext uri="{FF2B5EF4-FFF2-40B4-BE49-F238E27FC236}">
              <a16:creationId xmlns:a16="http://schemas.microsoft.com/office/drawing/2014/main" id="{ED79EFAE-0A9E-0643-A9BC-265ECC19543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15444  ">
          <a:extLst xmlns:a="http://schemas.openxmlformats.org/drawingml/2006/main">
            <a:ext uri="{FF2B5EF4-FFF2-40B4-BE49-F238E27FC236}">
              <a16:creationId xmlns:a16="http://schemas.microsoft.com/office/drawing/2014/main" id="{38EF29AB-C54B-E081-6E88-AAB61E11A76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15444 ">
          <a:extLst xmlns:a="http://schemas.openxmlformats.org/drawingml/2006/main">
            <a:ext uri="{FF2B5EF4-FFF2-40B4-BE49-F238E27FC236}">
              <a16:creationId xmlns:a16="http://schemas.microsoft.com/office/drawing/2014/main" id="{627DC2C4-177F-E327-73DE-96C06126E8C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38.xml><?xml version="1.0" encoding="utf-8"?>
<c:userShapes xmlns:c="http://schemas.openxmlformats.org/drawingml/2006/chart">
  <cdr:relSizeAnchor xmlns:cdr="http://schemas.openxmlformats.org/drawingml/2006/chartDrawing">
    <cdr:from>
      <cdr:x>0.08158</cdr:x>
      <cdr:y>0.46195</cdr:y>
    </cdr:from>
    <cdr:to>
      <cdr:x>0.91842</cdr:x>
      <cdr:y>0.66195</cdr:y>
    </cdr:to>
    <cdr:sp macro="objClick" textlink="">
      <cdr:nvSpPr>
        <cdr:cNvPr id="2" name="gwm_13054          ">
          <a:extLst xmlns:a="http://schemas.openxmlformats.org/drawingml/2006/main">
            <a:ext uri="{FF2B5EF4-FFF2-40B4-BE49-F238E27FC236}">
              <a16:creationId xmlns:a16="http://schemas.microsoft.com/office/drawing/2014/main" id="{DE93300C-D3AD-483B-1835-490417B3F35E}"/>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3" name="gwm_13054         ">
          <a:extLst xmlns:a="http://schemas.openxmlformats.org/drawingml/2006/main">
            <a:ext uri="{FF2B5EF4-FFF2-40B4-BE49-F238E27FC236}">
              <a16:creationId xmlns:a16="http://schemas.microsoft.com/office/drawing/2014/main" id="{33D6A9CC-C48B-5A20-CCC3-7AD908A7526E}"/>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4" name="gwm_13054        ">
          <a:extLst xmlns:a="http://schemas.openxmlformats.org/drawingml/2006/main">
            <a:ext uri="{FF2B5EF4-FFF2-40B4-BE49-F238E27FC236}">
              <a16:creationId xmlns:a16="http://schemas.microsoft.com/office/drawing/2014/main" id="{143A884C-97FC-E37C-2F5B-AF2C6C35069E}"/>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5" name="gwm_13054       ">
          <a:extLst xmlns:a="http://schemas.openxmlformats.org/drawingml/2006/main">
            <a:ext uri="{FF2B5EF4-FFF2-40B4-BE49-F238E27FC236}">
              <a16:creationId xmlns:a16="http://schemas.microsoft.com/office/drawing/2014/main" id="{D1D4780E-18B2-D4AE-220B-CAEE5DBAD5C8}"/>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6" name="gwm_13054      ">
          <a:extLst xmlns:a="http://schemas.openxmlformats.org/drawingml/2006/main">
            <a:ext uri="{FF2B5EF4-FFF2-40B4-BE49-F238E27FC236}">
              <a16:creationId xmlns:a16="http://schemas.microsoft.com/office/drawing/2014/main" id="{A9493836-7A84-CBE3-8A88-8BED6F77B72D}"/>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7" name="gwm_13054     ">
          <a:extLst xmlns:a="http://schemas.openxmlformats.org/drawingml/2006/main">
            <a:ext uri="{FF2B5EF4-FFF2-40B4-BE49-F238E27FC236}">
              <a16:creationId xmlns:a16="http://schemas.microsoft.com/office/drawing/2014/main" id="{045428D6-91E0-6FBA-E8D2-BDA0601EFBB7}"/>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8" name="gwm_13054    ">
          <a:extLst xmlns:a="http://schemas.openxmlformats.org/drawingml/2006/main">
            <a:ext uri="{FF2B5EF4-FFF2-40B4-BE49-F238E27FC236}">
              <a16:creationId xmlns:a16="http://schemas.microsoft.com/office/drawing/2014/main" id="{B234884A-3D9C-AB90-8F0A-17AC8CC31512}"/>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9" name="gwm_13054   ">
          <a:extLst xmlns:a="http://schemas.openxmlformats.org/drawingml/2006/main">
            <a:ext uri="{FF2B5EF4-FFF2-40B4-BE49-F238E27FC236}">
              <a16:creationId xmlns:a16="http://schemas.microsoft.com/office/drawing/2014/main" id="{0D94CE42-D0CD-196D-9CE6-392C87079F31}"/>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0" name="gwm_13054  ">
          <a:extLst xmlns:a="http://schemas.openxmlformats.org/drawingml/2006/main">
            <a:ext uri="{FF2B5EF4-FFF2-40B4-BE49-F238E27FC236}">
              <a16:creationId xmlns:a16="http://schemas.microsoft.com/office/drawing/2014/main" id="{6CB646D3-B30B-12D7-1F9F-0EA25EE92E5E}"/>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1" name="gwm_13054 ">
          <a:extLst xmlns:a="http://schemas.openxmlformats.org/drawingml/2006/main">
            <a:ext uri="{FF2B5EF4-FFF2-40B4-BE49-F238E27FC236}">
              <a16:creationId xmlns:a16="http://schemas.microsoft.com/office/drawing/2014/main" id="{6CCE8A8C-4E20-2173-18AA-6CF3F1F7B329}"/>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39.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27407          ">
          <a:extLst xmlns:a="http://schemas.openxmlformats.org/drawingml/2006/main">
            <a:ext uri="{FF2B5EF4-FFF2-40B4-BE49-F238E27FC236}">
              <a16:creationId xmlns:a16="http://schemas.microsoft.com/office/drawing/2014/main" id="{14C8B56D-3D8F-DE64-05C4-8298112C958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27407         ">
          <a:extLst xmlns:a="http://schemas.openxmlformats.org/drawingml/2006/main">
            <a:ext uri="{FF2B5EF4-FFF2-40B4-BE49-F238E27FC236}">
              <a16:creationId xmlns:a16="http://schemas.microsoft.com/office/drawing/2014/main" id="{6B3AB618-F666-06D5-26B8-5B01C95EAEE0}"/>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27407        ">
          <a:extLst xmlns:a="http://schemas.openxmlformats.org/drawingml/2006/main">
            <a:ext uri="{FF2B5EF4-FFF2-40B4-BE49-F238E27FC236}">
              <a16:creationId xmlns:a16="http://schemas.microsoft.com/office/drawing/2014/main" id="{32C4CAE1-208C-1A55-2246-D7BC85E2A50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27407       ">
          <a:extLst xmlns:a="http://schemas.openxmlformats.org/drawingml/2006/main">
            <a:ext uri="{FF2B5EF4-FFF2-40B4-BE49-F238E27FC236}">
              <a16:creationId xmlns:a16="http://schemas.microsoft.com/office/drawing/2014/main" id="{4055A7B3-CEDB-6124-A842-40DFEABD7360}"/>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27407      ">
          <a:extLst xmlns:a="http://schemas.openxmlformats.org/drawingml/2006/main">
            <a:ext uri="{FF2B5EF4-FFF2-40B4-BE49-F238E27FC236}">
              <a16:creationId xmlns:a16="http://schemas.microsoft.com/office/drawing/2014/main" id="{78D05E8E-6F42-6CC1-F3A2-70E4C84CBC4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27407     ">
          <a:extLst xmlns:a="http://schemas.openxmlformats.org/drawingml/2006/main">
            <a:ext uri="{FF2B5EF4-FFF2-40B4-BE49-F238E27FC236}">
              <a16:creationId xmlns:a16="http://schemas.microsoft.com/office/drawing/2014/main" id="{9433F0E5-FE3B-99B3-9634-182689840680}"/>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27407    ">
          <a:extLst xmlns:a="http://schemas.openxmlformats.org/drawingml/2006/main">
            <a:ext uri="{FF2B5EF4-FFF2-40B4-BE49-F238E27FC236}">
              <a16:creationId xmlns:a16="http://schemas.microsoft.com/office/drawing/2014/main" id="{17F18B64-0E6E-42F3-375E-90F5B9E967AB}"/>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27407   ">
          <a:extLst xmlns:a="http://schemas.openxmlformats.org/drawingml/2006/main">
            <a:ext uri="{FF2B5EF4-FFF2-40B4-BE49-F238E27FC236}">
              <a16:creationId xmlns:a16="http://schemas.microsoft.com/office/drawing/2014/main" id="{EEC13885-361F-3A9A-DDC9-1FE35382F4F0}"/>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27407  ">
          <a:extLst xmlns:a="http://schemas.openxmlformats.org/drawingml/2006/main">
            <a:ext uri="{FF2B5EF4-FFF2-40B4-BE49-F238E27FC236}">
              <a16:creationId xmlns:a16="http://schemas.microsoft.com/office/drawing/2014/main" id="{834F0E34-2A45-4B2A-E6D9-6809B4633A0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27407 ">
          <a:extLst xmlns:a="http://schemas.openxmlformats.org/drawingml/2006/main">
            <a:ext uri="{FF2B5EF4-FFF2-40B4-BE49-F238E27FC236}">
              <a16:creationId xmlns:a16="http://schemas.microsoft.com/office/drawing/2014/main" id="{A196831F-EB17-0218-F44A-DED2A86D6C1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4.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3066          ">
          <a:extLst xmlns:a="http://schemas.openxmlformats.org/drawingml/2006/main">
            <a:ext uri="{FF2B5EF4-FFF2-40B4-BE49-F238E27FC236}">
              <a16:creationId xmlns:a16="http://schemas.microsoft.com/office/drawing/2014/main" id="{F77DDD44-E4E7-9478-B3E1-D7E1ACCC7E3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3066         ">
          <a:extLst xmlns:a="http://schemas.openxmlformats.org/drawingml/2006/main">
            <a:ext uri="{FF2B5EF4-FFF2-40B4-BE49-F238E27FC236}">
              <a16:creationId xmlns:a16="http://schemas.microsoft.com/office/drawing/2014/main" id="{5D4D79C9-B80A-C90C-8AC6-A13EEEDB114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3066        ">
          <a:extLst xmlns:a="http://schemas.openxmlformats.org/drawingml/2006/main">
            <a:ext uri="{FF2B5EF4-FFF2-40B4-BE49-F238E27FC236}">
              <a16:creationId xmlns:a16="http://schemas.microsoft.com/office/drawing/2014/main" id="{E067506B-FBBE-756B-D05F-6FEB28578C5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3066       ">
          <a:extLst xmlns:a="http://schemas.openxmlformats.org/drawingml/2006/main">
            <a:ext uri="{FF2B5EF4-FFF2-40B4-BE49-F238E27FC236}">
              <a16:creationId xmlns:a16="http://schemas.microsoft.com/office/drawing/2014/main" id="{2AD7C124-6570-4C59-5651-97210E35DFD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3066      ">
          <a:extLst xmlns:a="http://schemas.openxmlformats.org/drawingml/2006/main">
            <a:ext uri="{FF2B5EF4-FFF2-40B4-BE49-F238E27FC236}">
              <a16:creationId xmlns:a16="http://schemas.microsoft.com/office/drawing/2014/main" id="{25966D60-3F5B-EA18-3280-AF490B01D06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3066     ">
          <a:extLst xmlns:a="http://schemas.openxmlformats.org/drawingml/2006/main">
            <a:ext uri="{FF2B5EF4-FFF2-40B4-BE49-F238E27FC236}">
              <a16:creationId xmlns:a16="http://schemas.microsoft.com/office/drawing/2014/main" id="{A1B4D62C-129E-C25A-FBC4-5F2B5B528A20}"/>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3066    ">
          <a:extLst xmlns:a="http://schemas.openxmlformats.org/drawingml/2006/main">
            <a:ext uri="{FF2B5EF4-FFF2-40B4-BE49-F238E27FC236}">
              <a16:creationId xmlns:a16="http://schemas.microsoft.com/office/drawing/2014/main" id="{E0D8EA4E-0FD7-05D9-D53F-EC35455E6A4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3066   ">
          <a:extLst xmlns:a="http://schemas.openxmlformats.org/drawingml/2006/main">
            <a:ext uri="{FF2B5EF4-FFF2-40B4-BE49-F238E27FC236}">
              <a16:creationId xmlns:a16="http://schemas.microsoft.com/office/drawing/2014/main" id="{40F75400-2CFA-C372-1774-3195F9F02C1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3066  ">
          <a:extLst xmlns:a="http://schemas.openxmlformats.org/drawingml/2006/main">
            <a:ext uri="{FF2B5EF4-FFF2-40B4-BE49-F238E27FC236}">
              <a16:creationId xmlns:a16="http://schemas.microsoft.com/office/drawing/2014/main" id="{3E9853B6-DFF3-11F4-C276-F07D7A15D89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3066 ">
          <a:extLst xmlns:a="http://schemas.openxmlformats.org/drawingml/2006/main">
            <a:ext uri="{FF2B5EF4-FFF2-40B4-BE49-F238E27FC236}">
              <a16:creationId xmlns:a16="http://schemas.microsoft.com/office/drawing/2014/main" id="{ECA32C73-22CF-65E3-B658-13EDA911E2C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40.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1589          ">
          <a:extLst xmlns:a="http://schemas.openxmlformats.org/drawingml/2006/main">
            <a:ext uri="{FF2B5EF4-FFF2-40B4-BE49-F238E27FC236}">
              <a16:creationId xmlns:a16="http://schemas.microsoft.com/office/drawing/2014/main" id="{9D4BFB49-8846-8E77-C006-83CBB624B7F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1589         ">
          <a:extLst xmlns:a="http://schemas.openxmlformats.org/drawingml/2006/main">
            <a:ext uri="{FF2B5EF4-FFF2-40B4-BE49-F238E27FC236}">
              <a16:creationId xmlns:a16="http://schemas.microsoft.com/office/drawing/2014/main" id="{7AA8D84D-9CCC-8E92-4B98-BF1049F5DCA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1589        ">
          <a:extLst xmlns:a="http://schemas.openxmlformats.org/drawingml/2006/main">
            <a:ext uri="{FF2B5EF4-FFF2-40B4-BE49-F238E27FC236}">
              <a16:creationId xmlns:a16="http://schemas.microsoft.com/office/drawing/2014/main" id="{7B3F90F3-AEBC-7BBA-786F-3DDAE58C072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1589       ">
          <a:extLst xmlns:a="http://schemas.openxmlformats.org/drawingml/2006/main">
            <a:ext uri="{FF2B5EF4-FFF2-40B4-BE49-F238E27FC236}">
              <a16:creationId xmlns:a16="http://schemas.microsoft.com/office/drawing/2014/main" id="{B4C7164F-C1C0-B4C7-7196-459C73CF39C0}"/>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1589      ">
          <a:extLst xmlns:a="http://schemas.openxmlformats.org/drawingml/2006/main">
            <a:ext uri="{FF2B5EF4-FFF2-40B4-BE49-F238E27FC236}">
              <a16:creationId xmlns:a16="http://schemas.microsoft.com/office/drawing/2014/main" id="{A06524C9-1756-51B2-38B7-9809521AD2B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1589     ">
          <a:extLst xmlns:a="http://schemas.openxmlformats.org/drawingml/2006/main">
            <a:ext uri="{FF2B5EF4-FFF2-40B4-BE49-F238E27FC236}">
              <a16:creationId xmlns:a16="http://schemas.microsoft.com/office/drawing/2014/main" id="{B92EB7DE-14CC-D211-451B-B41273A70E3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1589    ">
          <a:extLst xmlns:a="http://schemas.openxmlformats.org/drawingml/2006/main">
            <a:ext uri="{FF2B5EF4-FFF2-40B4-BE49-F238E27FC236}">
              <a16:creationId xmlns:a16="http://schemas.microsoft.com/office/drawing/2014/main" id="{80E0DD08-D98A-D80C-7045-3C2F977A9B5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1589   ">
          <a:extLst xmlns:a="http://schemas.openxmlformats.org/drawingml/2006/main">
            <a:ext uri="{FF2B5EF4-FFF2-40B4-BE49-F238E27FC236}">
              <a16:creationId xmlns:a16="http://schemas.microsoft.com/office/drawing/2014/main" id="{7A12AAA3-9636-5047-C35E-D8951A120E9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1589  ">
          <a:extLst xmlns:a="http://schemas.openxmlformats.org/drawingml/2006/main">
            <a:ext uri="{FF2B5EF4-FFF2-40B4-BE49-F238E27FC236}">
              <a16:creationId xmlns:a16="http://schemas.microsoft.com/office/drawing/2014/main" id="{67D9DEED-C1B1-2BF6-52AF-54781A27664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1589 ">
          <a:extLst xmlns:a="http://schemas.openxmlformats.org/drawingml/2006/main">
            <a:ext uri="{FF2B5EF4-FFF2-40B4-BE49-F238E27FC236}">
              <a16:creationId xmlns:a16="http://schemas.microsoft.com/office/drawing/2014/main" id="{E5E4F022-1ED8-8D7D-582D-210F0DA754F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41.xml><?xml version="1.0" encoding="utf-8"?>
<c:userShapes xmlns:c="http://schemas.openxmlformats.org/drawingml/2006/chart">
  <cdr:relSizeAnchor xmlns:cdr="http://schemas.openxmlformats.org/drawingml/2006/chartDrawing">
    <cdr:from>
      <cdr:x>0.08158</cdr:x>
      <cdr:y>0.46195</cdr:y>
    </cdr:from>
    <cdr:to>
      <cdr:x>0.91842</cdr:x>
      <cdr:y>0.66195</cdr:y>
    </cdr:to>
    <cdr:sp macro="objClick" textlink="">
      <cdr:nvSpPr>
        <cdr:cNvPr id="2" name="gwm_8942          ">
          <a:extLst xmlns:a="http://schemas.openxmlformats.org/drawingml/2006/main">
            <a:ext uri="{FF2B5EF4-FFF2-40B4-BE49-F238E27FC236}">
              <a16:creationId xmlns:a16="http://schemas.microsoft.com/office/drawing/2014/main" id="{C40595E5-F33C-C623-52C4-5E3AA14F3317}"/>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3" name="gwm_8942         ">
          <a:extLst xmlns:a="http://schemas.openxmlformats.org/drawingml/2006/main">
            <a:ext uri="{FF2B5EF4-FFF2-40B4-BE49-F238E27FC236}">
              <a16:creationId xmlns:a16="http://schemas.microsoft.com/office/drawing/2014/main" id="{F0DDD589-72A8-0252-23D2-521113CE56AB}"/>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4" name="gwm_8942        ">
          <a:extLst xmlns:a="http://schemas.openxmlformats.org/drawingml/2006/main">
            <a:ext uri="{FF2B5EF4-FFF2-40B4-BE49-F238E27FC236}">
              <a16:creationId xmlns:a16="http://schemas.microsoft.com/office/drawing/2014/main" id="{EE2CD5A0-84F0-81F7-FFC3-02A18A662BBE}"/>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5" name="gwm_8942       ">
          <a:extLst xmlns:a="http://schemas.openxmlformats.org/drawingml/2006/main">
            <a:ext uri="{FF2B5EF4-FFF2-40B4-BE49-F238E27FC236}">
              <a16:creationId xmlns:a16="http://schemas.microsoft.com/office/drawing/2014/main" id="{4029E3F3-5ABF-A3E6-CB8B-C4D3945AFCED}"/>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6" name="gwm_8942      ">
          <a:extLst xmlns:a="http://schemas.openxmlformats.org/drawingml/2006/main">
            <a:ext uri="{FF2B5EF4-FFF2-40B4-BE49-F238E27FC236}">
              <a16:creationId xmlns:a16="http://schemas.microsoft.com/office/drawing/2014/main" id="{F4EB35EF-EAD6-362D-D7A9-5CBE0F3FA441}"/>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7" name="gwm_8942     ">
          <a:extLst xmlns:a="http://schemas.openxmlformats.org/drawingml/2006/main">
            <a:ext uri="{FF2B5EF4-FFF2-40B4-BE49-F238E27FC236}">
              <a16:creationId xmlns:a16="http://schemas.microsoft.com/office/drawing/2014/main" id="{BC3E19D7-0858-4CC8-F58C-653FB7A3FE17}"/>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8" name="gwm_8942    ">
          <a:extLst xmlns:a="http://schemas.openxmlformats.org/drawingml/2006/main">
            <a:ext uri="{FF2B5EF4-FFF2-40B4-BE49-F238E27FC236}">
              <a16:creationId xmlns:a16="http://schemas.microsoft.com/office/drawing/2014/main" id="{D3A8F292-4F17-1F88-DB07-60ECE0224EBC}"/>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9" name="gwm_8942   ">
          <a:extLst xmlns:a="http://schemas.openxmlformats.org/drawingml/2006/main">
            <a:ext uri="{FF2B5EF4-FFF2-40B4-BE49-F238E27FC236}">
              <a16:creationId xmlns:a16="http://schemas.microsoft.com/office/drawing/2014/main" id="{19E15575-8D89-1FAC-91B0-FEEA2987C480}"/>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0" name="gwm_8942  ">
          <a:extLst xmlns:a="http://schemas.openxmlformats.org/drawingml/2006/main">
            <a:ext uri="{FF2B5EF4-FFF2-40B4-BE49-F238E27FC236}">
              <a16:creationId xmlns:a16="http://schemas.microsoft.com/office/drawing/2014/main" id="{B27B4247-975D-1DA9-1C5B-8C08A2896CFF}"/>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1" name="gwm_8942 ">
          <a:extLst xmlns:a="http://schemas.openxmlformats.org/drawingml/2006/main">
            <a:ext uri="{FF2B5EF4-FFF2-40B4-BE49-F238E27FC236}">
              <a16:creationId xmlns:a16="http://schemas.microsoft.com/office/drawing/2014/main" id="{05ED4818-3D90-7C66-53D2-7C5B4EE44CA1}"/>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42.xml><?xml version="1.0" encoding="utf-8"?>
<xdr:wsDr xmlns:xdr="http://schemas.openxmlformats.org/drawingml/2006/spreadsheetDrawing" xmlns:a="http://schemas.openxmlformats.org/drawingml/2006/main">
  <xdr:twoCellAnchor editAs="oneCell">
    <xdr:from>
      <xdr:col>0</xdr:col>
      <xdr:colOff>12700</xdr:colOff>
      <xdr:row>18</xdr:row>
      <xdr:rowOff>0</xdr:rowOff>
    </xdr:from>
    <xdr:to>
      <xdr:col>3</xdr:col>
      <xdr:colOff>714375</xdr:colOff>
      <xdr:row>34</xdr:row>
      <xdr:rowOff>127000</xdr:rowOff>
    </xdr:to>
    <xdr:graphicFrame macro="">
      <xdr:nvGraphicFramePr>
        <xdr:cNvPr id="2" name="Chart 1">
          <a:extLst>
            <a:ext uri="{FF2B5EF4-FFF2-40B4-BE49-F238E27FC236}">
              <a16:creationId xmlns:a16="http://schemas.microsoft.com/office/drawing/2014/main" id="{EB38CF22-E2C0-13B7-82A7-A88C3AC8FB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xdr:colOff>
      <xdr:row>39</xdr:row>
      <xdr:rowOff>0</xdr:rowOff>
    </xdr:from>
    <xdr:to>
      <xdr:col>3</xdr:col>
      <xdr:colOff>714375</xdr:colOff>
      <xdr:row>55</xdr:row>
      <xdr:rowOff>127000</xdr:rowOff>
    </xdr:to>
    <xdr:graphicFrame macro="">
      <xdr:nvGraphicFramePr>
        <xdr:cNvPr id="3" name="Chart 2">
          <a:extLst>
            <a:ext uri="{FF2B5EF4-FFF2-40B4-BE49-F238E27FC236}">
              <a16:creationId xmlns:a16="http://schemas.microsoft.com/office/drawing/2014/main" id="{AD142485-9358-113F-D164-E213A5377D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12700</xdr:colOff>
      <xdr:row>60</xdr:row>
      <xdr:rowOff>0</xdr:rowOff>
    </xdr:from>
    <xdr:to>
      <xdr:col>3</xdr:col>
      <xdr:colOff>714375</xdr:colOff>
      <xdr:row>76</xdr:row>
      <xdr:rowOff>127000</xdr:rowOff>
    </xdr:to>
    <xdr:graphicFrame macro="">
      <xdr:nvGraphicFramePr>
        <xdr:cNvPr id="4" name="Chart 3">
          <a:extLst>
            <a:ext uri="{FF2B5EF4-FFF2-40B4-BE49-F238E27FC236}">
              <a16:creationId xmlns:a16="http://schemas.microsoft.com/office/drawing/2014/main" id="{2858C239-3F07-FEDD-111C-891C1CEE44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28929          ">
          <a:extLst xmlns:a="http://schemas.openxmlformats.org/drawingml/2006/main">
            <a:ext uri="{FF2B5EF4-FFF2-40B4-BE49-F238E27FC236}">
              <a16:creationId xmlns:a16="http://schemas.microsoft.com/office/drawing/2014/main" id="{EC8D69A9-F6D0-488F-A3E7-F6F05242158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28929         ">
          <a:extLst xmlns:a="http://schemas.openxmlformats.org/drawingml/2006/main">
            <a:ext uri="{FF2B5EF4-FFF2-40B4-BE49-F238E27FC236}">
              <a16:creationId xmlns:a16="http://schemas.microsoft.com/office/drawing/2014/main" id="{822CE8BF-9FF2-1A98-6692-CEC7FBE5A9BF}"/>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28929        ">
          <a:extLst xmlns:a="http://schemas.openxmlformats.org/drawingml/2006/main">
            <a:ext uri="{FF2B5EF4-FFF2-40B4-BE49-F238E27FC236}">
              <a16:creationId xmlns:a16="http://schemas.microsoft.com/office/drawing/2014/main" id="{C3C9664D-9366-C718-305F-821824BA3FF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28929       ">
          <a:extLst xmlns:a="http://schemas.openxmlformats.org/drawingml/2006/main">
            <a:ext uri="{FF2B5EF4-FFF2-40B4-BE49-F238E27FC236}">
              <a16:creationId xmlns:a16="http://schemas.microsoft.com/office/drawing/2014/main" id="{FC08F1A9-8E0B-84D0-10F7-43DE25DF639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28929      ">
          <a:extLst xmlns:a="http://schemas.openxmlformats.org/drawingml/2006/main">
            <a:ext uri="{FF2B5EF4-FFF2-40B4-BE49-F238E27FC236}">
              <a16:creationId xmlns:a16="http://schemas.microsoft.com/office/drawing/2014/main" id="{21DD4FB2-5A45-F20F-7983-344DCF94EF7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28929     ">
          <a:extLst xmlns:a="http://schemas.openxmlformats.org/drawingml/2006/main">
            <a:ext uri="{FF2B5EF4-FFF2-40B4-BE49-F238E27FC236}">
              <a16:creationId xmlns:a16="http://schemas.microsoft.com/office/drawing/2014/main" id="{CAC6BD42-534D-0D77-7B0D-31A9F604142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28929    ">
          <a:extLst xmlns:a="http://schemas.openxmlformats.org/drawingml/2006/main">
            <a:ext uri="{FF2B5EF4-FFF2-40B4-BE49-F238E27FC236}">
              <a16:creationId xmlns:a16="http://schemas.microsoft.com/office/drawing/2014/main" id="{183C85DB-8322-1CBE-B23A-3308F34B81E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28929   ">
          <a:extLst xmlns:a="http://schemas.openxmlformats.org/drawingml/2006/main">
            <a:ext uri="{FF2B5EF4-FFF2-40B4-BE49-F238E27FC236}">
              <a16:creationId xmlns:a16="http://schemas.microsoft.com/office/drawing/2014/main" id="{B88EF097-DDEE-C7AB-A405-2EF08037CCF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28929  ">
          <a:extLst xmlns:a="http://schemas.openxmlformats.org/drawingml/2006/main">
            <a:ext uri="{FF2B5EF4-FFF2-40B4-BE49-F238E27FC236}">
              <a16:creationId xmlns:a16="http://schemas.microsoft.com/office/drawing/2014/main" id="{E9EBE061-4849-7B71-2B87-61F218E91C9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28929 ">
          <a:extLst xmlns:a="http://schemas.openxmlformats.org/drawingml/2006/main">
            <a:ext uri="{FF2B5EF4-FFF2-40B4-BE49-F238E27FC236}">
              <a16:creationId xmlns:a16="http://schemas.microsoft.com/office/drawing/2014/main" id="{DF3A7623-1D2A-4111-D84C-6ED53A83238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44.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22530          ">
          <a:extLst xmlns:a="http://schemas.openxmlformats.org/drawingml/2006/main">
            <a:ext uri="{FF2B5EF4-FFF2-40B4-BE49-F238E27FC236}">
              <a16:creationId xmlns:a16="http://schemas.microsoft.com/office/drawing/2014/main" id="{6316850D-7775-BA55-79A4-19FE76CAD8B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22530         ">
          <a:extLst xmlns:a="http://schemas.openxmlformats.org/drawingml/2006/main">
            <a:ext uri="{FF2B5EF4-FFF2-40B4-BE49-F238E27FC236}">
              <a16:creationId xmlns:a16="http://schemas.microsoft.com/office/drawing/2014/main" id="{5827F2DA-1E29-0F00-53D1-8765C1D17B6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22530        ">
          <a:extLst xmlns:a="http://schemas.openxmlformats.org/drawingml/2006/main">
            <a:ext uri="{FF2B5EF4-FFF2-40B4-BE49-F238E27FC236}">
              <a16:creationId xmlns:a16="http://schemas.microsoft.com/office/drawing/2014/main" id="{FAC273EB-E008-DE05-4467-C0E0B868AB5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22530       ">
          <a:extLst xmlns:a="http://schemas.openxmlformats.org/drawingml/2006/main">
            <a:ext uri="{FF2B5EF4-FFF2-40B4-BE49-F238E27FC236}">
              <a16:creationId xmlns:a16="http://schemas.microsoft.com/office/drawing/2014/main" id="{087D0A60-94E7-FDD9-F4A2-8E322E17F8F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22530      ">
          <a:extLst xmlns:a="http://schemas.openxmlformats.org/drawingml/2006/main">
            <a:ext uri="{FF2B5EF4-FFF2-40B4-BE49-F238E27FC236}">
              <a16:creationId xmlns:a16="http://schemas.microsoft.com/office/drawing/2014/main" id="{669611C9-305E-B2CA-37FE-E9956510BDF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22530     ">
          <a:extLst xmlns:a="http://schemas.openxmlformats.org/drawingml/2006/main">
            <a:ext uri="{FF2B5EF4-FFF2-40B4-BE49-F238E27FC236}">
              <a16:creationId xmlns:a16="http://schemas.microsoft.com/office/drawing/2014/main" id="{B922E477-5B0B-F825-095E-84528D1D80F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22530    ">
          <a:extLst xmlns:a="http://schemas.openxmlformats.org/drawingml/2006/main">
            <a:ext uri="{FF2B5EF4-FFF2-40B4-BE49-F238E27FC236}">
              <a16:creationId xmlns:a16="http://schemas.microsoft.com/office/drawing/2014/main" id="{C0E8D820-2727-1449-C804-8C059F7AA2F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22530   ">
          <a:extLst xmlns:a="http://schemas.openxmlformats.org/drawingml/2006/main">
            <a:ext uri="{FF2B5EF4-FFF2-40B4-BE49-F238E27FC236}">
              <a16:creationId xmlns:a16="http://schemas.microsoft.com/office/drawing/2014/main" id="{3AD8AFFC-CF82-DDDE-91E1-6B635252FA1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22530  ">
          <a:extLst xmlns:a="http://schemas.openxmlformats.org/drawingml/2006/main">
            <a:ext uri="{FF2B5EF4-FFF2-40B4-BE49-F238E27FC236}">
              <a16:creationId xmlns:a16="http://schemas.microsoft.com/office/drawing/2014/main" id="{88883CE8-AD11-941B-9ADB-C49108F7F23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22530 ">
          <a:extLst xmlns:a="http://schemas.openxmlformats.org/drawingml/2006/main">
            <a:ext uri="{FF2B5EF4-FFF2-40B4-BE49-F238E27FC236}">
              <a16:creationId xmlns:a16="http://schemas.microsoft.com/office/drawing/2014/main" id="{A9934EB0-74A3-081E-8B7C-0D04B7A12C5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45.xml><?xml version="1.0" encoding="utf-8"?>
<c:userShapes xmlns:c="http://schemas.openxmlformats.org/drawingml/2006/chart">
  <cdr:relSizeAnchor xmlns:cdr="http://schemas.openxmlformats.org/drawingml/2006/chartDrawing">
    <cdr:from>
      <cdr:x>0.08158</cdr:x>
      <cdr:y>0.46195</cdr:y>
    </cdr:from>
    <cdr:to>
      <cdr:x>0.91842</cdr:x>
      <cdr:y>0.66195</cdr:y>
    </cdr:to>
    <cdr:sp macro="objClick" textlink="">
      <cdr:nvSpPr>
        <cdr:cNvPr id="2" name="gwm_18644          ">
          <a:extLst xmlns:a="http://schemas.openxmlformats.org/drawingml/2006/main">
            <a:ext uri="{FF2B5EF4-FFF2-40B4-BE49-F238E27FC236}">
              <a16:creationId xmlns:a16="http://schemas.microsoft.com/office/drawing/2014/main" id="{A9DCAA33-BAE6-9AD5-3133-0C3D0947154A}"/>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3" name="gwm_18644         ">
          <a:extLst xmlns:a="http://schemas.openxmlformats.org/drawingml/2006/main">
            <a:ext uri="{FF2B5EF4-FFF2-40B4-BE49-F238E27FC236}">
              <a16:creationId xmlns:a16="http://schemas.microsoft.com/office/drawing/2014/main" id="{B5EC0A2A-53D9-A718-8E63-182330D40BB6}"/>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4" name="gwm_18644        ">
          <a:extLst xmlns:a="http://schemas.openxmlformats.org/drawingml/2006/main">
            <a:ext uri="{FF2B5EF4-FFF2-40B4-BE49-F238E27FC236}">
              <a16:creationId xmlns:a16="http://schemas.microsoft.com/office/drawing/2014/main" id="{6DD09ED8-D641-9EA4-1FC1-190A054B71FC}"/>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5" name="gwm_18644       ">
          <a:extLst xmlns:a="http://schemas.openxmlformats.org/drawingml/2006/main">
            <a:ext uri="{FF2B5EF4-FFF2-40B4-BE49-F238E27FC236}">
              <a16:creationId xmlns:a16="http://schemas.microsoft.com/office/drawing/2014/main" id="{52794202-1628-A18C-AAA3-A31C92F7717E}"/>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6" name="gwm_18644      ">
          <a:extLst xmlns:a="http://schemas.openxmlformats.org/drawingml/2006/main">
            <a:ext uri="{FF2B5EF4-FFF2-40B4-BE49-F238E27FC236}">
              <a16:creationId xmlns:a16="http://schemas.microsoft.com/office/drawing/2014/main" id="{D414E583-2D02-11AB-CEDE-2D9D33629D74}"/>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7" name="gwm_18644     ">
          <a:extLst xmlns:a="http://schemas.openxmlformats.org/drawingml/2006/main">
            <a:ext uri="{FF2B5EF4-FFF2-40B4-BE49-F238E27FC236}">
              <a16:creationId xmlns:a16="http://schemas.microsoft.com/office/drawing/2014/main" id="{F72E7DBC-9267-F549-2544-9C2BD62CC36B}"/>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8" name="gwm_18644    ">
          <a:extLst xmlns:a="http://schemas.openxmlformats.org/drawingml/2006/main">
            <a:ext uri="{FF2B5EF4-FFF2-40B4-BE49-F238E27FC236}">
              <a16:creationId xmlns:a16="http://schemas.microsoft.com/office/drawing/2014/main" id="{9525BBF5-9FEA-68A8-7F57-8E53E23CB62B}"/>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9" name="gwm_18644   ">
          <a:extLst xmlns:a="http://schemas.openxmlformats.org/drawingml/2006/main">
            <a:ext uri="{FF2B5EF4-FFF2-40B4-BE49-F238E27FC236}">
              <a16:creationId xmlns:a16="http://schemas.microsoft.com/office/drawing/2014/main" id="{4A673F2D-50D6-6E9F-6CBA-70F063D7CF7A}"/>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0" name="gwm_18644  ">
          <a:extLst xmlns:a="http://schemas.openxmlformats.org/drawingml/2006/main">
            <a:ext uri="{FF2B5EF4-FFF2-40B4-BE49-F238E27FC236}">
              <a16:creationId xmlns:a16="http://schemas.microsoft.com/office/drawing/2014/main" id="{944F0C21-FF10-DFA6-6426-34A12009DF0D}"/>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1" name="gwm_18644 ">
          <a:extLst xmlns:a="http://schemas.openxmlformats.org/drawingml/2006/main">
            <a:ext uri="{FF2B5EF4-FFF2-40B4-BE49-F238E27FC236}">
              <a16:creationId xmlns:a16="http://schemas.microsoft.com/office/drawing/2014/main" id="{D81C173A-6302-0F7C-D035-824B33F52D4E}"/>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46.xml><?xml version="1.0" encoding="utf-8"?>
<xdr:wsDr xmlns:xdr="http://schemas.openxmlformats.org/drawingml/2006/spreadsheetDrawing" xmlns:a="http://schemas.openxmlformats.org/drawingml/2006/main">
  <xdr:twoCellAnchor editAs="oneCell">
    <xdr:from>
      <xdr:col>0</xdr:col>
      <xdr:colOff>12700</xdr:colOff>
      <xdr:row>16</xdr:row>
      <xdr:rowOff>0</xdr:rowOff>
    </xdr:from>
    <xdr:to>
      <xdr:col>4</xdr:col>
      <xdr:colOff>542925</xdr:colOff>
      <xdr:row>32</xdr:row>
      <xdr:rowOff>127000</xdr:rowOff>
    </xdr:to>
    <xdr:graphicFrame macro="">
      <xdr:nvGraphicFramePr>
        <xdr:cNvPr id="2" name="Chart 1">
          <a:extLst>
            <a:ext uri="{FF2B5EF4-FFF2-40B4-BE49-F238E27FC236}">
              <a16:creationId xmlns:a16="http://schemas.microsoft.com/office/drawing/2014/main" id="{C808B11B-7849-A643-A68D-86930F7672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xdr:colOff>
      <xdr:row>37</xdr:row>
      <xdr:rowOff>0</xdr:rowOff>
    </xdr:from>
    <xdr:to>
      <xdr:col>4</xdr:col>
      <xdr:colOff>542925</xdr:colOff>
      <xdr:row>53</xdr:row>
      <xdr:rowOff>127000</xdr:rowOff>
    </xdr:to>
    <xdr:graphicFrame macro="">
      <xdr:nvGraphicFramePr>
        <xdr:cNvPr id="3" name="Chart 2">
          <a:extLst>
            <a:ext uri="{FF2B5EF4-FFF2-40B4-BE49-F238E27FC236}">
              <a16:creationId xmlns:a16="http://schemas.microsoft.com/office/drawing/2014/main" id="{F4C8F1BE-3EE8-A041-5C0C-FAD71262EF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12700</xdr:colOff>
      <xdr:row>58</xdr:row>
      <xdr:rowOff>0</xdr:rowOff>
    </xdr:from>
    <xdr:to>
      <xdr:col>4</xdr:col>
      <xdr:colOff>542925</xdr:colOff>
      <xdr:row>74</xdr:row>
      <xdr:rowOff>127000</xdr:rowOff>
    </xdr:to>
    <xdr:graphicFrame macro="">
      <xdr:nvGraphicFramePr>
        <xdr:cNvPr id="4" name="Chart 3">
          <a:extLst>
            <a:ext uri="{FF2B5EF4-FFF2-40B4-BE49-F238E27FC236}">
              <a16:creationId xmlns:a16="http://schemas.microsoft.com/office/drawing/2014/main" id="{876C91C9-8CB0-DD61-DC20-8A1EED064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79</xdr:row>
      <xdr:rowOff>0</xdr:rowOff>
    </xdr:from>
    <xdr:to>
      <xdr:col>4</xdr:col>
      <xdr:colOff>542925</xdr:colOff>
      <xdr:row>95</xdr:row>
      <xdr:rowOff>127000</xdr:rowOff>
    </xdr:to>
    <xdr:graphicFrame macro="">
      <xdr:nvGraphicFramePr>
        <xdr:cNvPr id="5" name="Chart 4">
          <a:extLst>
            <a:ext uri="{FF2B5EF4-FFF2-40B4-BE49-F238E27FC236}">
              <a16:creationId xmlns:a16="http://schemas.microsoft.com/office/drawing/2014/main" id="{5ACA2329-A9ED-FBCC-E9C5-6E8EC28F55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12700</xdr:colOff>
      <xdr:row>100</xdr:row>
      <xdr:rowOff>0</xdr:rowOff>
    </xdr:from>
    <xdr:to>
      <xdr:col>4</xdr:col>
      <xdr:colOff>542925</xdr:colOff>
      <xdr:row>116</xdr:row>
      <xdr:rowOff>127000</xdr:rowOff>
    </xdr:to>
    <xdr:graphicFrame macro="">
      <xdr:nvGraphicFramePr>
        <xdr:cNvPr id="6" name="Chart 5">
          <a:extLst>
            <a:ext uri="{FF2B5EF4-FFF2-40B4-BE49-F238E27FC236}">
              <a16:creationId xmlns:a16="http://schemas.microsoft.com/office/drawing/2014/main" id="{1C78F598-C326-BF87-8802-9E89CCB412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12700</xdr:colOff>
      <xdr:row>121</xdr:row>
      <xdr:rowOff>0</xdr:rowOff>
    </xdr:from>
    <xdr:to>
      <xdr:col>4</xdr:col>
      <xdr:colOff>542925</xdr:colOff>
      <xdr:row>137</xdr:row>
      <xdr:rowOff>127000</xdr:rowOff>
    </xdr:to>
    <xdr:graphicFrame macro="">
      <xdr:nvGraphicFramePr>
        <xdr:cNvPr id="7" name="Chart 6">
          <a:extLst>
            <a:ext uri="{FF2B5EF4-FFF2-40B4-BE49-F238E27FC236}">
              <a16:creationId xmlns:a16="http://schemas.microsoft.com/office/drawing/2014/main" id="{FBC93363-D55F-D667-2E08-89424DB6B3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7.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19978          ">
          <a:extLst xmlns:a="http://schemas.openxmlformats.org/drawingml/2006/main">
            <a:ext uri="{FF2B5EF4-FFF2-40B4-BE49-F238E27FC236}">
              <a16:creationId xmlns:a16="http://schemas.microsoft.com/office/drawing/2014/main" id="{B4DDEB88-1057-0C4B-544F-9E1D6047528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19978         ">
          <a:extLst xmlns:a="http://schemas.openxmlformats.org/drawingml/2006/main">
            <a:ext uri="{FF2B5EF4-FFF2-40B4-BE49-F238E27FC236}">
              <a16:creationId xmlns:a16="http://schemas.microsoft.com/office/drawing/2014/main" id="{D650D890-F72F-FDF4-E21A-12F7FDC843B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19978        ">
          <a:extLst xmlns:a="http://schemas.openxmlformats.org/drawingml/2006/main">
            <a:ext uri="{FF2B5EF4-FFF2-40B4-BE49-F238E27FC236}">
              <a16:creationId xmlns:a16="http://schemas.microsoft.com/office/drawing/2014/main" id="{710A7E26-0980-CE93-B727-1D66B48F353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19978       ">
          <a:extLst xmlns:a="http://schemas.openxmlformats.org/drawingml/2006/main">
            <a:ext uri="{FF2B5EF4-FFF2-40B4-BE49-F238E27FC236}">
              <a16:creationId xmlns:a16="http://schemas.microsoft.com/office/drawing/2014/main" id="{1E2879F3-CD4F-77D3-10C0-51115894C0D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19978      ">
          <a:extLst xmlns:a="http://schemas.openxmlformats.org/drawingml/2006/main">
            <a:ext uri="{FF2B5EF4-FFF2-40B4-BE49-F238E27FC236}">
              <a16:creationId xmlns:a16="http://schemas.microsoft.com/office/drawing/2014/main" id="{3B501C14-E974-3156-5B5A-464CC3B6F0E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19978     ">
          <a:extLst xmlns:a="http://schemas.openxmlformats.org/drawingml/2006/main">
            <a:ext uri="{FF2B5EF4-FFF2-40B4-BE49-F238E27FC236}">
              <a16:creationId xmlns:a16="http://schemas.microsoft.com/office/drawing/2014/main" id="{47E1B22A-E2F3-A92C-97CE-924E46095A0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19978    ">
          <a:extLst xmlns:a="http://schemas.openxmlformats.org/drawingml/2006/main">
            <a:ext uri="{FF2B5EF4-FFF2-40B4-BE49-F238E27FC236}">
              <a16:creationId xmlns:a16="http://schemas.microsoft.com/office/drawing/2014/main" id="{C106B3AD-0EFA-771E-97DA-DF7DBB8DA63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19978   ">
          <a:extLst xmlns:a="http://schemas.openxmlformats.org/drawingml/2006/main">
            <a:ext uri="{FF2B5EF4-FFF2-40B4-BE49-F238E27FC236}">
              <a16:creationId xmlns:a16="http://schemas.microsoft.com/office/drawing/2014/main" id="{C03B6984-2703-BC69-28EC-CFDDF95A9E6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19978  ">
          <a:extLst xmlns:a="http://schemas.openxmlformats.org/drawingml/2006/main">
            <a:ext uri="{FF2B5EF4-FFF2-40B4-BE49-F238E27FC236}">
              <a16:creationId xmlns:a16="http://schemas.microsoft.com/office/drawing/2014/main" id="{5D19EECA-5233-3B99-494E-44C8ECCBBD6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19978 ">
          <a:extLst xmlns:a="http://schemas.openxmlformats.org/drawingml/2006/main">
            <a:ext uri="{FF2B5EF4-FFF2-40B4-BE49-F238E27FC236}">
              <a16:creationId xmlns:a16="http://schemas.microsoft.com/office/drawing/2014/main" id="{13956B6B-6281-E7A4-B2B6-876F7B53725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48.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29743          ">
          <a:extLst xmlns:a="http://schemas.openxmlformats.org/drawingml/2006/main">
            <a:ext uri="{FF2B5EF4-FFF2-40B4-BE49-F238E27FC236}">
              <a16:creationId xmlns:a16="http://schemas.microsoft.com/office/drawing/2014/main" id="{61938109-8354-93FD-D0E1-4215C2659A7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29743         ">
          <a:extLst xmlns:a="http://schemas.openxmlformats.org/drawingml/2006/main">
            <a:ext uri="{FF2B5EF4-FFF2-40B4-BE49-F238E27FC236}">
              <a16:creationId xmlns:a16="http://schemas.microsoft.com/office/drawing/2014/main" id="{FCBCEE2E-6FE7-B191-0446-6D490E424B4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29743        ">
          <a:extLst xmlns:a="http://schemas.openxmlformats.org/drawingml/2006/main">
            <a:ext uri="{FF2B5EF4-FFF2-40B4-BE49-F238E27FC236}">
              <a16:creationId xmlns:a16="http://schemas.microsoft.com/office/drawing/2014/main" id="{7E7106C4-2DAA-7C55-0CE8-064C02EF2D20}"/>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29743       ">
          <a:extLst xmlns:a="http://schemas.openxmlformats.org/drawingml/2006/main">
            <a:ext uri="{FF2B5EF4-FFF2-40B4-BE49-F238E27FC236}">
              <a16:creationId xmlns:a16="http://schemas.microsoft.com/office/drawing/2014/main" id="{82E2AF9A-62EC-D72B-01EB-581F3D46388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29743      ">
          <a:extLst xmlns:a="http://schemas.openxmlformats.org/drawingml/2006/main">
            <a:ext uri="{FF2B5EF4-FFF2-40B4-BE49-F238E27FC236}">
              <a16:creationId xmlns:a16="http://schemas.microsoft.com/office/drawing/2014/main" id="{4B42A628-BB42-481C-0297-C587B3D93B8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29743     ">
          <a:extLst xmlns:a="http://schemas.openxmlformats.org/drawingml/2006/main">
            <a:ext uri="{FF2B5EF4-FFF2-40B4-BE49-F238E27FC236}">
              <a16:creationId xmlns:a16="http://schemas.microsoft.com/office/drawing/2014/main" id="{D97DB66E-4D71-2DCE-BA97-12DE3416474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29743    ">
          <a:extLst xmlns:a="http://schemas.openxmlformats.org/drawingml/2006/main">
            <a:ext uri="{FF2B5EF4-FFF2-40B4-BE49-F238E27FC236}">
              <a16:creationId xmlns:a16="http://schemas.microsoft.com/office/drawing/2014/main" id="{CF5F9616-5816-6CAE-B0B9-2AA23B6E6B5B}"/>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29743   ">
          <a:extLst xmlns:a="http://schemas.openxmlformats.org/drawingml/2006/main">
            <a:ext uri="{FF2B5EF4-FFF2-40B4-BE49-F238E27FC236}">
              <a16:creationId xmlns:a16="http://schemas.microsoft.com/office/drawing/2014/main" id="{1CBB3653-D84B-BF2F-8E2A-087613D59DB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29743  ">
          <a:extLst xmlns:a="http://schemas.openxmlformats.org/drawingml/2006/main">
            <a:ext uri="{FF2B5EF4-FFF2-40B4-BE49-F238E27FC236}">
              <a16:creationId xmlns:a16="http://schemas.microsoft.com/office/drawing/2014/main" id="{C99E4881-2966-DFE2-EA84-33E87085F23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29743 ">
          <a:extLst xmlns:a="http://schemas.openxmlformats.org/drawingml/2006/main">
            <a:ext uri="{FF2B5EF4-FFF2-40B4-BE49-F238E27FC236}">
              <a16:creationId xmlns:a16="http://schemas.microsoft.com/office/drawing/2014/main" id="{35265BAB-C5E0-B750-CF94-C7178046591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49.xml><?xml version="1.0" encoding="utf-8"?>
<c:userShapes xmlns:c="http://schemas.openxmlformats.org/drawingml/2006/chart">
  <cdr:relSizeAnchor xmlns:cdr="http://schemas.openxmlformats.org/drawingml/2006/chartDrawing">
    <cdr:from>
      <cdr:x>0.08158</cdr:x>
      <cdr:y>0.46195</cdr:y>
    </cdr:from>
    <cdr:to>
      <cdr:x>0.91842</cdr:x>
      <cdr:y>0.66195</cdr:y>
    </cdr:to>
    <cdr:sp macro="objClick" textlink="">
      <cdr:nvSpPr>
        <cdr:cNvPr id="2" name="gwm_2841          ">
          <a:extLst xmlns:a="http://schemas.openxmlformats.org/drawingml/2006/main">
            <a:ext uri="{FF2B5EF4-FFF2-40B4-BE49-F238E27FC236}">
              <a16:creationId xmlns:a16="http://schemas.microsoft.com/office/drawing/2014/main" id="{262920E4-9997-36CF-D712-FBE92206094D}"/>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3" name="gwm_2841         ">
          <a:extLst xmlns:a="http://schemas.openxmlformats.org/drawingml/2006/main">
            <a:ext uri="{FF2B5EF4-FFF2-40B4-BE49-F238E27FC236}">
              <a16:creationId xmlns:a16="http://schemas.microsoft.com/office/drawing/2014/main" id="{7B33741F-6528-C407-9E4A-0C31861E326B}"/>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4" name="gwm_2841        ">
          <a:extLst xmlns:a="http://schemas.openxmlformats.org/drawingml/2006/main">
            <a:ext uri="{FF2B5EF4-FFF2-40B4-BE49-F238E27FC236}">
              <a16:creationId xmlns:a16="http://schemas.microsoft.com/office/drawing/2014/main" id="{238A1C16-D9F7-5388-7B47-1E7E123B450D}"/>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5" name="gwm_2841       ">
          <a:extLst xmlns:a="http://schemas.openxmlformats.org/drawingml/2006/main">
            <a:ext uri="{FF2B5EF4-FFF2-40B4-BE49-F238E27FC236}">
              <a16:creationId xmlns:a16="http://schemas.microsoft.com/office/drawing/2014/main" id="{B5D97216-55C7-F6A2-39E4-041429101378}"/>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6" name="gwm_2841      ">
          <a:extLst xmlns:a="http://schemas.openxmlformats.org/drawingml/2006/main">
            <a:ext uri="{FF2B5EF4-FFF2-40B4-BE49-F238E27FC236}">
              <a16:creationId xmlns:a16="http://schemas.microsoft.com/office/drawing/2014/main" id="{73EBA7CE-CD04-A415-4562-B86430273F90}"/>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7" name="gwm_2841     ">
          <a:extLst xmlns:a="http://schemas.openxmlformats.org/drawingml/2006/main">
            <a:ext uri="{FF2B5EF4-FFF2-40B4-BE49-F238E27FC236}">
              <a16:creationId xmlns:a16="http://schemas.microsoft.com/office/drawing/2014/main" id="{F7121D97-C563-F36F-B8FE-E8B9DBF74A0D}"/>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8" name="gwm_2841    ">
          <a:extLst xmlns:a="http://schemas.openxmlformats.org/drawingml/2006/main">
            <a:ext uri="{FF2B5EF4-FFF2-40B4-BE49-F238E27FC236}">
              <a16:creationId xmlns:a16="http://schemas.microsoft.com/office/drawing/2014/main" id="{9CBC306A-7E15-F172-9425-779F4D7F55AB}"/>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9" name="gwm_2841   ">
          <a:extLst xmlns:a="http://schemas.openxmlformats.org/drawingml/2006/main">
            <a:ext uri="{FF2B5EF4-FFF2-40B4-BE49-F238E27FC236}">
              <a16:creationId xmlns:a16="http://schemas.microsoft.com/office/drawing/2014/main" id="{3FA4987E-E692-3752-DC8E-E831F71E4770}"/>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0" name="gwm_2841  ">
          <a:extLst xmlns:a="http://schemas.openxmlformats.org/drawingml/2006/main">
            <a:ext uri="{FF2B5EF4-FFF2-40B4-BE49-F238E27FC236}">
              <a16:creationId xmlns:a16="http://schemas.microsoft.com/office/drawing/2014/main" id="{62CA07A3-DB49-1D1C-BC08-BCCF113D13DF}"/>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1" name="gwm_2841 ">
          <a:extLst xmlns:a="http://schemas.openxmlformats.org/drawingml/2006/main">
            <a:ext uri="{FF2B5EF4-FFF2-40B4-BE49-F238E27FC236}">
              <a16:creationId xmlns:a16="http://schemas.microsoft.com/office/drawing/2014/main" id="{5876F855-8F3F-8D63-08E6-189D554306D8}"/>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0</xdr:col>
      <xdr:colOff>12699</xdr:colOff>
      <xdr:row>6</xdr:row>
      <xdr:rowOff>0</xdr:rowOff>
    </xdr:from>
    <xdr:to>
      <xdr:col>9</xdr:col>
      <xdr:colOff>9525</xdr:colOff>
      <xdr:row>22</xdr:row>
      <xdr:rowOff>127000</xdr:rowOff>
    </xdr:to>
    <xdr:graphicFrame macro="">
      <xdr:nvGraphicFramePr>
        <xdr:cNvPr id="2" name="Chart 1">
          <a:extLst>
            <a:ext uri="{FF2B5EF4-FFF2-40B4-BE49-F238E27FC236}">
              <a16:creationId xmlns:a16="http://schemas.microsoft.com/office/drawing/2014/main" id="{3AAF8D40-12B9-196D-1CC8-A4E4DD637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0.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8996          ">
          <a:extLst xmlns:a="http://schemas.openxmlformats.org/drawingml/2006/main">
            <a:ext uri="{FF2B5EF4-FFF2-40B4-BE49-F238E27FC236}">
              <a16:creationId xmlns:a16="http://schemas.microsoft.com/office/drawing/2014/main" id="{1BFE43E3-FCA4-F2D7-EF88-EEB63D3FF82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8996         ">
          <a:extLst xmlns:a="http://schemas.openxmlformats.org/drawingml/2006/main">
            <a:ext uri="{FF2B5EF4-FFF2-40B4-BE49-F238E27FC236}">
              <a16:creationId xmlns:a16="http://schemas.microsoft.com/office/drawing/2014/main" id="{E3498541-3B49-E28F-20CD-9922BF789F8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8996        ">
          <a:extLst xmlns:a="http://schemas.openxmlformats.org/drawingml/2006/main">
            <a:ext uri="{FF2B5EF4-FFF2-40B4-BE49-F238E27FC236}">
              <a16:creationId xmlns:a16="http://schemas.microsoft.com/office/drawing/2014/main" id="{AA06B4D6-E585-8997-49E2-D0F7458080B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8996       ">
          <a:extLst xmlns:a="http://schemas.openxmlformats.org/drawingml/2006/main">
            <a:ext uri="{FF2B5EF4-FFF2-40B4-BE49-F238E27FC236}">
              <a16:creationId xmlns:a16="http://schemas.microsoft.com/office/drawing/2014/main" id="{7956C602-53FE-6F51-776D-F6AD964B2D4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8996      ">
          <a:extLst xmlns:a="http://schemas.openxmlformats.org/drawingml/2006/main">
            <a:ext uri="{FF2B5EF4-FFF2-40B4-BE49-F238E27FC236}">
              <a16:creationId xmlns:a16="http://schemas.microsoft.com/office/drawing/2014/main" id="{569F3B78-DF85-C112-4DBE-E3A937DC35B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8996     ">
          <a:extLst xmlns:a="http://schemas.openxmlformats.org/drawingml/2006/main">
            <a:ext uri="{FF2B5EF4-FFF2-40B4-BE49-F238E27FC236}">
              <a16:creationId xmlns:a16="http://schemas.microsoft.com/office/drawing/2014/main" id="{E6F8ABFD-A060-8ADB-3014-1B0AF1E99E6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8996    ">
          <a:extLst xmlns:a="http://schemas.openxmlformats.org/drawingml/2006/main">
            <a:ext uri="{FF2B5EF4-FFF2-40B4-BE49-F238E27FC236}">
              <a16:creationId xmlns:a16="http://schemas.microsoft.com/office/drawing/2014/main" id="{DF110EDE-2625-784A-82F3-387D240CF70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8996   ">
          <a:extLst xmlns:a="http://schemas.openxmlformats.org/drawingml/2006/main">
            <a:ext uri="{FF2B5EF4-FFF2-40B4-BE49-F238E27FC236}">
              <a16:creationId xmlns:a16="http://schemas.microsoft.com/office/drawing/2014/main" id="{16BCCB5F-B0F6-821E-4A9E-4D6D840249E0}"/>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8996  ">
          <a:extLst xmlns:a="http://schemas.openxmlformats.org/drawingml/2006/main">
            <a:ext uri="{FF2B5EF4-FFF2-40B4-BE49-F238E27FC236}">
              <a16:creationId xmlns:a16="http://schemas.microsoft.com/office/drawing/2014/main" id="{BC42CC14-9B4C-C051-4C17-3C67F8AF5E3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8996 ">
          <a:extLst xmlns:a="http://schemas.openxmlformats.org/drawingml/2006/main">
            <a:ext uri="{FF2B5EF4-FFF2-40B4-BE49-F238E27FC236}">
              <a16:creationId xmlns:a16="http://schemas.microsoft.com/office/drawing/2014/main" id="{7314FA5A-B1C8-0887-4B9F-DFDEAD52E97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51.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24297          ">
          <a:extLst xmlns:a="http://schemas.openxmlformats.org/drawingml/2006/main">
            <a:ext uri="{FF2B5EF4-FFF2-40B4-BE49-F238E27FC236}">
              <a16:creationId xmlns:a16="http://schemas.microsoft.com/office/drawing/2014/main" id="{22D53D32-C2E0-C030-629E-1AF7A8F7ABA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24297         ">
          <a:extLst xmlns:a="http://schemas.openxmlformats.org/drawingml/2006/main">
            <a:ext uri="{FF2B5EF4-FFF2-40B4-BE49-F238E27FC236}">
              <a16:creationId xmlns:a16="http://schemas.microsoft.com/office/drawing/2014/main" id="{DA403F49-A745-11C1-0B84-351E95EA0E5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24297        ">
          <a:extLst xmlns:a="http://schemas.openxmlformats.org/drawingml/2006/main">
            <a:ext uri="{FF2B5EF4-FFF2-40B4-BE49-F238E27FC236}">
              <a16:creationId xmlns:a16="http://schemas.microsoft.com/office/drawing/2014/main" id="{FE52C628-E662-EEEA-D8C5-8C666A62BAC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24297       ">
          <a:extLst xmlns:a="http://schemas.openxmlformats.org/drawingml/2006/main">
            <a:ext uri="{FF2B5EF4-FFF2-40B4-BE49-F238E27FC236}">
              <a16:creationId xmlns:a16="http://schemas.microsoft.com/office/drawing/2014/main" id="{F3E19E82-8993-C8DC-E0D7-4166288A30D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24297      ">
          <a:extLst xmlns:a="http://schemas.openxmlformats.org/drawingml/2006/main">
            <a:ext uri="{FF2B5EF4-FFF2-40B4-BE49-F238E27FC236}">
              <a16:creationId xmlns:a16="http://schemas.microsoft.com/office/drawing/2014/main" id="{3F0770E7-F947-BC93-1947-AE67346C9BD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24297     ">
          <a:extLst xmlns:a="http://schemas.openxmlformats.org/drawingml/2006/main">
            <a:ext uri="{FF2B5EF4-FFF2-40B4-BE49-F238E27FC236}">
              <a16:creationId xmlns:a16="http://schemas.microsoft.com/office/drawing/2014/main" id="{991F3C46-82B6-1837-451D-988DE5253D2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24297    ">
          <a:extLst xmlns:a="http://schemas.openxmlformats.org/drawingml/2006/main">
            <a:ext uri="{FF2B5EF4-FFF2-40B4-BE49-F238E27FC236}">
              <a16:creationId xmlns:a16="http://schemas.microsoft.com/office/drawing/2014/main" id="{720BE848-A9FD-B9DB-0CAC-59FE02552F5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24297   ">
          <a:extLst xmlns:a="http://schemas.openxmlformats.org/drawingml/2006/main">
            <a:ext uri="{FF2B5EF4-FFF2-40B4-BE49-F238E27FC236}">
              <a16:creationId xmlns:a16="http://schemas.microsoft.com/office/drawing/2014/main" id="{2AF1950C-1C66-F4DE-0DFE-F13BB0F0585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24297  ">
          <a:extLst xmlns:a="http://schemas.openxmlformats.org/drawingml/2006/main">
            <a:ext uri="{FF2B5EF4-FFF2-40B4-BE49-F238E27FC236}">
              <a16:creationId xmlns:a16="http://schemas.microsoft.com/office/drawing/2014/main" id="{353D0088-11F4-9EBD-D392-A2A22A20FEF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24297 ">
          <a:extLst xmlns:a="http://schemas.openxmlformats.org/drawingml/2006/main">
            <a:ext uri="{FF2B5EF4-FFF2-40B4-BE49-F238E27FC236}">
              <a16:creationId xmlns:a16="http://schemas.microsoft.com/office/drawing/2014/main" id="{279FCFA9-36B1-B84B-AE0A-89091177886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52.xml><?xml version="1.0" encoding="utf-8"?>
<c:userShapes xmlns:c="http://schemas.openxmlformats.org/drawingml/2006/chart">
  <cdr:relSizeAnchor xmlns:cdr="http://schemas.openxmlformats.org/drawingml/2006/chartDrawing">
    <cdr:from>
      <cdr:x>0.08158</cdr:x>
      <cdr:y>0.46195</cdr:y>
    </cdr:from>
    <cdr:to>
      <cdr:x>0.91842</cdr:x>
      <cdr:y>0.66195</cdr:y>
    </cdr:to>
    <cdr:sp macro="objClick" textlink="">
      <cdr:nvSpPr>
        <cdr:cNvPr id="2" name="gwm_22058          ">
          <a:extLst xmlns:a="http://schemas.openxmlformats.org/drawingml/2006/main">
            <a:ext uri="{FF2B5EF4-FFF2-40B4-BE49-F238E27FC236}">
              <a16:creationId xmlns:a16="http://schemas.microsoft.com/office/drawing/2014/main" id="{6270AA6E-E9AA-5878-CC9E-23002E3411CA}"/>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3" name="gwm_22058         ">
          <a:extLst xmlns:a="http://schemas.openxmlformats.org/drawingml/2006/main">
            <a:ext uri="{FF2B5EF4-FFF2-40B4-BE49-F238E27FC236}">
              <a16:creationId xmlns:a16="http://schemas.microsoft.com/office/drawing/2014/main" id="{4D9F3C86-1C01-47B7-07F4-626DC0356A69}"/>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4" name="gwm_22058        ">
          <a:extLst xmlns:a="http://schemas.openxmlformats.org/drawingml/2006/main">
            <a:ext uri="{FF2B5EF4-FFF2-40B4-BE49-F238E27FC236}">
              <a16:creationId xmlns:a16="http://schemas.microsoft.com/office/drawing/2014/main" id="{75248DC2-65DD-7E93-9036-E19A947C77A7}"/>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5" name="gwm_22058       ">
          <a:extLst xmlns:a="http://schemas.openxmlformats.org/drawingml/2006/main">
            <a:ext uri="{FF2B5EF4-FFF2-40B4-BE49-F238E27FC236}">
              <a16:creationId xmlns:a16="http://schemas.microsoft.com/office/drawing/2014/main" id="{A2AFC8AD-D842-62BC-CBC6-B351EBAE9033}"/>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6" name="gwm_22058      ">
          <a:extLst xmlns:a="http://schemas.openxmlformats.org/drawingml/2006/main">
            <a:ext uri="{FF2B5EF4-FFF2-40B4-BE49-F238E27FC236}">
              <a16:creationId xmlns:a16="http://schemas.microsoft.com/office/drawing/2014/main" id="{2D885E8E-BE40-D2BB-8B3E-EF47DE4761EE}"/>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7" name="gwm_22058     ">
          <a:extLst xmlns:a="http://schemas.openxmlformats.org/drawingml/2006/main">
            <a:ext uri="{FF2B5EF4-FFF2-40B4-BE49-F238E27FC236}">
              <a16:creationId xmlns:a16="http://schemas.microsoft.com/office/drawing/2014/main" id="{89A9253D-65F4-D45E-8D44-2FDC33D4A270}"/>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8" name="gwm_22058    ">
          <a:extLst xmlns:a="http://schemas.openxmlformats.org/drawingml/2006/main">
            <a:ext uri="{FF2B5EF4-FFF2-40B4-BE49-F238E27FC236}">
              <a16:creationId xmlns:a16="http://schemas.microsoft.com/office/drawing/2014/main" id="{A3C5201E-BEDE-D2C9-5DED-D319A0C9B36A}"/>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9" name="gwm_22058   ">
          <a:extLst xmlns:a="http://schemas.openxmlformats.org/drawingml/2006/main">
            <a:ext uri="{FF2B5EF4-FFF2-40B4-BE49-F238E27FC236}">
              <a16:creationId xmlns:a16="http://schemas.microsoft.com/office/drawing/2014/main" id="{3C832E34-BDCF-54F1-ED06-AFB36A308866}"/>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0" name="gwm_22058  ">
          <a:extLst xmlns:a="http://schemas.openxmlformats.org/drawingml/2006/main">
            <a:ext uri="{FF2B5EF4-FFF2-40B4-BE49-F238E27FC236}">
              <a16:creationId xmlns:a16="http://schemas.microsoft.com/office/drawing/2014/main" id="{C4A65270-E48A-7C0C-807B-9F0CD21978FE}"/>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1" name="gwm_22058 ">
          <a:extLst xmlns:a="http://schemas.openxmlformats.org/drawingml/2006/main">
            <a:ext uri="{FF2B5EF4-FFF2-40B4-BE49-F238E27FC236}">
              <a16:creationId xmlns:a16="http://schemas.microsoft.com/office/drawing/2014/main" id="{FBD4DBD4-F2B0-4704-EAF0-775437732E1E}"/>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53.xml><?xml version="1.0" encoding="utf-8"?>
<xdr:wsDr xmlns:xdr="http://schemas.openxmlformats.org/drawingml/2006/spreadsheetDrawing" xmlns:a="http://schemas.openxmlformats.org/drawingml/2006/main">
  <xdr:twoCellAnchor editAs="oneCell">
    <xdr:from>
      <xdr:col>0</xdr:col>
      <xdr:colOff>12700</xdr:colOff>
      <xdr:row>16</xdr:row>
      <xdr:rowOff>0</xdr:rowOff>
    </xdr:from>
    <xdr:to>
      <xdr:col>4</xdr:col>
      <xdr:colOff>542925</xdr:colOff>
      <xdr:row>32</xdr:row>
      <xdr:rowOff>127000</xdr:rowOff>
    </xdr:to>
    <xdr:graphicFrame macro="">
      <xdr:nvGraphicFramePr>
        <xdr:cNvPr id="2" name="Chart 1">
          <a:extLst>
            <a:ext uri="{FF2B5EF4-FFF2-40B4-BE49-F238E27FC236}">
              <a16:creationId xmlns:a16="http://schemas.microsoft.com/office/drawing/2014/main" id="{03442D52-4948-D074-15E4-0E8FC7A8A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xdr:colOff>
      <xdr:row>37</xdr:row>
      <xdr:rowOff>0</xdr:rowOff>
    </xdr:from>
    <xdr:to>
      <xdr:col>4</xdr:col>
      <xdr:colOff>542925</xdr:colOff>
      <xdr:row>53</xdr:row>
      <xdr:rowOff>127000</xdr:rowOff>
    </xdr:to>
    <xdr:graphicFrame macro="">
      <xdr:nvGraphicFramePr>
        <xdr:cNvPr id="3" name="Chart 2">
          <a:extLst>
            <a:ext uri="{FF2B5EF4-FFF2-40B4-BE49-F238E27FC236}">
              <a16:creationId xmlns:a16="http://schemas.microsoft.com/office/drawing/2014/main" id="{C532EAFA-2C11-7FD3-DB52-C5D6C3887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12700</xdr:colOff>
      <xdr:row>58</xdr:row>
      <xdr:rowOff>0</xdr:rowOff>
    </xdr:from>
    <xdr:to>
      <xdr:col>4</xdr:col>
      <xdr:colOff>542925</xdr:colOff>
      <xdr:row>74</xdr:row>
      <xdr:rowOff>127000</xdr:rowOff>
    </xdr:to>
    <xdr:graphicFrame macro="">
      <xdr:nvGraphicFramePr>
        <xdr:cNvPr id="4" name="Chart 3">
          <a:extLst>
            <a:ext uri="{FF2B5EF4-FFF2-40B4-BE49-F238E27FC236}">
              <a16:creationId xmlns:a16="http://schemas.microsoft.com/office/drawing/2014/main" id="{6A2724B2-4D8D-4649-9C6A-6A9777F1D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79</xdr:row>
      <xdr:rowOff>0</xdr:rowOff>
    </xdr:from>
    <xdr:to>
      <xdr:col>4</xdr:col>
      <xdr:colOff>542925</xdr:colOff>
      <xdr:row>95</xdr:row>
      <xdr:rowOff>127000</xdr:rowOff>
    </xdr:to>
    <xdr:graphicFrame macro="">
      <xdr:nvGraphicFramePr>
        <xdr:cNvPr id="5" name="Chart 4">
          <a:extLst>
            <a:ext uri="{FF2B5EF4-FFF2-40B4-BE49-F238E27FC236}">
              <a16:creationId xmlns:a16="http://schemas.microsoft.com/office/drawing/2014/main" id="{55A33163-F660-FBA7-2D05-E2AE54695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12700</xdr:colOff>
      <xdr:row>100</xdr:row>
      <xdr:rowOff>0</xdr:rowOff>
    </xdr:from>
    <xdr:to>
      <xdr:col>4</xdr:col>
      <xdr:colOff>542925</xdr:colOff>
      <xdr:row>116</xdr:row>
      <xdr:rowOff>127000</xdr:rowOff>
    </xdr:to>
    <xdr:graphicFrame macro="">
      <xdr:nvGraphicFramePr>
        <xdr:cNvPr id="6" name="Chart 5">
          <a:extLst>
            <a:ext uri="{FF2B5EF4-FFF2-40B4-BE49-F238E27FC236}">
              <a16:creationId xmlns:a16="http://schemas.microsoft.com/office/drawing/2014/main" id="{E5C05BA7-3C55-E3BC-E169-7BC40087A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12700</xdr:colOff>
      <xdr:row>121</xdr:row>
      <xdr:rowOff>0</xdr:rowOff>
    </xdr:from>
    <xdr:to>
      <xdr:col>4</xdr:col>
      <xdr:colOff>542925</xdr:colOff>
      <xdr:row>137</xdr:row>
      <xdr:rowOff>127000</xdr:rowOff>
    </xdr:to>
    <xdr:graphicFrame macro="">
      <xdr:nvGraphicFramePr>
        <xdr:cNvPr id="7" name="Chart 6">
          <a:extLst>
            <a:ext uri="{FF2B5EF4-FFF2-40B4-BE49-F238E27FC236}">
              <a16:creationId xmlns:a16="http://schemas.microsoft.com/office/drawing/2014/main" id="{C66C8635-C5EE-F2FF-0CA3-6371002FC0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4.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26561          ">
          <a:extLst xmlns:a="http://schemas.openxmlformats.org/drawingml/2006/main">
            <a:ext uri="{FF2B5EF4-FFF2-40B4-BE49-F238E27FC236}">
              <a16:creationId xmlns:a16="http://schemas.microsoft.com/office/drawing/2014/main" id="{135D74FD-677E-032F-AB0A-5DFF0A4F94F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26561         ">
          <a:extLst xmlns:a="http://schemas.openxmlformats.org/drawingml/2006/main">
            <a:ext uri="{FF2B5EF4-FFF2-40B4-BE49-F238E27FC236}">
              <a16:creationId xmlns:a16="http://schemas.microsoft.com/office/drawing/2014/main" id="{548E88F9-FF09-FBAD-5EA6-6C6054BFE4E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26561        ">
          <a:extLst xmlns:a="http://schemas.openxmlformats.org/drawingml/2006/main">
            <a:ext uri="{FF2B5EF4-FFF2-40B4-BE49-F238E27FC236}">
              <a16:creationId xmlns:a16="http://schemas.microsoft.com/office/drawing/2014/main" id="{9A9FF343-5A5C-B6E5-0E68-AD2BB3A35BE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26561       ">
          <a:extLst xmlns:a="http://schemas.openxmlformats.org/drawingml/2006/main">
            <a:ext uri="{FF2B5EF4-FFF2-40B4-BE49-F238E27FC236}">
              <a16:creationId xmlns:a16="http://schemas.microsoft.com/office/drawing/2014/main" id="{9E89BEE7-83EB-B85C-5BFD-BA1545BEE45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26561      ">
          <a:extLst xmlns:a="http://schemas.openxmlformats.org/drawingml/2006/main">
            <a:ext uri="{FF2B5EF4-FFF2-40B4-BE49-F238E27FC236}">
              <a16:creationId xmlns:a16="http://schemas.microsoft.com/office/drawing/2014/main" id="{99176834-B6CC-41E2-BA57-42D5DB0FADF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26561     ">
          <a:extLst xmlns:a="http://schemas.openxmlformats.org/drawingml/2006/main">
            <a:ext uri="{FF2B5EF4-FFF2-40B4-BE49-F238E27FC236}">
              <a16:creationId xmlns:a16="http://schemas.microsoft.com/office/drawing/2014/main" id="{392EBCEA-8D06-8B0C-05AA-958551BE2BE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26561    ">
          <a:extLst xmlns:a="http://schemas.openxmlformats.org/drawingml/2006/main">
            <a:ext uri="{FF2B5EF4-FFF2-40B4-BE49-F238E27FC236}">
              <a16:creationId xmlns:a16="http://schemas.microsoft.com/office/drawing/2014/main" id="{43B0616B-582C-9E53-7BB3-50DCD21FF70B}"/>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26561   ">
          <a:extLst xmlns:a="http://schemas.openxmlformats.org/drawingml/2006/main">
            <a:ext uri="{FF2B5EF4-FFF2-40B4-BE49-F238E27FC236}">
              <a16:creationId xmlns:a16="http://schemas.microsoft.com/office/drawing/2014/main" id="{CEA551AB-2108-8643-3C88-B5165DF09B9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26561  ">
          <a:extLst xmlns:a="http://schemas.openxmlformats.org/drawingml/2006/main">
            <a:ext uri="{FF2B5EF4-FFF2-40B4-BE49-F238E27FC236}">
              <a16:creationId xmlns:a16="http://schemas.microsoft.com/office/drawing/2014/main" id="{897648DF-2905-9F58-B620-EEF7661A825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26561 ">
          <a:extLst xmlns:a="http://schemas.openxmlformats.org/drawingml/2006/main">
            <a:ext uri="{FF2B5EF4-FFF2-40B4-BE49-F238E27FC236}">
              <a16:creationId xmlns:a16="http://schemas.microsoft.com/office/drawing/2014/main" id="{CC947C26-4A1A-6903-ACAB-AC89B23C81EB}"/>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55.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17103          ">
          <a:extLst xmlns:a="http://schemas.openxmlformats.org/drawingml/2006/main">
            <a:ext uri="{FF2B5EF4-FFF2-40B4-BE49-F238E27FC236}">
              <a16:creationId xmlns:a16="http://schemas.microsoft.com/office/drawing/2014/main" id="{757C7ED0-254A-2932-5B70-732E987459CC}"/>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17103         ">
          <a:extLst xmlns:a="http://schemas.openxmlformats.org/drawingml/2006/main">
            <a:ext uri="{FF2B5EF4-FFF2-40B4-BE49-F238E27FC236}">
              <a16:creationId xmlns:a16="http://schemas.microsoft.com/office/drawing/2014/main" id="{D7B5BFE8-7CCC-F184-239F-4DCC1834D400}"/>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17103        ">
          <a:extLst xmlns:a="http://schemas.openxmlformats.org/drawingml/2006/main">
            <a:ext uri="{FF2B5EF4-FFF2-40B4-BE49-F238E27FC236}">
              <a16:creationId xmlns:a16="http://schemas.microsoft.com/office/drawing/2014/main" id="{D8543F29-B64D-ACB9-922B-3F05D0261CB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17103       ">
          <a:extLst xmlns:a="http://schemas.openxmlformats.org/drawingml/2006/main">
            <a:ext uri="{FF2B5EF4-FFF2-40B4-BE49-F238E27FC236}">
              <a16:creationId xmlns:a16="http://schemas.microsoft.com/office/drawing/2014/main" id="{FD67398D-CAB2-A01C-8958-F6AA0B1E8B7C}"/>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17103      ">
          <a:extLst xmlns:a="http://schemas.openxmlformats.org/drawingml/2006/main">
            <a:ext uri="{FF2B5EF4-FFF2-40B4-BE49-F238E27FC236}">
              <a16:creationId xmlns:a16="http://schemas.microsoft.com/office/drawing/2014/main" id="{161A0E13-98D7-EFD1-2B69-B89C6858F3A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17103     ">
          <a:extLst xmlns:a="http://schemas.openxmlformats.org/drawingml/2006/main">
            <a:ext uri="{FF2B5EF4-FFF2-40B4-BE49-F238E27FC236}">
              <a16:creationId xmlns:a16="http://schemas.microsoft.com/office/drawing/2014/main" id="{BA646CE3-ABF4-BA06-0BF9-BD31464C0CAB}"/>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17103    ">
          <a:extLst xmlns:a="http://schemas.openxmlformats.org/drawingml/2006/main">
            <a:ext uri="{FF2B5EF4-FFF2-40B4-BE49-F238E27FC236}">
              <a16:creationId xmlns:a16="http://schemas.microsoft.com/office/drawing/2014/main" id="{F6EAA37D-0602-951E-9663-40C95CF83AA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17103   ">
          <a:extLst xmlns:a="http://schemas.openxmlformats.org/drawingml/2006/main">
            <a:ext uri="{FF2B5EF4-FFF2-40B4-BE49-F238E27FC236}">
              <a16:creationId xmlns:a16="http://schemas.microsoft.com/office/drawing/2014/main" id="{F266204F-8965-91D4-6FA3-AF92E889EC0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17103  ">
          <a:extLst xmlns:a="http://schemas.openxmlformats.org/drawingml/2006/main">
            <a:ext uri="{FF2B5EF4-FFF2-40B4-BE49-F238E27FC236}">
              <a16:creationId xmlns:a16="http://schemas.microsoft.com/office/drawing/2014/main" id="{3475A4B4-BED2-C3E2-AE7B-B0859E6EA85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17103 ">
          <a:extLst xmlns:a="http://schemas.openxmlformats.org/drawingml/2006/main">
            <a:ext uri="{FF2B5EF4-FFF2-40B4-BE49-F238E27FC236}">
              <a16:creationId xmlns:a16="http://schemas.microsoft.com/office/drawing/2014/main" id="{A35BBE65-31B5-D1F4-B77D-1E122DE5C2A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56.xml><?xml version="1.0" encoding="utf-8"?>
<c:userShapes xmlns:c="http://schemas.openxmlformats.org/drawingml/2006/chart">
  <cdr:relSizeAnchor xmlns:cdr="http://schemas.openxmlformats.org/drawingml/2006/chartDrawing">
    <cdr:from>
      <cdr:x>0.08158</cdr:x>
      <cdr:y>0.46195</cdr:y>
    </cdr:from>
    <cdr:to>
      <cdr:x>0.91842</cdr:x>
      <cdr:y>0.66195</cdr:y>
    </cdr:to>
    <cdr:sp macro="objClick" textlink="">
      <cdr:nvSpPr>
        <cdr:cNvPr id="2" name="gwm_13311          ">
          <a:extLst xmlns:a="http://schemas.openxmlformats.org/drawingml/2006/main">
            <a:ext uri="{FF2B5EF4-FFF2-40B4-BE49-F238E27FC236}">
              <a16:creationId xmlns:a16="http://schemas.microsoft.com/office/drawing/2014/main" id="{306F0ED6-50DF-8A54-3A0E-B2DCF1BE7DEA}"/>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3" name="gwm_13311         ">
          <a:extLst xmlns:a="http://schemas.openxmlformats.org/drawingml/2006/main">
            <a:ext uri="{FF2B5EF4-FFF2-40B4-BE49-F238E27FC236}">
              <a16:creationId xmlns:a16="http://schemas.microsoft.com/office/drawing/2014/main" id="{641EDA63-E181-4B8C-13A5-C06F956B463B}"/>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4" name="gwm_13311        ">
          <a:extLst xmlns:a="http://schemas.openxmlformats.org/drawingml/2006/main">
            <a:ext uri="{FF2B5EF4-FFF2-40B4-BE49-F238E27FC236}">
              <a16:creationId xmlns:a16="http://schemas.microsoft.com/office/drawing/2014/main" id="{66AB10B6-77AE-1021-7D0F-BC263951FAF7}"/>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5" name="gwm_13311       ">
          <a:extLst xmlns:a="http://schemas.openxmlformats.org/drawingml/2006/main">
            <a:ext uri="{FF2B5EF4-FFF2-40B4-BE49-F238E27FC236}">
              <a16:creationId xmlns:a16="http://schemas.microsoft.com/office/drawing/2014/main" id="{85C6C189-3B16-D935-E2EE-DCCE03725A87}"/>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6" name="gwm_13311      ">
          <a:extLst xmlns:a="http://schemas.openxmlformats.org/drawingml/2006/main">
            <a:ext uri="{FF2B5EF4-FFF2-40B4-BE49-F238E27FC236}">
              <a16:creationId xmlns:a16="http://schemas.microsoft.com/office/drawing/2014/main" id="{6177E3A9-937F-F6BB-01E0-D0AF9E039C84}"/>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7" name="gwm_13311     ">
          <a:extLst xmlns:a="http://schemas.openxmlformats.org/drawingml/2006/main">
            <a:ext uri="{FF2B5EF4-FFF2-40B4-BE49-F238E27FC236}">
              <a16:creationId xmlns:a16="http://schemas.microsoft.com/office/drawing/2014/main" id="{E74B8FE0-C51C-31C9-8109-80CF68A1AF76}"/>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8" name="gwm_13311    ">
          <a:extLst xmlns:a="http://schemas.openxmlformats.org/drawingml/2006/main">
            <a:ext uri="{FF2B5EF4-FFF2-40B4-BE49-F238E27FC236}">
              <a16:creationId xmlns:a16="http://schemas.microsoft.com/office/drawing/2014/main" id="{BC197B03-B948-D41C-9192-D568EF07DDE2}"/>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9" name="gwm_13311   ">
          <a:extLst xmlns:a="http://schemas.openxmlformats.org/drawingml/2006/main">
            <a:ext uri="{FF2B5EF4-FFF2-40B4-BE49-F238E27FC236}">
              <a16:creationId xmlns:a16="http://schemas.microsoft.com/office/drawing/2014/main" id="{316F5B95-9D22-4D4B-6E5D-0621C10CB043}"/>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0" name="gwm_13311  ">
          <a:extLst xmlns:a="http://schemas.openxmlformats.org/drawingml/2006/main">
            <a:ext uri="{FF2B5EF4-FFF2-40B4-BE49-F238E27FC236}">
              <a16:creationId xmlns:a16="http://schemas.microsoft.com/office/drawing/2014/main" id="{1FE2995F-BB77-D47F-48AC-1B1FACDEEFEA}"/>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1" name="gwm_13311 ">
          <a:extLst xmlns:a="http://schemas.openxmlformats.org/drawingml/2006/main">
            <a:ext uri="{FF2B5EF4-FFF2-40B4-BE49-F238E27FC236}">
              <a16:creationId xmlns:a16="http://schemas.microsoft.com/office/drawing/2014/main" id="{FA9BC51F-6AB8-B697-CC98-C626AA35A0FC}"/>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57.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12975          ">
          <a:extLst xmlns:a="http://schemas.openxmlformats.org/drawingml/2006/main">
            <a:ext uri="{FF2B5EF4-FFF2-40B4-BE49-F238E27FC236}">
              <a16:creationId xmlns:a16="http://schemas.microsoft.com/office/drawing/2014/main" id="{5620C56C-718F-1C66-B136-8ED88AFB8840}"/>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12975         ">
          <a:extLst xmlns:a="http://schemas.openxmlformats.org/drawingml/2006/main">
            <a:ext uri="{FF2B5EF4-FFF2-40B4-BE49-F238E27FC236}">
              <a16:creationId xmlns:a16="http://schemas.microsoft.com/office/drawing/2014/main" id="{ADBE8D91-BEE0-CECF-F605-9C2F3DB233B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12975        ">
          <a:extLst xmlns:a="http://schemas.openxmlformats.org/drawingml/2006/main">
            <a:ext uri="{FF2B5EF4-FFF2-40B4-BE49-F238E27FC236}">
              <a16:creationId xmlns:a16="http://schemas.microsoft.com/office/drawing/2014/main" id="{CCEB4A67-0CDF-4E67-7F6B-BD1C5B52A2D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12975       ">
          <a:extLst xmlns:a="http://schemas.openxmlformats.org/drawingml/2006/main">
            <a:ext uri="{FF2B5EF4-FFF2-40B4-BE49-F238E27FC236}">
              <a16:creationId xmlns:a16="http://schemas.microsoft.com/office/drawing/2014/main" id="{6CFF8094-9D1E-7296-DCB3-D5C23558B55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12975      ">
          <a:extLst xmlns:a="http://schemas.openxmlformats.org/drawingml/2006/main">
            <a:ext uri="{FF2B5EF4-FFF2-40B4-BE49-F238E27FC236}">
              <a16:creationId xmlns:a16="http://schemas.microsoft.com/office/drawing/2014/main" id="{1FA16D46-0ED5-D14E-E5EC-77FF6E86674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12975     ">
          <a:extLst xmlns:a="http://schemas.openxmlformats.org/drawingml/2006/main">
            <a:ext uri="{FF2B5EF4-FFF2-40B4-BE49-F238E27FC236}">
              <a16:creationId xmlns:a16="http://schemas.microsoft.com/office/drawing/2014/main" id="{FBF187EE-3AD9-3DA3-C76A-F0A63E7C665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12975    ">
          <a:extLst xmlns:a="http://schemas.openxmlformats.org/drawingml/2006/main">
            <a:ext uri="{FF2B5EF4-FFF2-40B4-BE49-F238E27FC236}">
              <a16:creationId xmlns:a16="http://schemas.microsoft.com/office/drawing/2014/main" id="{75FD90B3-21E2-2E6D-1072-E6C84662C8A0}"/>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12975   ">
          <a:extLst xmlns:a="http://schemas.openxmlformats.org/drawingml/2006/main">
            <a:ext uri="{FF2B5EF4-FFF2-40B4-BE49-F238E27FC236}">
              <a16:creationId xmlns:a16="http://schemas.microsoft.com/office/drawing/2014/main" id="{024535D1-9EA2-B267-37A8-1299B524CF2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12975  ">
          <a:extLst xmlns:a="http://schemas.openxmlformats.org/drawingml/2006/main">
            <a:ext uri="{FF2B5EF4-FFF2-40B4-BE49-F238E27FC236}">
              <a16:creationId xmlns:a16="http://schemas.microsoft.com/office/drawing/2014/main" id="{407776C5-EB6E-D34B-F00A-8AD648E2C98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12975 ">
          <a:extLst xmlns:a="http://schemas.openxmlformats.org/drawingml/2006/main">
            <a:ext uri="{FF2B5EF4-FFF2-40B4-BE49-F238E27FC236}">
              <a16:creationId xmlns:a16="http://schemas.microsoft.com/office/drawing/2014/main" id="{32D7C633-34B9-417B-7201-F9691D2269A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58.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14405          ">
          <a:extLst xmlns:a="http://schemas.openxmlformats.org/drawingml/2006/main">
            <a:ext uri="{FF2B5EF4-FFF2-40B4-BE49-F238E27FC236}">
              <a16:creationId xmlns:a16="http://schemas.microsoft.com/office/drawing/2014/main" id="{88328C39-7880-1FDD-915B-CEADE9C6370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14405         ">
          <a:extLst xmlns:a="http://schemas.openxmlformats.org/drawingml/2006/main">
            <a:ext uri="{FF2B5EF4-FFF2-40B4-BE49-F238E27FC236}">
              <a16:creationId xmlns:a16="http://schemas.microsoft.com/office/drawing/2014/main" id="{95A4CA82-FD3A-5281-E97D-11C39B03661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14405        ">
          <a:extLst xmlns:a="http://schemas.openxmlformats.org/drawingml/2006/main">
            <a:ext uri="{FF2B5EF4-FFF2-40B4-BE49-F238E27FC236}">
              <a16:creationId xmlns:a16="http://schemas.microsoft.com/office/drawing/2014/main" id="{D2ABA7BD-47EB-D632-3CA9-49835FFE736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14405       ">
          <a:extLst xmlns:a="http://schemas.openxmlformats.org/drawingml/2006/main">
            <a:ext uri="{FF2B5EF4-FFF2-40B4-BE49-F238E27FC236}">
              <a16:creationId xmlns:a16="http://schemas.microsoft.com/office/drawing/2014/main" id="{1EB25F2B-65D7-F7FD-980C-4EF147F8797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14405      ">
          <a:extLst xmlns:a="http://schemas.openxmlformats.org/drawingml/2006/main">
            <a:ext uri="{FF2B5EF4-FFF2-40B4-BE49-F238E27FC236}">
              <a16:creationId xmlns:a16="http://schemas.microsoft.com/office/drawing/2014/main" id="{3D06C274-883F-74B1-E8E7-9EBF4137B1D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14405     ">
          <a:extLst xmlns:a="http://schemas.openxmlformats.org/drawingml/2006/main">
            <a:ext uri="{FF2B5EF4-FFF2-40B4-BE49-F238E27FC236}">
              <a16:creationId xmlns:a16="http://schemas.microsoft.com/office/drawing/2014/main" id="{4AE8F0EA-1F7A-9E12-6FAF-C678132C5C6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14405    ">
          <a:extLst xmlns:a="http://schemas.openxmlformats.org/drawingml/2006/main">
            <a:ext uri="{FF2B5EF4-FFF2-40B4-BE49-F238E27FC236}">
              <a16:creationId xmlns:a16="http://schemas.microsoft.com/office/drawing/2014/main" id="{B111A81E-B878-96D7-5A01-68746FE4FF9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14405   ">
          <a:extLst xmlns:a="http://schemas.openxmlformats.org/drawingml/2006/main">
            <a:ext uri="{FF2B5EF4-FFF2-40B4-BE49-F238E27FC236}">
              <a16:creationId xmlns:a16="http://schemas.microsoft.com/office/drawing/2014/main" id="{A7E7F27F-68A6-BE96-54E4-B92D29D3BA8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14405  ">
          <a:extLst xmlns:a="http://schemas.openxmlformats.org/drawingml/2006/main">
            <a:ext uri="{FF2B5EF4-FFF2-40B4-BE49-F238E27FC236}">
              <a16:creationId xmlns:a16="http://schemas.microsoft.com/office/drawing/2014/main" id="{8399A386-4C5D-6C63-6BC7-C1E3875690E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14405 ">
          <a:extLst xmlns:a="http://schemas.openxmlformats.org/drawingml/2006/main">
            <a:ext uri="{FF2B5EF4-FFF2-40B4-BE49-F238E27FC236}">
              <a16:creationId xmlns:a16="http://schemas.microsoft.com/office/drawing/2014/main" id="{820AC451-75F4-DEC4-C952-B364D4928B3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59.xml><?xml version="1.0" encoding="utf-8"?>
<c:userShapes xmlns:c="http://schemas.openxmlformats.org/drawingml/2006/chart">
  <cdr:relSizeAnchor xmlns:cdr="http://schemas.openxmlformats.org/drawingml/2006/chartDrawing">
    <cdr:from>
      <cdr:x>0.08158</cdr:x>
      <cdr:y>0.46195</cdr:y>
    </cdr:from>
    <cdr:to>
      <cdr:x>0.91842</cdr:x>
      <cdr:y>0.66195</cdr:y>
    </cdr:to>
    <cdr:sp macro="objClick" textlink="">
      <cdr:nvSpPr>
        <cdr:cNvPr id="2" name="gwm_14977          ">
          <a:extLst xmlns:a="http://schemas.openxmlformats.org/drawingml/2006/main">
            <a:ext uri="{FF2B5EF4-FFF2-40B4-BE49-F238E27FC236}">
              <a16:creationId xmlns:a16="http://schemas.microsoft.com/office/drawing/2014/main" id="{D6839C33-7A3F-105B-89A1-9A357A3CD9AA}"/>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3" name="gwm_14977         ">
          <a:extLst xmlns:a="http://schemas.openxmlformats.org/drawingml/2006/main">
            <a:ext uri="{FF2B5EF4-FFF2-40B4-BE49-F238E27FC236}">
              <a16:creationId xmlns:a16="http://schemas.microsoft.com/office/drawing/2014/main" id="{831E4EA8-6840-6AE4-7437-C73289070F67}"/>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4" name="gwm_14977        ">
          <a:extLst xmlns:a="http://schemas.openxmlformats.org/drawingml/2006/main">
            <a:ext uri="{FF2B5EF4-FFF2-40B4-BE49-F238E27FC236}">
              <a16:creationId xmlns:a16="http://schemas.microsoft.com/office/drawing/2014/main" id="{6EE3E42D-1514-9B16-F692-E93A63FCADF3}"/>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5" name="gwm_14977       ">
          <a:extLst xmlns:a="http://schemas.openxmlformats.org/drawingml/2006/main">
            <a:ext uri="{FF2B5EF4-FFF2-40B4-BE49-F238E27FC236}">
              <a16:creationId xmlns:a16="http://schemas.microsoft.com/office/drawing/2014/main" id="{988307A0-46A3-681E-C20E-22E0B4220AC7}"/>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6" name="gwm_14977      ">
          <a:extLst xmlns:a="http://schemas.openxmlformats.org/drawingml/2006/main">
            <a:ext uri="{FF2B5EF4-FFF2-40B4-BE49-F238E27FC236}">
              <a16:creationId xmlns:a16="http://schemas.microsoft.com/office/drawing/2014/main" id="{B9DEA38E-5A30-CC7E-2732-0AF0BCF947F9}"/>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7" name="gwm_14977     ">
          <a:extLst xmlns:a="http://schemas.openxmlformats.org/drawingml/2006/main">
            <a:ext uri="{FF2B5EF4-FFF2-40B4-BE49-F238E27FC236}">
              <a16:creationId xmlns:a16="http://schemas.microsoft.com/office/drawing/2014/main" id="{FB368932-0087-AC36-6510-FC1C552ACB7C}"/>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8" name="gwm_14977    ">
          <a:extLst xmlns:a="http://schemas.openxmlformats.org/drawingml/2006/main">
            <a:ext uri="{FF2B5EF4-FFF2-40B4-BE49-F238E27FC236}">
              <a16:creationId xmlns:a16="http://schemas.microsoft.com/office/drawing/2014/main" id="{D8BA438D-78B1-86B3-AB8F-249A4FD8C745}"/>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9" name="gwm_14977   ">
          <a:extLst xmlns:a="http://schemas.openxmlformats.org/drawingml/2006/main">
            <a:ext uri="{FF2B5EF4-FFF2-40B4-BE49-F238E27FC236}">
              <a16:creationId xmlns:a16="http://schemas.microsoft.com/office/drawing/2014/main" id="{D5819796-1A95-5ED2-AD52-15E3C3A64E6C}"/>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0" name="gwm_14977  ">
          <a:extLst xmlns:a="http://schemas.openxmlformats.org/drawingml/2006/main">
            <a:ext uri="{FF2B5EF4-FFF2-40B4-BE49-F238E27FC236}">
              <a16:creationId xmlns:a16="http://schemas.microsoft.com/office/drawing/2014/main" id="{B2621521-704C-8818-2AD1-51BE4B249823}"/>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1" name="gwm_14977 ">
          <a:extLst xmlns:a="http://schemas.openxmlformats.org/drawingml/2006/main">
            <a:ext uri="{FF2B5EF4-FFF2-40B4-BE49-F238E27FC236}">
              <a16:creationId xmlns:a16="http://schemas.microsoft.com/office/drawing/2014/main" id="{83D56210-68A2-56C2-2639-B5E25DA71F08}"/>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6.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866          ">
          <a:extLst xmlns:a="http://schemas.openxmlformats.org/drawingml/2006/main">
            <a:ext uri="{FF2B5EF4-FFF2-40B4-BE49-F238E27FC236}">
              <a16:creationId xmlns:a16="http://schemas.microsoft.com/office/drawing/2014/main" id="{6E743E4B-116D-F47B-6545-9ADD87CDB0C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866         ">
          <a:extLst xmlns:a="http://schemas.openxmlformats.org/drawingml/2006/main">
            <a:ext uri="{FF2B5EF4-FFF2-40B4-BE49-F238E27FC236}">
              <a16:creationId xmlns:a16="http://schemas.microsoft.com/office/drawing/2014/main" id="{07341A4E-9ECF-9B7F-2B5D-A8A434A747E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866        ">
          <a:extLst xmlns:a="http://schemas.openxmlformats.org/drawingml/2006/main">
            <a:ext uri="{FF2B5EF4-FFF2-40B4-BE49-F238E27FC236}">
              <a16:creationId xmlns:a16="http://schemas.microsoft.com/office/drawing/2014/main" id="{356E88CE-A8EB-F1EB-2FE8-CE6FA041A81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866       ">
          <a:extLst xmlns:a="http://schemas.openxmlformats.org/drawingml/2006/main">
            <a:ext uri="{FF2B5EF4-FFF2-40B4-BE49-F238E27FC236}">
              <a16:creationId xmlns:a16="http://schemas.microsoft.com/office/drawing/2014/main" id="{B12481A1-84D3-4212-04B0-D4C3F44F80D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866      ">
          <a:extLst xmlns:a="http://schemas.openxmlformats.org/drawingml/2006/main">
            <a:ext uri="{FF2B5EF4-FFF2-40B4-BE49-F238E27FC236}">
              <a16:creationId xmlns:a16="http://schemas.microsoft.com/office/drawing/2014/main" id="{7E7C305E-31CA-92FB-2AFD-C2AB9B36705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866     ">
          <a:extLst xmlns:a="http://schemas.openxmlformats.org/drawingml/2006/main">
            <a:ext uri="{FF2B5EF4-FFF2-40B4-BE49-F238E27FC236}">
              <a16:creationId xmlns:a16="http://schemas.microsoft.com/office/drawing/2014/main" id="{344E5FAA-3799-7DAA-A9F0-CCDB8B3C22F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866    ">
          <a:extLst xmlns:a="http://schemas.openxmlformats.org/drawingml/2006/main">
            <a:ext uri="{FF2B5EF4-FFF2-40B4-BE49-F238E27FC236}">
              <a16:creationId xmlns:a16="http://schemas.microsoft.com/office/drawing/2014/main" id="{7539DDD7-BB59-D664-7DF5-E61F084783EC}"/>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866   ">
          <a:extLst xmlns:a="http://schemas.openxmlformats.org/drawingml/2006/main">
            <a:ext uri="{FF2B5EF4-FFF2-40B4-BE49-F238E27FC236}">
              <a16:creationId xmlns:a16="http://schemas.microsoft.com/office/drawing/2014/main" id="{14A46468-E71F-863D-8FC6-D4FAE6CC97B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866  ">
          <a:extLst xmlns:a="http://schemas.openxmlformats.org/drawingml/2006/main">
            <a:ext uri="{FF2B5EF4-FFF2-40B4-BE49-F238E27FC236}">
              <a16:creationId xmlns:a16="http://schemas.microsoft.com/office/drawing/2014/main" id="{49CF822F-B045-6E29-5C49-AB6AC356250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866 ">
          <a:extLst xmlns:a="http://schemas.openxmlformats.org/drawingml/2006/main">
            <a:ext uri="{FF2B5EF4-FFF2-40B4-BE49-F238E27FC236}">
              <a16:creationId xmlns:a16="http://schemas.microsoft.com/office/drawing/2014/main" id="{3624C9A0-A6D3-EDFF-9463-72ED786BEE0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60.xml><?xml version="1.0" encoding="utf-8"?>
<xdr:wsDr xmlns:xdr="http://schemas.openxmlformats.org/drawingml/2006/spreadsheetDrawing" xmlns:a="http://schemas.openxmlformats.org/drawingml/2006/main">
  <xdr:twoCellAnchor editAs="oneCell">
    <xdr:from>
      <xdr:col>0</xdr:col>
      <xdr:colOff>12700</xdr:colOff>
      <xdr:row>17</xdr:row>
      <xdr:rowOff>0</xdr:rowOff>
    </xdr:from>
    <xdr:to>
      <xdr:col>3</xdr:col>
      <xdr:colOff>828675</xdr:colOff>
      <xdr:row>33</xdr:row>
      <xdr:rowOff>127000</xdr:rowOff>
    </xdr:to>
    <xdr:graphicFrame macro="">
      <xdr:nvGraphicFramePr>
        <xdr:cNvPr id="2" name="Chart 1">
          <a:extLst>
            <a:ext uri="{FF2B5EF4-FFF2-40B4-BE49-F238E27FC236}">
              <a16:creationId xmlns:a16="http://schemas.microsoft.com/office/drawing/2014/main" id="{B296DBBA-32D1-797C-D70D-1E39396F31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xdr:colOff>
      <xdr:row>38</xdr:row>
      <xdr:rowOff>0</xdr:rowOff>
    </xdr:from>
    <xdr:to>
      <xdr:col>3</xdr:col>
      <xdr:colOff>828675</xdr:colOff>
      <xdr:row>54</xdr:row>
      <xdr:rowOff>127000</xdr:rowOff>
    </xdr:to>
    <xdr:graphicFrame macro="">
      <xdr:nvGraphicFramePr>
        <xdr:cNvPr id="3" name="Chart 2">
          <a:extLst>
            <a:ext uri="{FF2B5EF4-FFF2-40B4-BE49-F238E27FC236}">
              <a16:creationId xmlns:a16="http://schemas.microsoft.com/office/drawing/2014/main" id="{B61F77C9-7FCD-8C67-5680-65FCD1C4A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12700</xdr:colOff>
      <xdr:row>59</xdr:row>
      <xdr:rowOff>0</xdr:rowOff>
    </xdr:from>
    <xdr:to>
      <xdr:col>3</xdr:col>
      <xdr:colOff>828675</xdr:colOff>
      <xdr:row>75</xdr:row>
      <xdr:rowOff>127000</xdr:rowOff>
    </xdr:to>
    <xdr:graphicFrame macro="">
      <xdr:nvGraphicFramePr>
        <xdr:cNvPr id="4" name="Chart 3">
          <a:extLst>
            <a:ext uri="{FF2B5EF4-FFF2-40B4-BE49-F238E27FC236}">
              <a16:creationId xmlns:a16="http://schemas.microsoft.com/office/drawing/2014/main" id="{A041564C-3460-1C46-64D0-3A698B9D36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80</xdr:row>
      <xdr:rowOff>0</xdr:rowOff>
    </xdr:from>
    <xdr:to>
      <xdr:col>3</xdr:col>
      <xdr:colOff>828675</xdr:colOff>
      <xdr:row>96</xdr:row>
      <xdr:rowOff>127000</xdr:rowOff>
    </xdr:to>
    <xdr:graphicFrame macro="">
      <xdr:nvGraphicFramePr>
        <xdr:cNvPr id="5" name="Chart 4">
          <a:extLst>
            <a:ext uri="{FF2B5EF4-FFF2-40B4-BE49-F238E27FC236}">
              <a16:creationId xmlns:a16="http://schemas.microsoft.com/office/drawing/2014/main" id="{56E1514B-25AE-A6BE-2579-AC4C702F22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12700</xdr:colOff>
      <xdr:row>101</xdr:row>
      <xdr:rowOff>0</xdr:rowOff>
    </xdr:from>
    <xdr:to>
      <xdr:col>3</xdr:col>
      <xdr:colOff>828675</xdr:colOff>
      <xdr:row>117</xdr:row>
      <xdr:rowOff>127000</xdr:rowOff>
    </xdr:to>
    <xdr:graphicFrame macro="">
      <xdr:nvGraphicFramePr>
        <xdr:cNvPr id="6" name="Chart 5">
          <a:extLst>
            <a:ext uri="{FF2B5EF4-FFF2-40B4-BE49-F238E27FC236}">
              <a16:creationId xmlns:a16="http://schemas.microsoft.com/office/drawing/2014/main" id="{D72BBBB2-91C9-FDED-3DC3-171B4859CA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12700</xdr:colOff>
      <xdr:row>122</xdr:row>
      <xdr:rowOff>0</xdr:rowOff>
    </xdr:from>
    <xdr:to>
      <xdr:col>3</xdr:col>
      <xdr:colOff>828675</xdr:colOff>
      <xdr:row>138</xdr:row>
      <xdr:rowOff>127000</xdr:rowOff>
    </xdr:to>
    <xdr:graphicFrame macro="">
      <xdr:nvGraphicFramePr>
        <xdr:cNvPr id="7" name="Chart 6">
          <a:extLst>
            <a:ext uri="{FF2B5EF4-FFF2-40B4-BE49-F238E27FC236}">
              <a16:creationId xmlns:a16="http://schemas.microsoft.com/office/drawing/2014/main" id="{B2422B8D-056B-A95C-4D6D-C9E1ACFB8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1.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9687          ">
          <a:extLst xmlns:a="http://schemas.openxmlformats.org/drawingml/2006/main">
            <a:ext uri="{FF2B5EF4-FFF2-40B4-BE49-F238E27FC236}">
              <a16:creationId xmlns:a16="http://schemas.microsoft.com/office/drawing/2014/main" id="{581E46B7-FBD1-C1B6-14B1-4D57DD8C9780}"/>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9687         ">
          <a:extLst xmlns:a="http://schemas.openxmlformats.org/drawingml/2006/main">
            <a:ext uri="{FF2B5EF4-FFF2-40B4-BE49-F238E27FC236}">
              <a16:creationId xmlns:a16="http://schemas.microsoft.com/office/drawing/2014/main" id="{D95BB036-DC60-C4D1-45CB-5DA63DC72DC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9687        ">
          <a:extLst xmlns:a="http://schemas.openxmlformats.org/drawingml/2006/main">
            <a:ext uri="{FF2B5EF4-FFF2-40B4-BE49-F238E27FC236}">
              <a16:creationId xmlns:a16="http://schemas.microsoft.com/office/drawing/2014/main" id="{A684AB50-FE3C-5F84-AB4F-1EC50E84233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9687       ">
          <a:extLst xmlns:a="http://schemas.openxmlformats.org/drawingml/2006/main">
            <a:ext uri="{FF2B5EF4-FFF2-40B4-BE49-F238E27FC236}">
              <a16:creationId xmlns:a16="http://schemas.microsoft.com/office/drawing/2014/main" id="{18118B23-515E-CE3C-7C0D-7CAF567CFA1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9687      ">
          <a:extLst xmlns:a="http://schemas.openxmlformats.org/drawingml/2006/main">
            <a:ext uri="{FF2B5EF4-FFF2-40B4-BE49-F238E27FC236}">
              <a16:creationId xmlns:a16="http://schemas.microsoft.com/office/drawing/2014/main" id="{2250D8BB-01FC-A29B-8282-5AADAE2A565B}"/>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9687     ">
          <a:extLst xmlns:a="http://schemas.openxmlformats.org/drawingml/2006/main">
            <a:ext uri="{FF2B5EF4-FFF2-40B4-BE49-F238E27FC236}">
              <a16:creationId xmlns:a16="http://schemas.microsoft.com/office/drawing/2014/main" id="{4D696545-65E2-10C2-A343-B61FF80ED34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9687    ">
          <a:extLst xmlns:a="http://schemas.openxmlformats.org/drawingml/2006/main">
            <a:ext uri="{FF2B5EF4-FFF2-40B4-BE49-F238E27FC236}">
              <a16:creationId xmlns:a16="http://schemas.microsoft.com/office/drawing/2014/main" id="{6164DF6C-5C4C-B82B-E3F7-7EF6A0A0742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9687   ">
          <a:extLst xmlns:a="http://schemas.openxmlformats.org/drawingml/2006/main">
            <a:ext uri="{FF2B5EF4-FFF2-40B4-BE49-F238E27FC236}">
              <a16:creationId xmlns:a16="http://schemas.microsoft.com/office/drawing/2014/main" id="{1AF1F941-4E6A-2F4D-B18F-E91376E88FFC}"/>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9687  ">
          <a:extLst xmlns:a="http://schemas.openxmlformats.org/drawingml/2006/main">
            <a:ext uri="{FF2B5EF4-FFF2-40B4-BE49-F238E27FC236}">
              <a16:creationId xmlns:a16="http://schemas.microsoft.com/office/drawing/2014/main" id="{3DF80094-E659-104F-E659-796BA545FEA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9687 ">
          <a:extLst xmlns:a="http://schemas.openxmlformats.org/drawingml/2006/main">
            <a:ext uri="{FF2B5EF4-FFF2-40B4-BE49-F238E27FC236}">
              <a16:creationId xmlns:a16="http://schemas.microsoft.com/office/drawing/2014/main" id="{94E48AAE-9F96-CF4E-BCEA-7ADFEF8D52B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62.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12758          ">
          <a:extLst xmlns:a="http://schemas.openxmlformats.org/drawingml/2006/main">
            <a:ext uri="{FF2B5EF4-FFF2-40B4-BE49-F238E27FC236}">
              <a16:creationId xmlns:a16="http://schemas.microsoft.com/office/drawing/2014/main" id="{AFF48254-EF92-A07B-0462-A3A34F8817EC}"/>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12758         ">
          <a:extLst xmlns:a="http://schemas.openxmlformats.org/drawingml/2006/main">
            <a:ext uri="{FF2B5EF4-FFF2-40B4-BE49-F238E27FC236}">
              <a16:creationId xmlns:a16="http://schemas.microsoft.com/office/drawing/2014/main" id="{ED68CAD4-6D79-7D46-7CD7-0054374C539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12758        ">
          <a:extLst xmlns:a="http://schemas.openxmlformats.org/drawingml/2006/main">
            <a:ext uri="{FF2B5EF4-FFF2-40B4-BE49-F238E27FC236}">
              <a16:creationId xmlns:a16="http://schemas.microsoft.com/office/drawing/2014/main" id="{65279DB2-E2CB-4FF1-B077-C48854540D3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12758       ">
          <a:extLst xmlns:a="http://schemas.openxmlformats.org/drawingml/2006/main">
            <a:ext uri="{FF2B5EF4-FFF2-40B4-BE49-F238E27FC236}">
              <a16:creationId xmlns:a16="http://schemas.microsoft.com/office/drawing/2014/main" id="{95AE3F41-8D34-2CBF-C1B1-45749556634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12758      ">
          <a:extLst xmlns:a="http://schemas.openxmlformats.org/drawingml/2006/main">
            <a:ext uri="{FF2B5EF4-FFF2-40B4-BE49-F238E27FC236}">
              <a16:creationId xmlns:a16="http://schemas.microsoft.com/office/drawing/2014/main" id="{96D2F9B9-4542-DF54-6E7F-CC74F504D9A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12758     ">
          <a:extLst xmlns:a="http://schemas.openxmlformats.org/drawingml/2006/main">
            <a:ext uri="{FF2B5EF4-FFF2-40B4-BE49-F238E27FC236}">
              <a16:creationId xmlns:a16="http://schemas.microsoft.com/office/drawing/2014/main" id="{775AD179-F275-CDC0-3D7D-789DA3F4201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12758    ">
          <a:extLst xmlns:a="http://schemas.openxmlformats.org/drawingml/2006/main">
            <a:ext uri="{FF2B5EF4-FFF2-40B4-BE49-F238E27FC236}">
              <a16:creationId xmlns:a16="http://schemas.microsoft.com/office/drawing/2014/main" id="{CC163551-3E9B-0915-77F3-969612C351AC}"/>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12758   ">
          <a:extLst xmlns:a="http://schemas.openxmlformats.org/drawingml/2006/main">
            <a:ext uri="{FF2B5EF4-FFF2-40B4-BE49-F238E27FC236}">
              <a16:creationId xmlns:a16="http://schemas.microsoft.com/office/drawing/2014/main" id="{B7B16D5B-2461-F5AC-D76D-EF2445C77B3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12758  ">
          <a:extLst xmlns:a="http://schemas.openxmlformats.org/drawingml/2006/main">
            <a:ext uri="{FF2B5EF4-FFF2-40B4-BE49-F238E27FC236}">
              <a16:creationId xmlns:a16="http://schemas.microsoft.com/office/drawing/2014/main" id="{325C3AF0-F25A-DA77-2AB0-4282CC53C9CC}"/>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12758 ">
          <a:extLst xmlns:a="http://schemas.openxmlformats.org/drawingml/2006/main">
            <a:ext uri="{FF2B5EF4-FFF2-40B4-BE49-F238E27FC236}">
              <a16:creationId xmlns:a16="http://schemas.microsoft.com/office/drawing/2014/main" id="{39255887-7E44-3C4A-FABF-7D483184CA1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63.xml><?xml version="1.0" encoding="utf-8"?>
<c:userShapes xmlns:c="http://schemas.openxmlformats.org/drawingml/2006/chart">
  <cdr:relSizeAnchor xmlns:cdr="http://schemas.openxmlformats.org/drawingml/2006/chartDrawing">
    <cdr:from>
      <cdr:x>0.08158</cdr:x>
      <cdr:y>0.46195</cdr:y>
    </cdr:from>
    <cdr:to>
      <cdr:x>0.91842</cdr:x>
      <cdr:y>0.66195</cdr:y>
    </cdr:to>
    <cdr:sp macro="objClick" textlink="">
      <cdr:nvSpPr>
        <cdr:cNvPr id="2" name="gwm_29943          ">
          <a:extLst xmlns:a="http://schemas.openxmlformats.org/drawingml/2006/main">
            <a:ext uri="{FF2B5EF4-FFF2-40B4-BE49-F238E27FC236}">
              <a16:creationId xmlns:a16="http://schemas.microsoft.com/office/drawing/2014/main" id="{CB494FEA-4899-7856-9722-2EA1D930FD89}"/>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3" name="gwm_29943         ">
          <a:extLst xmlns:a="http://schemas.openxmlformats.org/drawingml/2006/main">
            <a:ext uri="{FF2B5EF4-FFF2-40B4-BE49-F238E27FC236}">
              <a16:creationId xmlns:a16="http://schemas.microsoft.com/office/drawing/2014/main" id="{657B0C0B-1B65-B773-A10E-B4D5A65F8DAD}"/>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4" name="gwm_29943        ">
          <a:extLst xmlns:a="http://schemas.openxmlformats.org/drawingml/2006/main">
            <a:ext uri="{FF2B5EF4-FFF2-40B4-BE49-F238E27FC236}">
              <a16:creationId xmlns:a16="http://schemas.microsoft.com/office/drawing/2014/main" id="{BABAA83C-F5B9-98B7-A762-5613E9BD7244}"/>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5" name="gwm_29943       ">
          <a:extLst xmlns:a="http://schemas.openxmlformats.org/drawingml/2006/main">
            <a:ext uri="{FF2B5EF4-FFF2-40B4-BE49-F238E27FC236}">
              <a16:creationId xmlns:a16="http://schemas.microsoft.com/office/drawing/2014/main" id="{355AE8C1-636C-CFDA-B845-C00AAD96C019}"/>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6" name="gwm_29943      ">
          <a:extLst xmlns:a="http://schemas.openxmlformats.org/drawingml/2006/main">
            <a:ext uri="{FF2B5EF4-FFF2-40B4-BE49-F238E27FC236}">
              <a16:creationId xmlns:a16="http://schemas.microsoft.com/office/drawing/2014/main" id="{BD435E4E-6C2F-85A4-34D9-869C1E378D55}"/>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7" name="gwm_29943     ">
          <a:extLst xmlns:a="http://schemas.openxmlformats.org/drawingml/2006/main">
            <a:ext uri="{FF2B5EF4-FFF2-40B4-BE49-F238E27FC236}">
              <a16:creationId xmlns:a16="http://schemas.microsoft.com/office/drawing/2014/main" id="{5EF55DD3-E087-6CC7-2666-BD661B126C05}"/>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8" name="gwm_29943    ">
          <a:extLst xmlns:a="http://schemas.openxmlformats.org/drawingml/2006/main">
            <a:ext uri="{FF2B5EF4-FFF2-40B4-BE49-F238E27FC236}">
              <a16:creationId xmlns:a16="http://schemas.microsoft.com/office/drawing/2014/main" id="{170EA258-D06F-B816-D9ED-18DC27917985}"/>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9" name="gwm_29943   ">
          <a:extLst xmlns:a="http://schemas.openxmlformats.org/drawingml/2006/main">
            <a:ext uri="{FF2B5EF4-FFF2-40B4-BE49-F238E27FC236}">
              <a16:creationId xmlns:a16="http://schemas.microsoft.com/office/drawing/2014/main" id="{F2A7BAEB-C143-A6F1-4E55-41462E1BD164}"/>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0" name="gwm_29943  ">
          <a:extLst xmlns:a="http://schemas.openxmlformats.org/drawingml/2006/main">
            <a:ext uri="{FF2B5EF4-FFF2-40B4-BE49-F238E27FC236}">
              <a16:creationId xmlns:a16="http://schemas.microsoft.com/office/drawing/2014/main" id="{818C76AB-B50C-E2B3-E637-D46A0B4965DA}"/>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1" name="gwm_29943 ">
          <a:extLst xmlns:a="http://schemas.openxmlformats.org/drawingml/2006/main">
            <a:ext uri="{FF2B5EF4-FFF2-40B4-BE49-F238E27FC236}">
              <a16:creationId xmlns:a16="http://schemas.microsoft.com/office/drawing/2014/main" id="{5C05B902-5E94-B823-DE2E-BA95D3461AAF}"/>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64.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11494          ">
          <a:extLst xmlns:a="http://schemas.openxmlformats.org/drawingml/2006/main">
            <a:ext uri="{FF2B5EF4-FFF2-40B4-BE49-F238E27FC236}">
              <a16:creationId xmlns:a16="http://schemas.microsoft.com/office/drawing/2014/main" id="{082D95B0-41F2-CC38-FDF6-7DD363B3B46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11494         ">
          <a:extLst xmlns:a="http://schemas.openxmlformats.org/drawingml/2006/main">
            <a:ext uri="{FF2B5EF4-FFF2-40B4-BE49-F238E27FC236}">
              <a16:creationId xmlns:a16="http://schemas.microsoft.com/office/drawing/2014/main" id="{4531A652-F0AA-3E98-D0B2-792B33EDB82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11494        ">
          <a:extLst xmlns:a="http://schemas.openxmlformats.org/drawingml/2006/main">
            <a:ext uri="{FF2B5EF4-FFF2-40B4-BE49-F238E27FC236}">
              <a16:creationId xmlns:a16="http://schemas.microsoft.com/office/drawing/2014/main" id="{B48C86ED-912E-0F25-B8B9-14ED7DB3B15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11494       ">
          <a:extLst xmlns:a="http://schemas.openxmlformats.org/drawingml/2006/main">
            <a:ext uri="{FF2B5EF4-FFF2-40B4-BE49-F238E27FC236}">
              <a16:creationId xmlns:a16="http://schemas.microsoft.com/office/drawing/2014/main" id="{CBAD9B1F-B4F1-3E42-9C81-8712629E710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11494      ">
          <a:extLst xmlns:a="http://schemas.openxmlformats.org/drawingml/2006/main">
            <a:ext uri="{FF2B5EF4-FFF2-40B4-BE49-F238E27FC236}">
              <a16:creationId xmlns:a16="http://schemas.microsoft.com/office/drawing/2014/main" id="{292FB7B1-4A2B-59B1-F6E9-0E700508E6C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11494     ">
          <a:extLst xmlns:a="http://schemas.openxmlformats.org/drawingml/2006/main">
            <a:ext uri="{FF2B5EF4-FFF2-40B4-BE49-F238E27FC236}">
              <a16:creationId xmlns:a16="http://schemas.microsoft.com/office/drawing/2014/main" id="{2FA710AE-5603-EB0B-34FE-DCC36A002DF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11494    ">
          <a:extLst xmlns:a="http://schemas.openxmlformats.org/drawingml/2006/main">
            <a:ext uri="{FF2B5EF4-FFF2-40B4-BE49-F238E27FC236}">
              <a16:creationId xmlns:a16="http://schemas.microsoft.com/office/drawing/2014/main" id="{E07987DF-1E5A-A73D-94E2-EE4CCD43384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11494   ">
          <a:extLst xmlns:a="http://schemas.openxmlformats.org/drawingml/2006/main">
            <a:ext uri="{FF2B5EF4-FFF2-40B4-BE49-F238E27FC236}">
              <a16:creationId xmlns:a16="http://schemas.microsoft.com/office/drawing/2014/main" id="{506D94E4-04D1-49BD-FCD8-679E892360D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11494  ">
          <a:extLst xmlns:a="http://schemas.openxmlformats.org/drawingml/2006/main">
            <a:ext uri="{FF2B5EF4-FFF2-40B4-BE49-F238E27FC236}">
              <a16:creationId xmlns:a16="http://schemas.microsoft.com/office/drawing/2014/main" id="{097C452A-0B3C-B7BE-4B8B-D0C04B2F0D20}"/>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11494 ">
          <a:extLst xmlns:a="http://schemas.openxmlformats.org/drawingml/2006/main">
            <a:ext uri="{FF2B5EF4-FFF2-40B4-BE49-F238E27FC236}">
              <a16:creationId xmlns:a16="http://schemas.microsoft.com/office/drawing/2014/main" id="{516F804F-659E-7766-2C1C-ED06658B427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65.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22654          ">
          <a:extLst xmlns:a="http://schemas.openxmlformats.org/drawingml/2006/main">
            <a:ext uri="{FF2B5EF4-FFF2-40B4-BE49-F238E27FC236}">
              <a16:creationId xmlns:a16="http://schemas.microsoft.com/office/drawing/2014/main" id="{305E1A28-759D-EEB4-424E-2AEF20F4C3F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22654         ">
          <a:extLst xmlns:a="http://schemas.openxmlformats.org/drawingml/2006/main">
            <a:ext uri="{FF2B5EF4-FFF2-40B4-BE49-F238E27FC236}">
              <a16:creationId xmlns:a16="http://schemas.microsoft.com/office/drawing/2014/main" id="{B27AB312-1DA0-BDE9-BED6-651B5BC109E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22654        ">
          <a:extLst xmlns:a="http://schemas.openxmlformats.org/drawingml/2006/main">
            <a:ext uri="{FF2B5EF4-FFF2-40B4-BE49-F238E27FC236}">
              <a16:creationId xmlns:a16="http://schemas.microsoft.com/office/drawing/2014/main" id="{511BC518-0AB2-358D-E451-E7D6F2C08EDC}"/>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22654       ">
          <a:extLst xmlns:a="http://schemas.openxmlformats.org/drawingml/2006/main">
            <a:ext uri="{FF2B5EF4-FFF2-40B4-BE49-F238E27FC236}">
              <a16:creationId xmlns:a16="http://schemas.microsoft.com/office/drawing/2014/main" id="{F5F91CE7-151E-6557-06B0-30DDD1ADFC7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22654      ">
          <a:extLst xmlns:a="http://schemas.openxmlformats.org/drawingml/2006/main">
            <a:ext uri="{FF2B5EF4-FFF2-40B4-BE49-F238E27FC236}">
              <a16:creationId xmlns:a16="http://schemas.microsoft.com/office/drawing/2014/main" id="{43663E03-F0B0-50A2-4B71-CB2ED619498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22654     ">
          <a:extLst xmlns:a="http://schemas.openxmlformats.org/drawingml/2006/main">
            <a:ext uri="{FF2B5EF4-FFF2-40B4-BE49-F238E27FC236}">
              <a16:creationId xmlns:a16="http://schemas.microsoft.com/office/drawing/2014/main" id="{875A2773-E7E0-5C9F-150B-F3F7245AD44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22654    ">
          <a:extLst xmlns:a="http://schemas.openxmlformats.org/drawingml/2006/main">
            <a:ext uri="{FF2B5EF4-FFF2-40B4-BE49-F238E27FC236}">
              <a16:creationId xmlns:a16="http://schemas.microsoft.com/office/drawing/2014/main" id="{C9311A7D-5078-4FAB-29AD-25F7C171297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22654   ">
          <a:extLst xmlns:a="http://schemas.openxmlformats.org/drawingml/2006/main">
            <a:ext uri="{FF2B5EF4-FFF2-40B4-BE49-F238E27FC236}">
              <a16:creationId xmlns:a16="http://schemas.microsoft.com/office/drawing/2014/main" id="{CF6AEF98-ECBE-0966-E861-4E3A57D1F47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22654  ">
          <a:extLst xmlns:a="http://schemas.openxmlformats.org/drawingml/2006/main">
            <a:ext uri="{FF2B5EF4-FFF2-40B4-BE49-F238E27FC236}">
              <a16:creationId xmlns:a16="http://schemas.microsoft.com/office/drawing/2014/main" id="{5DD4BD27-50B1-6511-2F1F-4817CF1F212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22654 ">
          <a:extLst xmlns:a="http://schemas.openxmlformats.org/drawingml/2006/main">
            <a:ext uri="{FF2B5EF4-FFF2-40B4-BE49-F238E27FC236}">
              <a16:creationId xmlns:a16="http://schemas.microsoft.com/office/drawing/2014/main" id="{2CDFA37D-6798-4197-8E38-FEE99B174A5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66.xml><?xml version="1.0" encoding="utf-8"?>
<c:userShapes xmlns:c="http://schemas.openxmlformats.org/drawingml/2006/chart">
  <cdr:relSizeAnchor xmlns:cdr="http://schemas.openxmlformats.org/drawingml/2006/chartDrawing">
    <cdr:from>
      <cdr:x>0.08158</cdr:x>
      <cdr:y>0.46195</cdr:y>
    </cdr:from>
    <cdr:to>
      <cdr:x>0.91842</cdr:x>
      <cdr:y>0.66195</cdr:y>
    </cdr:to>
    <cdr:sp macro="objClick" textlink="">
      <cdr:nvSpPr>
        <cdr:cNvPr id="2" name="gwm_21687          ">
          <a:extLst xmlns:a="http://schemas.openxmlformats.org/drawingml/2006/main">
            <a:ext uri="{FF2B5EF4-FFF2-40B4-BE49-F238E27FC236}">
              <a16:creationId xmlns:a16="http://schemas.microsoft.com/office/drawing/2014/main" id="{1B7EB346-2CDB-2BDC-BC7D-367CB671E916}"/>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3" name="gwm_21687         ">
          <a:extLst xmlns:a="http://schemas.openxmlformats.org/drawingml/2006/main">
            <a:ext uri="{FF2B5EF4-FFF2-40B4-BE49-F238E27FC236}">
              <a16:creationId xmlns:a16="http://schemas.microsoft.com/office/drawing/2014/main" id="{13795919-524C-92EC-D432-29A0DE496F46}"/>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4" name="gwm_21687        ">
          <a:extLst xmlns:a="http://schemas.openxmlformats.org/drawingml/2006/main">
            <a:ext uri="{FF2B5EF4-FFF2-40B4-BE49-F238E27FC236}">
              <a16:creationId xmlns:a16="http://schemas.microsoft.com/office/drawing/2014/main" id="{77A10AF7-6E39-2F1A-1EE1-802E424C8856}"/>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5" name="gwm_21687       ">
          <a:extLst xmlns:a="http://schemas.openxmlformats.org/drawingml/2006/main">
            <a:ext uri="{FF2B5EF4-FFF2-40B4-BE49-F238E27FC236}">
              <a16:creationId xmlns:a16="http://schemas.microsoft.com/office/drawing/2014/main" id="{FC0AD16F-602D-D6FC-068E-B5DFE72D7FE9}"/>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6" name="gwm_21687      ">
          <a:extLst xmlns:a="http://schemas.openxmlformats.org/drawingml/2006/main">
            <a:ext uri="{FF2B5EF4-FFF2-40B4-BE49-F238E27FC236}">
              <a16:creationId xmlns:a16="http://schemas.microsoft.com/office/drawing/2014/main" id="{603F17AF-CF2E-A071-69FA-06BB854D0875}"/>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7" name="gwm_21687     ">
          <a:extLst xmlns:a="http://schemas.openxmlformats.org/drawingml/2006/main">
            <a:ext uri="{FF2B5EF4-FFF2-40B4-BE49-F238E27FC236}">
              <a16:creationId xmlns:a16="http://schemas.microsoft.com/office/drawing/2014/main" id="{52C63163-6513-811F-09A6-90F0DB0999DD}"/>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8" name="gwm_21687    ">
          <a:extLst xmlns:a="http://schemas.openxmlformats.org/drawingml/2006/main">
            <a:ext uri="{FF2B5EF4-FFF2-40B4-BE49-F238E27FC236}">
              <a16:creationId xmlns:a16="http://schemas.microsoft.com/office/drawing/2014/main" id="{12395279-88ED-0FEC-5757-7328A72639AC}"/>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9" name="gwm_21687   ">
          <a:extLst xmlns:a="http://schemas.openxmlformats.org/drawingml/2006/main">
            <a:ext uri="{FF2B5EF4-FFF2-40B4-BE49-F238E27FC236}">
              <a16:creationId xmlns:a16="http://schemas.microsoft.com/office/drawing/2014/main" id="{E67312F6-1CBB-19D8-6E95-5F6817ECAB51}"/>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0" name="gwm_21687  ">
          <a:extLst xmlns:a="http://schemas.openxmlformats.org/drawingml/2006/main">
            <a:ext uri="{FF2B5EF4-FFF2-40B4-BE49-F238E27FC236}">
              <a16:creationId xmlns:a16="http://schemas.microsoft.com/office/drawing/2014/main" id="{F15D13AE-EB0C-B7D6-5FD5-19B3702319CE}"/>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1" name="gwm_21687 ">
          <a:extLst xmlns:a="http://schemas.openxmlformats.org/drawingml/2006/main">
            <a:ext uri="{FF2B5EF4-FFF2-40B4-BE49-F238E27FC236}">
              <a16:creationId xmlns:a16="http://schemas.microsoft.com/office/drawing/2014/main" id="{4F4DCDB8-0E15-C305-A6D5-1F28B3FA3E4E}"/>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67.xml><?xml version="1.0" encoding="utf-8"?>
<xdr:wsDr xmlns:xdr="http://schemas.openxmlformats.org/drawingml/2006/spreadsheetDrawing" xmlns:a="http://schemas.openxmlformats.org/drawingml/2006/main">
  <xdr:twoCellAnchor editAs="oneCell">
    <xdr:from>
      <xdr:col>0</xdr:col>
      <xdr:colOff>12700</xdr:colOff>
      <xdr:row>18</xdr:row>
      <xdr:rowOff>0</xdr:rowOff>
    </xdr:from>
    <xdr:to>
      <xdr:col>3</xdr:col>
      <xdr:colOff>714375</xdr:colOff>
      <xdr:row>34</xdr:row>
      <xdr:rowOff>127000</xdr:rowOff>
    </xdr:to>
    <xdr:graphicFrame macro="">
      <xdr:nvGraphicFramePr>
        <xdr:cNvPr id="2" name="Chart 1">
          <a:extLst>
            <a:ext uri="{FF2B5EF4-FFF2-40B4-BE49-F238E27FC236}">
              <a16:creationId xmlns:a16="http://schemas.microsoft.com/office/drawing/2014/main" id="{47AA1270-17A0-9023-753D-6C843C6008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xdr:colOff>
      <xdr:row>39</xdr:row>
      <xdr:rowOff>0</xdr:rowOff>
    </xdr:from>
    <xdr:to>
      <xdr:col>3</xdr:col>
      <xdr:colOff>714375</xdr:colOff>
      <xdr:row>55</xdr:row>
      <xdr:rowOff>127000</xdr:rowOff>
    </xdr:to>
    <xdr:graphicFrame macro="">
      <xdr:nvGraphicFramePr>
        <xdr:cNvPr id="3" name="Chart 2">
          <a:extLst>
            <a:ext uri="{FF2B5EF4-FFF2-40B4-BE49-F238E27FC236}">
              <a16:creationId xmlns:a16="http://schemas.microsoft.com/office/drawing/2014/main" id="{0360D546-21F7-58AC-3355-30E69A658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12700</xdr:colOff>
      <xdr:row>60</xdr:row>
      <xdr:rowOff>0</xdr:rowOff>
    </xdr:from>
    <xdr:to>
      <xdr:col>3</xdr:col>
      <xdr:colOff>714375</xdr:colOff>
      <xdr:row>76</xdr:row>
      <xdr:rowOff>127000</xdr:rowOff>
    </xdr:to>
    <xdr:graphicFrame macro="">
      <xdr:nvGraphicFramePr>
        <xdr:cNvPr id="4" name="Chart 3">
          <a:extLst>
            <a:ext uri="{FF2B5EF4-FFF2-40B4-BE49-F238E27FC236}">
              <a16:creationId xmlns:a16="http://schemas.microsoft.com/office/drawing/2014/main" id="{63ACDD80-47E2-8F53-557B-E973584D18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8.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24760          ">
          <a:extLst xmlns:a="http://schemas.openxmlformats.org/drawingml/2006/main">
            <a:ext uri="{FF2B5EF4-FFF2-40B4-BE49-F238E27FC236}">
              <a16:creationId xmlns:a16="http://schemas.microsoft.com/office/drawing/2014/main" id="{FCACAAC2-0CAD-B020-21EF-438C6612205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24760         ">
          <a:extLst xmlns:a="http://schemas.openxmlformats.org/drawingml/2006/main">
            <a:ext uri="{FF2B5EF4-FFF2-40B4-BE49-F238E27FC236}">
              <a16:creationId xmlns:a16="http://schemas.microsoft.com/office/drawing/2014/main" id="{656CA012-F4F2-C539-4028-58A2BB16AA7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24760        ">
          <a:extLst xmlns:a="http://schemas.openxmlformats.org/drawingml/2006/main">
            <a:ext uri="{FF2B5EF4-FFF2-40B4-BE49-F238E27FC236}">
              <a16:creationId xmlns:a16="http://schemas.microsoft.com/office/drawing/2014/main" id="{F3B3B082-0DA1-F465-49DF-982C25EEA42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24760       ">
          <a:extLst xmlns:a="http://schemas.openxmlformats.org/drawingml/2006/main">
            <a:ext uri="{FF2B5EF4-FFF2-40B4-BE49-F238E27FC236}">
              <a16:creationId xmlns:a16="http://schemas.microsoft.com/office/drawing/2014/main" id="{D63E77FF-5A76-EF9E-65C9-0E1A757C9A3B}"/>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24760      ">
          <a:extLst xmlns:a="http://schemas.openxmlformats.org/drawingml/2006/main">
            <a:ext uri="{FF2B5EF4-FFF2-40B4-BE49-F238E27FC236}">
              <a16:creationId xmlns:a16="http://schemas.microsoft.com/office/drawing/2014/main" id="{DBA68066-F051-F7B5-EF82-80A825C3C84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24760     ">
          <a:extLst xmlns:a="http://schemas.openxmlformats.org/drawingml/2006/main">
            <a:ext uri="{FF2B5EF4-FFF2-40B4-BE49-F238E27FC236}">
              <a16:creationId xmlns:a16="http://schemas.microsoft.com/office/drawing/2014/main" id="{B9D94607-1F4A-5511-B983-929A61A0010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24760    ">
          <a:extLst xmlns:a="http://schemas.openxmlformats.org/drawingml/2006/main">
            <a:ext uri="{FF2B5EF4-FFF2-40B4-BE49-F238E27FC236}">
              <a16:creationId xmlns:a16="http://schemas.microsoft.com/office/drawing/2014/main" id="{A39BDA76-782C-8A8B-12CF-7457673ED7C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24760   ">
          <a:extLst xmlns:a="http://schemas.openxmlformats.org/drawingml/2006/main">
            <a:ext uri="{FF2B5EF4-FFF2-40B4-BE49-F238E27FC236}">
              <a16:creationId xmlns:a16="http://schemas.microsoft.com/office/drawing/2014/main" id="{39EB04AA-6B6C-DD86-7B34-AC1328ECF38F}"/>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24760  ">
          <a:extLst xmlns:a="http://schemas.openxmlformats.org/drawingml/2006/main">
            <a:ext uri="{FF2B5EF4-FFF2-40B4-BE49-F238E27FC236}">
              <a16:creationId xmlns:a16="http://schemas.microsoft.com/office/drawing/2014/main" id="{CF415A9C-090A-78F8-EDC5-241F693A976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24760 ">
          <a:extLst xmlns:a="http://schemas.openxmlformats.org/drawingml/2006/main">
            <a:ext uri="{FF2B5EF4-FFF2-40B4-BE49-F238E27FC236}">
              <a16:creationId xmlns:a16="http://schemas.microsoft.com/office/drawing/2014/main" id="{D839CFE3-BBCB-DA9A-5627-03A1233BA3A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69.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27102          ">
          <a:extLst xmlns:a="http://schemas.openxmlformats.org/drawingml/2006/main">
            <a:ext uri="{FF2B5EF4-FFF2-40B4-BE49-F238E27FC236}">
              <a16:creationId xmlns:a16="http://schemas.microsoft.com/office/drawing/2014/main" id="{918FCF93-6277-6478-E2C4-48D5CB5C5F3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27102         ">
          <a:extLst xmlns:a="http://schemas.openxmlformats.org/drawingml/2006/main">
            <a:ext uri="{FF2B5EF4-FFF2-40B4-BE49-F238E27FC236}">
              <a16:creationId xmlns:a16="http://schemas.microsoft.com/office/drawing/2014/main" id="{09E00851-578F-3690-3CEC-933F3056064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27102        ">
          <a:extLst xmlns:a="http://schemas.openxmlformats.org/drawingml/2006/main">
            <a:ext uri="{FF2B5EF4-FFF2-40B4-BE49-F238E27FC236}">
              <a16:creationId xmlns:a16="http://schemas.microsoft.com/office/drawing/2014/main" id="{4265C95F-B057-FB46-886B-2E49063701D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27102       ">
          <a:extLst xmlns:a="http://schemas.openxmlformats.org/drawingml/2006/main">
            <a:ext uri="{FF2B5EF4-FFF2-40B4-BE49-F238E27FC236}">
              <a16:creationId xmlns:a16="http://schemas.microsoft.com/office/drawing/2014/main" id="{06595C71-A38B-E138-9611-CDBE3F77F7F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27102      ">
          <a:extLst xmlns:a="http://schemas.openxmlformats.org/drawingml/2006/main">
            <a:ext uri="{FF2B5EF4-FFF2-40B4-BE49-F238E27FC236}">
              <a16:creationId xmlns:a16="http://schemas.microsoft.com/office/drawing/2014/main" id="{DC864ECC-246E-3F7B-90D6-9D9D48320DC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27102     ">
          <a:extLst xmlns:a="http://schemas.openxmlformats.org/drawingml/2006/main">
            <a:ext uri="{FF2B5EF4-FFF2-40B4-BE49-F238E27FC236}">
              <a16:creationId xmlns:a16="http://schemas.microsoft.com/office/drawing/2014/main" id="{6092B734-0515-F3E0-F304-116B231AF6B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27102    ">
          <a:extLst xmlns:a="http://schemas.openxmlformats.org/drawingml/2006/main">
            <a:ext uri="{FF2B5EF4-FFF2-40B4-BE49-F238E27FC236}">
              <a16:creationId xmlns:a16="http://schemas.microsoft.com/office/drawing/2014/main" id="{BA59A832-E8AF-8E29-1A37-55EAB202725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27102   ">
          <a:extLst xmlns:a="http://schemas.openxmlformats.org/drawingml/2006/main">
            <a:ext uri="{FF2B5EF4-FFF2-40B4-BE49-F238E27FC236}">
              <a16:creationId xmlns:a16="http://schemas.microsoft.com/office/drawing/2014/main" id="{7C415EE7-DE3C-47F5-DBDA-CD4A04D67FF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27102  ">
          <a:extLst xmlns:a="http://schemas.openxmlformats.org/drawingml/2006/main">
            <a:ext uri="{FF2B5EF4-FFF2-40B4-BE49-F238E27FC236}">
              <a16:creationId xmlns:a16="http://schemas.microsoft.com/office/drawing/2014/main" id="{0302982B-9E3A-8FCC-4087-3EF7F25F8CA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27102 ">
          <a:extLst xmlns:a="http://schemas.openxmlformats.org/drawingml/2006/main">
            <a:ext uri="{FF2B5EF4-FFF2-40B4-BE49-F238E27FC236}">
              <a16:creationId xmlns:a16="http://schemas.microsoft.com/office/drawing/2014/main" id="{CACD79F6-4C29-7F9E-089D-AD61904E4C80}"/>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7.xml><?xml version="1.0" encoding="utf-8"?>
<xdr:wsDr xmlns:xdr="http://schemas.openxmlformats.org/drawingml/2006/spreadsheetDrawing" xmlns:a="http://schemas.openxmlformats.org/drawingml/2006/main">
  <xdr:twoCellAnchor editAs="oneCell">
    <xdr:from>
      <xdr:col>0</xdr:col>
      <xdr:colOff>12699</xdr:colOff>
      <xdr:row>6</xdr:row>
      <xdr:rowOff>0</xdr:rowOff>
    </xdr:from>
    <xdr:to>
      <xdr:col>8</xdr:col>
      <xdr:colOff>19050</xdr:colOff>
      <xdr:row>22</xdr:row>
      <xdr:rowOff>127000</xdr:rowOff>
    </xdr:to>
    <xdr:graphicFrame macro="">
      <xdr:nvGraphicFramePr>
        <xdr:cNvPr id="2" name="Chart 1">
          <a:extLst>
            <a:ext uri="{FF2B5EF4-FFF2-40B4-BE49-F238E27FC236}">
              <a16:creationId xmlns:a16="http://schemas.microsoft.com/office/drawing/2014/main" id="{94B1F95E-6E50-996B-BE75-C6B8EAA505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0.xml><?xml version="1.0" encoding="utf-8"?>
<c:userShapes xmlns:c="http://schemas.openxmlformats.org/drawingml/2006/chart">
  <cdr:relSizeAnchor xmlns:cdr="http://schemas.openxmlformats.org/drawingml/2006/chartDrawing">
    <cdr:from>
      <cdr:x>0.08158</cdr:x>
      <cdr:y>0.46195</cdr:y>
    </cdr:from>
    <cdr:to>
      <cdr:x>0.91842</cdr:x>
      <cdr:y>0.66195</cdr:y>
    </cdr:to>
    <cdr:sp macro="objClick" textlink="">
      <cdr:nvSpPr>
        <cdr:cNvPr id="2" name="gwm_4235          ">
          <a:extLst xmlns:a="http://schemas.openxmlformats.org/drawingml/2006/main">
            <a:ext uri="{FF2B5EF4-FFF2-40B4-BE49-F238E27FC236}">
              <a16:creationId xmlns:a16="http://schemas.microsoft.com/office/drawing/2014/main" id="{9BCA49F3-E8BC-8690-C7AA-5FC329DB9DA5}"/>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3" name="gwm_4235         ">
          <a:extLst xmlns:a="http://schemas.openxmlformats.org/drawingml/2006/main">
            <a:ext uri="{FF2B5EF4-FFF2-40B4-BE49-F238E27FC236}">
              <a16:creationId xmlns:a16="http://schemas.microsoft.com/office/drawing/2014/main" id="{F3D40C49-661C-83B8-1490-50B99A2B44AA}"/>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4" name="gwm_4235        ">
          <a:extLst xmlns:a="http://schemas.openxmlformats.org/drawingml/2006/main">
            <a:ext uri="{FF2B5EF4-FFF2-40B4-BE49-F238E27FC236}">
              <a16:creationId xmlns:a16="http://schemas.microsoft.com/office/drawing/2014/main" id="{C0B973E9-7DA9-9617-6759-26BA57AB4506}"/>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5" name="gwm_4235       ">
          <a:extLst xmlns:a="http://schemas.openxmlformats.org/drawingml/2006/main">
            <a:ext uri="{FF2B5EF4-FFF2-40B4-BE49-F238E27FC236}">
              <a16:creationId xmlns:a16="http://schemas.microsoft.com/office/drawing/2014/main" id="{21C1BA22-B55D-E526-476F-8B524249532B}"/>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6" name="gwm_4235      ">
          <a:extLst xmlns:a="http://schemas.openxmlformats.org/drawingml/2006/main">
            <a:ext uri="{FF2B5EF4-FFF2-40B4-BE49-F238E27FC236}">
              <a16:creationId xmlns:a16="http://schemas.microsoft.com/office/drawing/2014/main" id="{CB287E81-EF67-5C14-CE84-89603394C392}"/>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7" name="gwm_4235     ">
          <a:extLst xmlns:a="http://schemas.openxmlformats.org/drawingml/2006/main">
            <a:ext uri="{FF2B5EF4-FFF2-40B4-BE49-F238E27FC236}">
              <a16:creationId xmlns:a16="http://schemas.microsoft.com/office/drawing/2014/main" id="{4C5347E9-7EA8-06DB-165C-4363298B389E}"/>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8" name="gwm_4235    ">
          <a:extLst xmlns:a="http://schemas.openxmlformats.org/drawingml/2006/main">
            <a:ext uri="{FF2B5EF4-FFF2-40B4-BE49-F238E27FC236}">
              <a16:creationId xmlns:a16="http://schemas.microsoft.com/office/drawing/2014/main" id="{E90500F5-CC24-0761-677F-7B2FBF5D8E7C}"/>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9" name="gwm_4235   ">
          <a:extLst xmlns:a="http://schemas.openxmlformats.org/drawingml/2006/main">
            <a:ext uri="{FF2B5EF4-FFF2-40B4-BE49-F238E27FC236}">
              <a16:creationId xmlns:a16="http://schemas.microsoft.com/office/drawing/2014/main" id="{F0DDB287-60DD-EEF6-5DC6-4E9D3573A327}"/>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0" name="gwm_4235  ">
          <a:extLst xmlns:a="http://schemas.openxmlformats.org/drawingml/2006/main">
            <a:ext uri="{FF2B5EF4-FFF2-40B4-BE49-F238E27FC236}">
              <a16:creationId xmlns:a16="http://schemas.microsoft.com/office/drawing/2014/main" id="{9320F0E0-EE86-90E9-8C2F-86C0478D512D}"/>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1" name="gwm_4235 ">
          <a:extLst xmlns:a="http://schemas.openxmlformats.org/drawingml/2006/main">
            <a:ext uri="{FF2B5EF4-FFF2-40B4-BE49-F238E27FC236}">
              <a16:creationId xmlns:a16="http://schemas.microsoft.com/office/drawing/2014/main" id="{1B2549A2-5360-1417-F527-9457381C5538}"/>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71.xml><?xml version="1.0" encoding="utf-8"?>
<xdr:wsDr xmlns:xdr="http://schemas.openxmlformats.org/drawingml/2006/spreadsheetDrawing" xmlns:a="http://schemas.openxmlformats.org/drawingml/2006/main">
  <xdr:twoCellAnchor editAs="oneCell">
    <xdr:from>
      <xdr:col>0</xdr:col>
      <xdr:colOff>12700</xdr:colOff>
      <xdr:row>16</xdr:row>
      <xdr:rowOff>0</xdr:rowOff>
    </xdr:from>
    <xdr:to>
      <xdr:col>3</xdr:col>
      <xdr:colOff>790575</xdr:colOff>
      <xdr:row>32</xdr:row>
      <xdr:rowOff>127000</xdr:rowOff>
    </xdr:to>
    <xdr:graphicFrame macro="">
      <xdr:nvGraphicFramePr>
        <xdr:cNvPr id="2" name="Chart 1">
          <a:extLst>
            <a:ext uri="{FF2B5EF4-FFF2-40B4-BE49-F238E27FC236}">
              <a16:creationId xmlns:a16="http://schemas.microsoft.com/office/drawing/2014/main" id="{9D0209ED-01E1-7A5A-C653-F94204912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xdr:colOff>
      <xdr:row>37</xdr:row>
      <xdr:rowOff>0</xdr:rowOff>
    </xdr:from>
    <xdr:to>
      <xdr:col>3</xdr:col>
      <xdr:colOff>790575</xdr:colOff>
      <xdr:row>53</xdr:row>
      <xdr:rowOff>127000</xdr:rowOff>
    </xdr:to>
    <xdr:graphicFrame macro="">
      <xdr:nvGraphicFramePr>
        <xdr:cNvPr id="3" name="Chart 2">
          <a:extLst>
            <a:ext uri="{FF2B5EF4-FFF2-40B4-BE49-F238E27FC236}">
              <a16:creationId xmlns:a16="http://schemas.microsoft.com/office/drawing/2014/main" id="{B850994B-B486-88E1-C4C7-8CF08B9274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12700</xdr:colOff>
      <xdr:row>58</xdr:row>
      <xdr:rowOff>0</xdr:rowOff>
    </xdr:from>
    <xdr:to>
      <xdr:col>3</xdr:col>
      <xdr:colOff>790575</xdr:colOff>
      <xdr:row>74</xdr:row>
      <xdr:rowOff>127000</xdr:rowOff>
    </xdr:to>
    <xdr:graphicFrame macro="">
      <xdr:nvGraphicFramePr>
        <xdr:cNvPr id="4" name="Chart 3">
          <a:extLst>
            <a:ext uri="{FF2B5EF4-FFF2-40B4-BE49-F238E27FC236}">
              <a16:creationId xmlns:a16="http://schemas.microsoft.com/office/drawing/2014/main" id="{600FA31E-52E8-A566-A867-30219AD783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79</xdr:row>
      <xdr:rowOff>0</xdr:rowOff>
    </xdr:from>
    <xdr:to>
      <xdr:col>3</xdr:col>
      <xdr:colOff>790575</xdr:colOff>
      <xdr:row>95</xdr:row>
      <xdr:rowOff>127000</xdr:rowOff>
    </xdr:to>
    <xdr:graphicFrame macro="">
      <xdr:nvGraphicFramePr>
        <xdr:cNvPr id="5" name="Chart 4">
          <a:extLst>
            <a:ext uri="{FF2B5EF4-FFF2-40B4-BE49-F238E27FC236}">
              <a16:creationId xmlns:a16="http://schemas.microsoft.com/office/drawing/2014/main" id="{4351D2A3-8523-0420-2A7F-FF1B2F60CE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12700</xdr:colOff>
      <xdr:row>100</xdr:row>
      <xdr:rowOff>0</xdr:rowOff>
    </xdr:from>
    <xdr:to>
      <xdr:col>3</xdr:col>
      <xdr:colOff>790575</xdr:colOff>
      <xdr:row>116</xdr:row>
      <xdr:rowOff>127000</xdr:rowOff>
    </xdr:to>
    <xdr:graphicFrame macro="">
      <xdr:nvGraphicFramePr>
        <xdr:cNvPr id="6" name="Chart 5">
          <a:extLst>
            <a:ext uri="{FF2B5EF4-FFF2-40B4-BE49-F238E27FC236}">
              <a16:creationId xmlns:a16="http://schemas.microsoft.com/office/drawing/2014/main" id="{E8A0F122-086F-D8EB-6A75-664704A71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12700</xdr:colOff>
      <xdr:row>121</xdr:row>
      <xdr:rowOff>0</xdr:rowOff>
    </xdr:from>
    <xdr:to>
      <xdr:col>3</xdr:col>
      <xdr:colOff>790575</xdr:colOff>
      <xdr:row>137</xdr:row>
      <xdr:rowOff>127000</xdr:rowOff>
    </xdr:to>
    <xdr:graphicFrame macro="">
      <xdr:nvGraphicFramePr>
        <xdr:cNvPr id="7" name="Chart 6">
          <a:extLst>
            <a:ext uri="{FF2B5EF4-FFF2-40B4-BE49-F238E27FC236}">
              <a16:creationId xmlns:a16="http://schemas.microsoft.com/office/drawing/2014/main" id="{D8061E15-FCCD-4129-E2AD-3F75E6C9F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2.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10208          ">
          <a:extLst xmlns:a="http://schemas.openxmlformats.org/drawingml/2006/main">
            <a:ext uri="{FF2B5EF4-FFF2-40B4-BE49-F238E27FC236}">
              <a16:creationId xmlns:a16="http://schemas.microsoft.com/office/drawing/2014/main" id="{29478032-910C-BD04-679D-8885220B345C}"/>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10208         ">
          <a:extLst xmlns:a="http://schemas.openxmlformats.org/drawingml/2006/main">
            <a:ext uri="{FF2B5EF4-FFF2-40B4-BE49-F238E27FC236}">
              <a16:creationId xmlns:a16="http://schemas.microsoft.com/office/drawing/2014/main" id="{AB6ECBF3-A20F-33E6-412B-A01AF3596A9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10208        ">
          <a:extLst xmlns:a="http://schemas.openxmlformats.org/drawingml/2006/main">
            <a:ext uri="{FF2B5EF4-FFF2-40B4-BE49-F238E27FC236}">
              <a16:creationId xmlns:a16="http://schemas.microsoft.com/office/drawing/2014/main" id="{F3300604-351A-0280-A768-790DEAF585E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10208       ">
          <a:extLst xmlns:a="http://schemas.openxmlformats.org/drawingml/2006/main">
            <a:ext uri="{FF2B5EF4-FFF2-40B4-BE49-F238E27FC236}">
              <a16:creationId xmlns:a16="http://schemas.microsoft.com/office/drawing/2014/main" id="{EFA67C2D-ED05-C867-B8C7-DEAB757621B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10208      ">
          <a:extLst xmlns:a="http://schemas.openxmlformats.org/drawingml/2006/main">
            <a:ext uri="{FF2B5EF4-FFF2-40B4-BE49-F238E27FC236}">
              <a16:creationId xmlns:a16="http://schemas.microsoft.com/office/drawing/2014/main" id="{52AFE92B-2B4C-E64D-5757-98E733DCD20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10208     ">
          <a:extLst xmlns:a="http://schemas.openxmlformats.org/drawingml/2006/main">
            <a:ext uri="{FF2B5EF4-FFF2-40B4-BE49-F238E27FC236}">
              <a16:creationId xmlns:a16="http://schemas.microsoft.com/office/drawing/2014/main" id="{D2D7431D-A223-6995-F278-B665B10A697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10208    ">
          <a:extLst xmlns:a="http://schemas.openxmlformats.org/drawingml/2006/main">
            <a:ext uri="{FF2B5EF4-FFF2-40B4-BE49-F238E27FC236}">
              <a16:creationId xmlns:a16="http://schemas.microsoft.com/office/drawing/2014/main" id="{884F8DBB-90C5-3B5D-FCE1-9829B2EF2A2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10208   ">
          <a:extLst xmlns:a="http://schemas.openxmlformats.org/drawingml/2006/main">
            <a:ext uri="{FF2B5EF4-FFF2-40B4-BE49-F238E27FC236}">
              <a16:creationId xmlns:a16="http://schemas.microsoft.com/office/drawing/2014/main" id="{CF72919B-FDB2-604C-9BE6-2F3E0F49388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10208  ">
          <a:extLst xmlns:a="http://schemas.openxmlformats.org/drawingml/2006/main">
            <a:ext uri="{FF2B5EF4-FFF2-40B4-BE49-F238E27FC236}">
              <a16:creationId xmlns:a16="http://schemas.microsoft.com/office/drawing/2014/main" id="{3298AB6F-71A1-F7A5-1565-FA1EA55E366F}"/>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10208 ">
          <a:extLst xmlns:a="http://schemas.openxmlformats.org/drawingml/2006/main">
            <a:ext uri="{FF2B5EF4-FFF2-40B4-BE49-F238E27FC236}">
              <a16:creationId xmlns:a16="http://schemas.microsoft.com/office/drawing/2014/main" id="{924BF1F6-C56D-B72D-542F-35303C0AE8F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73.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7713          ">
          <a:extLst xmlns:a="http://schemas.openxmlformats.org/drawingml/2006/main">
            <a:ext uri="{FF2B5EF4-FFF2-40B4-BE49-F238E27FC236}">
              <a16:creationId xmlns:a16="http://schemas.microsoft.com/office/drawing/2014/main" id="{65364D7F-59D8-7882-7A64-7CF8196012BF}"/>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7713         ">
          <a:extLst xmlns:a="http://schemas.openxmlformats.org/drawingml/2006/main">
            <a:ext uri="{FF2B5EF4-FFF2-40B4-BE49-F238E27FC236}">
              <a16:creationId xmlns:a16="http://schemas.microsoft.com/office/drawing/2014/main" id="{0528EE26-2B60-8433-344D-23F8A7AB2D8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7713        ">
          <a:extLst xmlns:a="http://schemas.openxmlformats.org/drawingml/2006/main">
            <a:ext uri="{FF2B5EF4-FFF2-40B4-BE49-F238E27FC236}">
              <a16:creationId xmlns:a16="http://schemas.microsoft.com/office/drawing/2014/main" id="{478B8D3B-8F1C-B924-3FFA-1A413697DF4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7713       ">
          <a:extLst xmlns:a="http://schemas.openxmlformats.org/drawingml/2006/main">
            <a:ext uri="{FF2B5EF4-FFF2-40B4-BE49-F238E27FC236}">
              <a16:creationId xmlns:a16="http://schemas.microsoft.com/office/drawing/2014/main" id="{7C31865E-8000-3B2F-658A-E0ACAF27485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7713      ">
          <a:extLst xmlns:a="http://schemas.openxmlformats.org/drawingml/2006/main">
            <a:ext uri="{FF2B5EF4-FFF2-40B4-BE49-F238E27FC236}">
              <a16:creationId xmlns:a16="http://schemas.microsoft.com/office/drawing/2014/main" id="{C1DBB739-C753-1383-F574-72D251DB690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7713     ">
          <a:extLst xmlns:a="http://schemas.openxmlformats.org/drawingml/2006/main">
            <a:ext uri="{FF2B5EF4-FFF2-40B4-BE49-F238E27FC236}">
              <a16:creationId xmlns:a16="http://schemas.microsoft.com/office/drawing/2014/main" id="{B81D5EC8-C14B-D36F-30AD-A2A735E0935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7713    ">
          <a:extLst xmlns:a="http://schemas.openxmlformats.org/drawingml/2006/main">
            <a:ext uri="{FF2B5EF4-FFF2-40B4-BE49-F238E27FC236}">
              <a16:creationId xmlns:a16="http://schemas.microsoft.com/office/drawing/2014/main" id="{38EFE309-9953-586B-065A-8BACC22C0AA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7713   ">
          <a:extLst xmlns:a="http://schemas.openxmlformats.org/drawingml/2006/main">
            <a:ext uri="{FF2B5EF4-FFF2-40B4-BE49-F238E27FC236}">
              <a16:creationId xmlns:a16="http://schemas.microsoft.com/office/drawing/2014/main" id="{FC963BE9-ED14-07E6-03B8-5B5E47E9C2E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7713  ">
          <a:extLst xmlns:a="http://schemas.openxmlformats.org/drawingml/2006/main">
            <a:ext uri="{FF2B5EF4-FFF2-40B4-BE49-F238E27FC236}">
              <a16:creationId xmlns:a16="http://schemas.microsoft.com/office/drawing/2014/main" id="{24F62ABF-FEB5-F92F-64C4-ECF60FD7FAE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7713 ">
          <a:extLst xmlns:a="http://schemas.openxmlformats.org/drawingml/2006/main">
            <a:ext uri="{FF2B5EF4-FFF2-40B4-BE49-F238E27FC236}">
              <a16:creationId xmlns:a16="http://schemas.microsoft.com/office/drawing/2014/main" id="{728B98AE-46C6-4D12-BEE1-50C3371EBCFB}"/>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74.xml><?xml version="1.0" encoding="utf-8"?>
<c:userShapes xmlns:c="http://schemas.openxmlformats.org/drawingml/2006/chart">
  <cdr:relSizeAnchor xmlns:cdr="http://schemas.openxmlformats.org/drawingml/2006/chartDrawing">
    <cdr:from>
      <cdr:x>0.08158</cdr:x>
      <cdr:y>0.46195</cdr:y>
    </cdr:from>
    <cdr:to>
      <cdr:x>0.91842</cdr:x>
      <cdr:y>0.66195</cdr:y>
    </cdr:to>
    <cdr:sp macro="objClick" textlink="">
      <cdr:nvSpPr>
        <cdr:cNvPr id="2" name="gwm_14701          ">
          <a:extLst xmlns:a="http://schemas.openxmlformats.org/drawingml/2006/main">
            <a:ext uri="{FF2B5EF4-FFF2-40B4-BE49-F238E27FC236}">
              <a16:creationId xmlns:a16="http://schemas.microsoft.com/office/drawing/2014/main" id="{C4E35467-157F-1938-8CD3-45666E42FBF1}"/>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3" name="gwm_14701         ">
          <a:extLst xmlns:a="http://schemas.openxmlformats.org/drawingml/2006/main">
            <a:ext uri="{FF2B5EF4-FFF2-40B4-BE49-F238E27FC236}">
              <a16:creationId xmlns:a16="http://schemas.microsoft.com/office/drawing/2014/main" id="{5E33C042-0C2E-50F0-93B1-7069D963652D}"/>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4" name="gwm_14701        ">
          <a:extLst xmlns:a="http://schemas.openxmlformats.org/drawingml/2006/main">
            <a:ext uri="{FF2B5EF4-FFF2-40B4-BE49-F238E27FC236}">
              <a16:creationId xmlns:a16="http://schemas.microsoft.com/office/drawing/2014/main" id="{58B9BBB9-236B-3645-478C-6003460ABA4D}"/>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5" name="gwm_14701       ">
          <a:extLst xmlns:a="http://schemas.openxmlformats.org/drawingml/2006/main">
            <a:ext uri="{FF2B5EF4-FFF2-40B4-BE49-F238E27FC236}">
              <a16:creationId xmlns:a16="http://schemas.microsoft.com/office/drawing/2014/main" id="{E8C53860-401E-B1F5-AACF-F54F44A55CAC}"/>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6" name="gwm_14701      ">
          <a:extLst xmlns:a="http://schemas.openxmlformats.org/drawingml/2006/main">
            <a:ext uri="{FF2B5EF4-FFF2-40B4-BE49-F238E27FC236}">
              <a16:creationId xmlns:a16="http://schemas.microsoft.com/office/drawing/2014/main" id="{529EC535-9D4F-9168-9C7F-F2FC75DC3439}"/>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7" name="gwm_14701     ">
          <a:extLst xmlns:a="http://schemas.openxmlformats.org/drawingml/2006/main">
            <a:ext uri="{FF2B5EF4-FFF2-40B4-BE49-F238E27FC236}">
              <a16:creationId xmlns:a16="http://schemas.microsoft.com/office/drawing/2014/main" id="{2AB57014-8484-E293-EB86-046412970686}"/>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8" name="gwm_14701    ">
          <a:extLst xmlns:a="http://schemas.openxmlformats.org/drawingml/2006/main">
            <a:ext uri="{FF2B5EF4-FFF2-40B4-BE49-F238E27FC236}">
              <a16:creationId xmlns:a16="http://schemas.microsoft.com/office/drawing/2014/main" id="{55816D18-CBA9-1571-1FE8-E13313FF42A9}"/>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9" name="gwm_14701   ">
          <a:extLst xmlns:a="http://schemas.openxmlformats.org/drawingml/2006/main">
            <a:ext uri="{FF2B5EF4-FFF2-40B4-BE49-F238E27FC236}">
              <a16:creationId xmlns:a16="http://schemas.microsoft.com/office/drawing/2014/main" id="{367C807D-37A6-89D4-E790-94AED4720134}"/>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0" name="gwm_14701  ">
          <a:extLst xmlns:a="http://schemas.openxmlformats.org/drawingml/2006/main">
            <a:ext uri="{FF2B5EF4-FFF2-40B4-BE49-F238E27FC236}">
              <a16:creationId xmlns:a16="http://schemas.microsoft.com/office/drawing/2014/main" id="{6884418D-FDAB-A3B4-C52D-5BDC1892AB73}"/>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1" name="gwm_14701 ">
          <a:extLst xmlns:a="http://schemas.openxmlformats.org/drawingml/2006/main">
            <a:ext uri="{FF2B5EF4-FFF2-40B4-BE49-F238E27FC236}">
              <a16:creationId xmlns:a16="http://schemas.microsoft.com/office/drawing/2014/main" id="{7A739259-D03C-4A97-9485-10F452BD3F43}"/>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75.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9518          ">
          <a:extLst xmlns:a="http://schemas.openxmlformats.org/drawingml/2006/main">
            <a:ext uri="{FF2B5EF4-FFF2-40B4-BE49-F238E27FC236}">
              <a16:creationId xmlns:a16="http://schemas.microsoft.com/office/drawing/2014/main" id="{269AE441-E976-1F80-8660-DC6A8B4613E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9518         ">
          <a:extLst xmlns:a="http://schemas.openxmlformats.org/drawingml/2006/main">
            <a:ext uri="{FF2B5EF4-FFF2-40B4-BE49-F238E27FC236}">
              <a16:creationId xmlns:a16="http://schemas.microsoft.com/office/drawing/2014/main" id="{198A39D3-75AC-C11A-67D1-4CFF516081EC}"/>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9518        ">
          <a:extLst xmlns:a="http://schemas.openxmlformats.org/drawingml/2006/main">
            <a:ext uri="{FF2B5EF4-FFF2-40B4-BE49-F238E27FC236}">
              <a16:creationId xmlns:a16="http://schemas.microsoft.com/office/drawing/2014/main" id="{611DF1EF-533A-5BF9-A30B-836AA5F8873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9518       ">
          <a:extLst xmlns:a="http://schemas.openxmlformats.org/drawingml/2006/main">
            <a:ext uri="{FF2B5EF4-FFF2-40B4-BE49-F238E27FC236}">
              <a16:creationId xmlns:a16="http://schemas.microsoft.com/office/drawing/2014/main" id="{A99DB3C5-E312-1DB6-25DC-1E1DD0B1B9F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9518      ">
          <a:extLst xmlns:a="http://schemas.openxmlformats.org/drawingml/2006/main">
            <a:ext uri="{FF2B5EF4-FFF2-40B4-BE49-F238E27FC236}">
              <a16:creationId xmlns:a16="http://schemas.microsoft.com/office/drawing/2014/main" id="{66CB92C6-7F04-6FF6-7041-9F4F0BCA18B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9518     ">
          <a:extLst xmlns:a="http://schemas.openxmlformats.org/drawingml/2006/main">
            <a:ext uri="{FF2B5EF4-FFF2-40B4-BE49-F238E27FC236}">
              <a16:creationId xmlns:a16="http://schemas.microsoft.com/office/drawing/2014/main" id="{DD19C772-39C0-D8BA-8091-283925486E8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9518    ">
          <a:extLst xmlns:a="http://schemas.openxmlformats.org/drawingml/2006/main">
            <a:ext uri="{FF2B5EF4-FFF2-40B4-BE49-F238E27FC236}">
              <a16:creationId xmlns:a16="http://schemas.microsoft.com/office/drawing/2014/main" id="{771D75FC-05A5-EB19-AC39-CFCC7BE58EF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9518   ">
          <a:extLst xmlns:a="http://schemas.openxmlformats.org/drawingml/2006/main">
            <a:ext uri="{FF2B5EF4-FFF2-40B4-BE49-F238E27FC236}">
              <a16:creationId xmlns:a16="http://schemas.microsoft.com/office/drawing/2014/main" id="{082F58CA-52D1-780F-7CA4-9B0B88F70090}"/>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9518  ">
          <a:extLst xmlns:a="http://schemas.openxmlformats.org/drawingml/2006/main">
            <a:ext uri="{FF2B5EF4-FFF2-40B4-BE49-F238E27FC236}">
              <a16:creationId xmlns:a16="http://schemas.microsoft.com/office/drawing/2014/main" id="{AEEA261B-ACC7-2F94-8ACD-AFA4EB32C63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9518 ">
          <a:extLst xmlns:a="http://schemas.openxmlformats.org/drawingml/2006/main">
            <a:ext uri="{FF2B5EF4-FFF2-40B4-BE49-F238E27FC236}">
              <a16:creationId xmlns:a16="http://schemas.microsoft.com/office/drawing/2014/main" id="{00F467AB-B74B-E4E1-646C-72B8A13BE68B}"/>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76.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182          ">
          <a:extLst xmlns:a="http://schemas.openxmlformats.org/drawingml/2006/main">
            <a:ext uri="{FF2B5EF4-FFF2-40B4-BE49-F238E27FC236}">
              <a16:creationId xmlns:a16="http://schemas.microsoft.com/office/drawing/2014/main" id="{9B6E2291-D718-A892-4C4A-A9922E2034C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182         ">
          <a:extLst xmlns:a="http://schemas.openxmlformats.org/drawingml/2006/main">
            <a:ext uri="{FF2B5EF4-FFF2-40B4-BE49-F238E27FC236}">
              <a16:creationId xmlns:a16="http://schemas.microsoft.com/office/drawing/2014/main" id="{85346A9E-CAA0-D14F-D8D1-38DDAE7916B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182        ">
          <a:extLst xmlns:a="http://schemas.openxmlformats.org/drawingml/2006/main">
            <a:ext uri="{FF2B5EF4-FFF2-40B4-BE49-F238E27FC236}">
              <a16:creationId xmlns:a16="http://schemas.microsoft.com/office/drawing/2014/main" id="{FE29B8A4-A537-D076-1309-F7C2A45F000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182       ">
          <a:extLst xmlns:a="http://schemas.openxmlformats.org/drawingml/2006/main">
            <a:ext uri="{FF2B5EF4-FFF2-40B4-BE49-F238E27FC236}">
              <a16:creationId xmlns:a16="http://schemas.microsoft.com/office/drawing/2014/main" id="{A09751D0-07CB-FEF7-442F-9EF60FA573A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182      ">
          <a:extLst xmlns:a="http://schemas.openxmlformats.org/drawingml/2006/main">
            <a:ext uri="{FF2B5EF4-FFF2-40B4-BE49-F238E27FC236}">
              <a16:creationId xmlns:a16="http://schemas.microsoft.com/office/drawing/2014/main" id="{5EBAC340-C818-F147-990F-CEBA33482A1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182     ">
          <a:extLst xmlns:a="http://schemas.openxmlformats.org/drawingml/2006/main">
            <a:ext uri="{FF2B5EF4-FFF2-40B4-BE49-F238E27FC236}">
              <a16:creationId xmlns:a16="http://schemas.microsoft.com/office/drawing/2014/main" id="{A2E8E569-003C-8CBD-7F8D-B3AE5759AD2C}"/>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182    ">
          <a:extLst xmlns:a="http://schemas.openxmlformats.org/drawingml/2006/main">
            <a:ext uri="{FF2B5EF4-FFF2-40B4-BE49-F238E27FC236}">
              <a16:creationId xmlns:a16="http://schemas.microsoft.com/office/drawing/2014/main" id="{646F65C9-0FFF-B381-F892-FBBCA30BFF1B}"/>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182   ">
          <a:extLst xmlns:a="http://schemas.openxmlformats.org/drawingml/2006/main">
            <a:ext uri="{FF2B5EF4-FFF2-40B4-BE49-F238E27FC236}">
              <a16:creationId xmlns:a16="http://schemas.microsoft.com/office/drawing/2014/main" id="{51B3D2B1-25F3-2965-FA9C-C2C01E89661C}"/>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182  ">
          <a:extLst xmlns:a="http://schemas.openxmlformats.org/drawingml/2006/main">
            <a:ext uri="{FF2B5EF4-FFF2-40B4-BE49-F238E27FC236}">
              <a16:creationId xmlns:a16="http://schemas.microsoft.com/office/drawing/2014/main" id="{F399D426-9ECB-27FA-0807-5702755BA18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182 ">
          <a:extLst xmlns:a="http://schemas.openxmlformats.org/drawingml/2006/main">
            <a:ext uri="{FF2B5EF4-FFF2-40B4-BE49-F238E27FC236}">
              <a16:creationId xmlns:a16="http://schemas.microsoft.com/office/drawing/2014/main" id="{52F2A354-C295-36F0-BD64-A547C2E0367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77.xml><?xml version="1.0" encoding="utf-8"?>
<c:userShapes xmlns:c="http://schemas.openxmlformats.org/drawingml/2006/chart">
  <cdr:relSizeAnchor xmlns:cdr="http://schemas.openxmlformats.org/drawingml/2006/chartDrawing">
    <cdr:from>
      <cdr:x>0.08158</cdr:x>
      <cdr:y>0.46195</cdr:y>
    </cdr:from>
    <cdr:to>
      <cdr:x>0.91842</cdr:x>
      <cdr:y>0.66195</cdr:y>
    </cdr:to>
    <cdr:sp macro="objClick" textlink="">
      <cdr:nvSpPr>
        <cdr:cNvPr id="2" name="gwm_2801          ">
          <a:extLst xmlns:a="http://schemas.openxmlformats.org/drawingml/2006/main">
            <a:ext uri="{FF2B5EF4-FFF2-40B4-BE49-F238E27FC236}">
              <a16:creationId xmlns:a16="http://schemas.microsoft.com/office/drawing/2014/main" id="{AC2904EC-3AD1-8A7B-947D-BCE32C6004E3}"/>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3" name="gwm_2801         ">
          <a:extLst xmlns:a="http://schemas.openxmlformats.org/drawingml/2006/main">
            <a:ext uri="{FF2B5EF4-FFF2-40B4-BE49-F238E27FC236}">
              <a16:creationId xmlns:a16="http://schemas.microsoft.com/office/drawing/2014/main" id="{7DD2B05C-F011-4FF5-F7C0-FA7635472463}"/>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4" name="gwm_2801        ">
          <a:extLst xmlns:a="http://schemas.openxmlformats.org/drawingml/2006/main">
            <a:ext uri="{FF2B5EF4-FFF2-40B4-BE49-F238E27FC236}">
              <a16:creationId xmlns:a16="http://schemas.microsoft.com/office/drawing/2014/main" id="{4DD51700-1101-7293-F74D-BCF44DE64072}"/>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5" name="gwm_2801       ">
          <a:extLst xmlns:a="http://schemas.openxmlformats.org/drawingml/2006/main">
            <a:ext uri="{FF2B5EF4-FFF2-40B4-BE49-F238E27FC236}">
              <a16:creationId xmlns:a16="http://schemas.microsoft.com/office/drawing/2014/main" id="{DDFB29A7-8A71-7E05-4B90-D35D193AAA20}"/>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6" name="gwm_2801      ">
          <a:extLst xmlns:a="http://schemas.openxmlformats.org/drawingml/2006/main">
            <a:ext uri="{FF2B5EF4-FFF2-40B4-BE49-F238E27FC236}">
              <a16:creationId xmlns:a16="http://schemas.microsoft.com/office/drawing/2014/main" id="{948EE329-9413-1ADF-B0A5-5FAFA2CB50D1}"/>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7" name="gwm_2801     ">
          <a:extLst xmlns:a="http://schemas.openxmlformats.org/drawingml/2006/main">
            <a:ext uri="{FF2B5EF4-FFF2-40B4-BE49-F238E27FC236}">
              <a16:creationId xmlns:a16="http://schemas.microsoft.com/office/drawing/2014/main" id="{5C4F9367-CD2C-015A-59D0-DEC592B9A91A}"/>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8" name="gwm_2801    ">
          <a:extLst xmlns:a="http://schemas.openxmlformats.org/drawingml/2006/main">
            <a:ext uri="{FF2B5EF4-FFF2-40B4-BE49-F238E27FC236}">
              <a16:creationId xmlns:a16="http://schemas.microsoft.com/office/drawing/2014/main" id="{EBF32824-CBDB-F9EA-1E60-EB06ABA9586E}"/>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9" name="gwm_2801   ">
          <a:extLst xmlns:a="http://schemas.openxmlformats.org/drawingml/2006/main">
            <a:ext uri="{FF2B5EF4-FFF2-40B4-BE49-F238E27FC236}">
              <a16:creationId xmlns:a16="http://schemas.microsoft.com/office/drawing/2014/main" id="{56F3F405-AEA6-8736-2631-01B6BED35E75}"/>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0" name="gwm_2801  ">
          <a:extLst xmlns:a="http://schemas.openxmlformats.org/drawingml/2006/main">
            <a:ext uri="{FF2B5EF4-FFF2-40B4-BE49-F238E27FC236}">
              <a16:creationId xmlns:a16="http://schemas.microsoft.com/office/drawing/2014/main" id="{E0C57426-04F1-1D85-3504-7C2AD69F073D}"/>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1" name="gwm_2801 ">
          <a:extLst xmlns:a="http://schemas.openxmlformats.org/drawingml/2006/main">
            <a:ext uri="{FF2B5EF4-FFF2-40B4-BE49-F238E27FC236}">
              <a16:creationId xmlns:a16="http://schemas.microsoft.com/office/drawing/2014/main" id="{EE8F5432-1996-5C9C-3E6C-E08CBCD500E0}"/>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78.xml><?xml version="1.0" encoding="utf-8"?>
<xdr:wsDr xmlns:xdr="http://schemas.openxmlformats.org/drawingml/2006/spreadsheetDrawing" xmlns:a="http://schemas.openxmlformats.org/drawingml/2006/main">
  <xdr:twoCellAnchor editAs="oneCell">
    <xdr:from>
      <xdr:col>0</xdr:col>
      <xdr:colOff>12700</xdr:colOff>
      <xdr:row>18</xdr:row>
      <xdr:rowOff>0</xdr:rowOff>
    </xdr:from>
    <xdr:to>
      <xdr:col>3</xdr:col>
      <xdr:colOff>752475</xdr:colOff>
      <xdr:row>34</xdr:row>
      <xdr:rowOff>127000</xdr:rowOff>
    </xdr:to>
    <xdr:graphicFrame macro="">
      <xdr:nvGraphicFramePr>
        <xdr:cNvPr id="2" name="Chart 1">
          <a:extLst>
            <a:ext uri="{FF2B5EF4-FFF2-40B4-BE49-F238E27FC236}">
              <a16:creationId xmlns:a16="http://schemas.microsoft.com/office/drawing/2014/main" id="{BBF1F78E-041A-E223-219E-74657C4AA4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xdr:colOff>
      <xdr:row>39</xdr:row>
      <xdr:rowOff>0</xdr:rowOff>
    </xdr:from>
    <xdr:to>
      <xdr:col>3</xdr:col>
      <xdr:colOff>752475</xdr:colOff>
      <xdr:row>55</xdr:row>
      <xdr:rowOff>127000</xdr:rowOff>
    </xdr:to>
    <xdr:graphicFrame macro="">
      <xdr:nvGraphicFramePr>
        <xdr:cNvPr id="3" name="Chart 2">
          <a:extLst>
            <a:ext uri="{FF2B5EF4-FFF2-40B4-BE49-F238E27FC236}">
              <a16:creationId xmlns:a16="http://schemas.microsoft.com/office/drawing/2014/main" id="{810A9FBB-D9D2-C655-31A8-66C978081A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12700</xdr:colOff>
      <xdr:row>60</xdr:row>
      <xdr:rowOff>0</xdr:rowOff>
    </xdr:from>
    <xdr:to>
      <xdr:col>3</xdr:col>
      <xdr:colOff>752475</xdr:colOff>
      <xdr:row>76</xdr:row>
      <xdr:rowOff>127000</xdr:rowOff>
    </xdr:to>
    <xdr:graphicFrame macro="">
      <xdr:nvGraphicFramePr>
        <xdr:cNvPr id="4" name="Chart 3">
          <a:extLst>
            <a:ext uri="{FF2B5EF4-FFF2-40B4-BE49-F238E27FC236}">
              <a16:creationId xmlns:a16="http://schemas.microsoft.com/office/drawing/2014/main" id="{69BFE74E-265B-E3F5-D0E6-E450ADE436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9.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5095          ">
          <a:extLst xmlns:a="http://schemas.openxmlformats.org/drawingml/2006/main">
            <a:ext uri="{FF2B5EF4-FFF2-40B4-BE49-F238E27FC236}">
              <a16:creationId xmlns:a16="http://schemas.microsoft.com/office/drawing/2014/main" id="{B1EA1FF6-103C-F184-B31C-91E67333E36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5095         ">
          <a:extLst xmlns:a="http://schemas.openxmlformats.org/drawingml/2006/main">
            <a:ext uri="{FF2B5EF4-FFF2-40B4-BE49-F238E27FC236}">
              <a16:creationId xmlns:a16="http://schemas.microsoft.com/office/drawing/2014/main" id="{D74BFB06-353D-B643-5996-332AD9EF688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5095        ">
          <a:extLst xmlns:a="http://schemas.openxmlformats.org/drawingml/2006/main">
            <a:ext uri="{FF2B5EF4-FFF2-40B4-BE49-F238E27FC236}">
              <a16:creationId xmlns:a16="http://schemas.microsoft.com/office/drawing/2014/main" id="{457693B4-2DD3-292F-DD62-AC1CB72AA3EC}"/>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5095       ">
          <a:extLst xmlns:a="http://schemas.openxmlformats.org/drawingml/2006/main">
            <a:ext uri="{FF2B5EF4-FFF2-40B4-BE49-F238E27FC236}">
              <a16:creationId xmlns:a16="http://schemas.microsoft.com/office/drawing/2014/main" id="{F8770049-63F0-3EEE-C733-DE28781365F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5095      ">
          <a:extLst xmlns:a="http://schemas.openxmlformats.org/drawingml/2006/main">
            <a:ext uri="{FF2B5EF4-FFF2-40B4-BE49-F238E27FC236}">
              <a16:creationId xmlns:a16="http://schemas.microsoft.com/office/drawing/2014/main" id="{81B30FDD-59F5-7A7C-4891-5F1475E1CD0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5095     ">
          <a:extLst xmlns:a="http://schemas.openxmlformats.org/drawingml/2006/main">
            <a:ext uri="{FF2B5EF4-FFF2-40B4-BE49-F238E27FC236}">
              <a16:creationId xmlns:a16="http://schemas.microsoft.com/office/drawing/2014/main" id="{EA75C321-013B-9151-5CE0-05DA5BDC72A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5095    ">
          <a:extLst xmlns:a="http://schemas.openxmlformats.org/drawingml/2006/main">
            <a:ext uri="{FF2B5EF4-FFF2-40B4-BE49-F238E27FC236}">
              <a16:creationId xmlns:a16="http://schemas.microsoft.com/office/drawing/2014/main" id="{759B5FC9-D8E8-4CF9-BE5D-74197157D7F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5095   ">
          <a:extLst xmlns:a="http://schemas.openxmlformats.org/drawingml/2006/main">
            <a:ext uri="{FF2B5EF4-FFF2-40B4-BE49-F238E27FC236}">
              <a16:creationId xmlns:a16="http://schemas.microsoft.com/office/drawing/2014/main" id="{A40032AD-BC1E-953E-A39A-E14DE481572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5095  ">
          <a:extLst xmlns:a="http://schemas.openxmlformats.org/drawingml/2006/main">
            <a:ext uri="{FF2B5EF4-FFF2-40B4-BE49-F238E27FC236}">
              <a16:creationId xmlns:a16="http://schemas.microsoft.com/office/drawing/2014/main" id="{48C3E9B9-C3E9-466D-AE07-5AE8FAAB426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5095 ">
          <a:extLst xmlns:a="http://schemas.openxmlformats.org/drawingml/2006/main">
            <a:ext uri="{FF2B5EF4-FFF2-40B4-BE49-F238E27FC236}">
              <a16:creationId xmlns:a16="http://schemas.microsoft.com/office/drawing/2014/main" id="{AB0DDF0E-8D17-EF33-BCBD-D8237FD5AF2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8.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29800          ">
          <a:extLst xmlns:a="http://schemas.openxmlformats.org/drawingml/2006/main">
            <a:ext uri="{FF2B5EF4-FFF2-40B4-BE49-F238E27FC236}">
              <a16:creationId xmlns:a16="http://schemas.microsoft.com/office/drawing/2014/main" id="{88D11E68-0A23-41DE-D160-0A71C316A55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29800         ">
          <a:extLst xmlns:a="http://schemas.openxmlformats.org/drawingml/2006/main">
            <a:ext uri="{FF2B5EF4-FFF2-40B4-BE49-F238E27FC236}">
              <a16:creationId xmlns:a16="http://schemas.microsoft.com/office/drawing/2014/main" id="{46BDA201-4D01-B26D-1605-4F2AFCDD5B5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29800        ">
          <a:extLst xmlns:a="http://schemas.openxmlformats.org/drawingml/2006/main">
            <a:ext uri="{FF2B5EF4-FFF2-40B4-BE49-F238E27FC236}">
              <a16:creationId xmlns:a16="http://schemas.microsoft.com/office/drawing/2014/main" id="{9D03E31B-BA69-BC37-E51E-7BC77AB3690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29800       ">
          <a:extLst xmlns:a="http://schemas.openxmlformats.org/drawingml/2006/main">
            <a:ext uri="{FF2B5EF4-FFF2-40B4-BE49-F238E27FC236}">
              <a16:creationId xmlns:a16="http://schemas.microsoft.com/office/drawing/2014/main" id="{2D69C661-ABBC-22D6-AE60-A2FCA21D7ACF}"/>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29800      ">
          <a:extLst xmlns:a="http://schemas.openxmlformats.org/drawingml/2006/main">
            <a:ext uri="{FF2B5EF4-FFF2-40B4-BE49-F238E27FC236}">
              <a16:creationId xmlns:a16="http://schemas.microsoft.com/office/drawing/2014/main" id="{E7CF2016-9644-6A13-8DD1-E34C3F874AC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29800     ">
          <a:extLst xmlns:a="http://schemas.openxmlformats.org/drawingml/2006/main">
            <a:ext uri="{FF2B5EF4-FFF2-40B4-BE49-F238E27FC236}">
              <a16:creationId xmlns:a16="http://schemas.microsoft.com/office/drawing/2014/main" id="{16EA75DD-A036-AEEE-DECB-66041962DB10}"/>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29800    ">
          <a:extLst xmlns:a="http://schemas.openxmlformats.org/drawingml/2006/main">
            <a:ext uri="{FF2B5EF4-FFF2-40B4-BE49-F238E27FC236}">
              <a16:creationId xmlns:a16="http://schemas.microsoft.com/office/drawing/2014/main" id="{81E54DFD-B8FA-33DB-D4A9-86CC8376E41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29800   ">
          <a:extLst xmlns:a="http://schemas.openxmlformats.org/drawingml/2006/main">
            <a:ext uri="{FF2B5EF4-FFF2-40B4-BE49-F238E27FC236}">
              <a16:creationId xmlns:a16="http://schemas.microsoft.com/office/drawing/2014/main" id="{5E74D742-6C78-1820-18BD-0507250EC26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29800  ">
          <a:extLst xmlns:a="http://schemas.openxmlformats.org/drawingml/2006/main">
            <a:ext uri="{FF2B5EF4-FFF2-40B4-BE49-F238E27FC236}">
              <a16:creationId xmlns:a16="http://schemas.microsoft.com/office/drawing/2014/main" id="{2E20EC7B-3912-C23E-5ADD-05944140B41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29800 ">
          <a:extLst xmlns:a="http://schemas.openxmlformats.org/drawingml/2006/main">
            <a:ext uri="{FF2B5EF4-FFF2-40B4-BE49-F238E27FC236}">
              <a16:creationId xmlns:a16="http://schemas.microsoft.com/office/drawing/2014/main" id="{6DFF08ED-8E50-EF26-32B4-FB469F183D4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80.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31330          ">
          <a:extLst xmlns:a="http://schemas.openxmlformats.org/drawingml/2006/main">
            <a:ext uri="{FF2B5EF4-FFF2-40B4-BE49-F238E27FC236}">
              <a16:creationId xmlns:a16="http://schemas.microsoft.com/office/drawing/2014/main" id="{2AA82107-41A7-6A2F-FDCB-8EBF625F1A6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31330         ">
          <a:extLst xmlns:a="http://schemas.openxmlformats.org/drawingml/2006/main">
            <a:ext uri="{FF2B5EF4-FFF2-40B4-BE49-F238E27FC236}">
              <a16:creationId xmlns:a16="http://schemas.microsoft.com/office/drawing/2014/main" id="{3B042C3E-41C2-9599-E5A0-2103615B9F3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31330        ">
          <a:extLst xmlns:a="http://schemas.openxmlformats.org/drawingml/2006/main">
            <a:ext uri="{FF2B5EF4-FFF2-40B4-BE49-F238E27FC236}">
              <a16:creationId xmlns:a16="http://schemas.microsoft.com/office/drawing/2014/main" id="{0B1FDA5F-11E9-47A7-7311-CADC3C8CF6E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31330       ">
          <a:extLst xmlns:a="http://schemas.openxmlformats.org/drawingml/2006/main">
            <a:ext uri="{FF2B5EF4-FFF2-40B4-BE49-F238E27FC236}">
              <a16:creationId xmlns:a16="http://schemas.microsoft.com/office/drawing/2014/main" id="{42FDD085-BE0B-94A3-D81A-2A767756621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31330      ">
          <a:extLst xmlns:a="http://schemas.openxmlformats.org/drawingml/2006/main">
            <a:ext uri="{FF2B5EF4-FFF2-40B4-BE49-F238E27FC236}">
              <a16:creationId xmlns:a16="http://schemas.microsoft.com/office/drawing/2014/main" id="{DFD365A7-E637-7FD6-BAC8-BE488622AD4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31330     ">
          <a:extLst xmlns:a="http://schemas.openxmlformats.org/drawingml/2006/main">
            <a:ext uri="{FF2B5EF4-FFF2-40B4-BE49-F238E27FC236}">
              <a16:creationId xmlns:a16="http://schemas.microsoft.com/office/drawing/2014/main" id="{5CC20E49-21EC-ECE2-2682-27A4111D524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31330    ">
          <a:extLst xmlns:a="http://schemas.openxmlformats.org/drawingml/2006/main">
            <a:ext uri="{FF2B5EF4-FFF2-40B4-BE49-F238E27FC236}">
              <a16:creationId xmlns:a16="http://schemas.microsoft.com/office/drawing/2014/main" id="{2959019F-EDE0-25B0-1BFA-FAF99AB257D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31330   ">
          <a:extLst xmlns:a="http://schemas.openxmlformats.org/drawingml/2006/main">
            <a:ext uri="{FF2B5EF4-FFF2-40B4-BE49-F238E27FC236}">
              <a16:creationId xmlns:a16="http://schemas.microsoft.com/office/drawing/2014/main" id="{858CE63D-C28F-7AB2-2006-B4B7295D08F0}"/>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31330  ">
          <a:extLst xmlns:a="http://schemas.openxmlformats.org/drawingml/2006/main">
            <a:ext uri="{FF2B5EF4-FFF2-40B4-BE49-F238E27FC236}">
              <a16:creationId xmlns:a16="http://schemas.microsoft.com/office/drawing/2014/main" id="{590A72AF-4211-F022-85F3-150465BDDA7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31330 ">
          <a:extLst xmlns:a="http://schemas.openxmlformats.org/drawingml/2006/main">
            <a:ext uri="{FF2B5EF4-FFF2-40B4-BE49-F238E27FC236}">
              <a16:creationId xmlns:a16="http://schemas.microsoft.com/office/drawing/2014/main" id="{AB83B232-D1DF-E0DD-D6A5-B16ABD78999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81.xml><?xml version="1.0" encoding="utf-8"?>
<c:userShapes xmlns:c="http://schemas.openxmlformats.org/drawingml/2006/chart">
  <cdr:relSizeAnchor xmlns:cdr="http://schemas.openxmlformats.org/drawingml/2006/chartDrawing">
    <cdr:from>
      <cdr:x>0.08158</cdr:x>
      <cdr:y>0.46195</cdr:y>
    </cdr:from>
    <cdr:to>
      <cdr:x>0.91842</cdr:x>
      <cdr:y>0.66195</cdr:y>
    </cdr:to>
    <cdr:sp macro="objClick" textlink="">
      <cdr:nvSpPr>
        <cdr:cNvPr id="2" name="gwm_682          ">
          <a:extLst xmlns:a="http://schemas.openxmlformats.org/drawingml/2006/main">
            <a:ext uri="{FF2B5EF4-FFF2-40B4-BE49-F238E27FC236}">
              <a16:creationId xmlns:a16="http://schemas.microsoft.com/office/drawing/2014/main" id="{E2D274B8-A192-6B46-ACF6-16B59AB47031}"/>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3" name="gwm_682         ">
          <a:extLst xmlns:a="http://schemas.openxmlformats.org/drawingml/2006/main">
            <a:ext uri="{FF2B5EF4-FFF2-40B4-BE49-F238E27FC236}">
              <a16:creationId xmlns:a16="http://schemas.microsoft.com/office/drawing/2014/main" id="{ACD70085-EF5A-9F4D-D03B-0D576B3C9495}"/>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4" name="gwm_682        ">
          <a:extLst xmlns:a="http://schemas.openxmlformats.org/drawingml/2006/main">
            <a:ext uri="{FF2B5EF4-FFF2-40B4-BE49-F238E27FC236}">
              <a16:creationId xmlns:a16="http://schemas.microsoft.com/office/drawing/2014/main" id="{368915E9-8DCF-BE89-80D6-50AF5E80722E}"/>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5" name="gwm_682       ">
          <a:extLst xmlns:a="http://schemas.openxmlformats.org/drawingml/2006/main">
            <a:ext uri="{FF2B5EF4-FFF2-40B4-BE49-F238E27FC236}">
              <a16:creationId xmlns:a16="http://schemas.microsoft.com/office/drawing/2014/main" id="{1673B360-EF5D-1C95-D503-A409DEA0A422}"/>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6" name="gwm_682      ">
          <a:extLst xmlns:a="http://schemas.openxmlformats.org/drawingml/2006/main">
            <a:ext uri="{FF2B5EF4-FFF2-40B4-BE49-F238E27FC236}">
              <a16:creationId xmlns:a16="http://schemas.microsoft.com/office/drawing/2014/main" id="{029BA198-FBDB-9671-0DC6-63245F550AB7}"/>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7" name="gwm_682     ">
          <a:extLst xmlns:a="http://schemas.openxmlformats.org/drawingml/2006/main">
            <a:ext uri="{FF2B5EF4-FFF2-40B4-BE49-F238E27FC236}">
              <a16:creationId xmlns:a16="http://schemas.microsoft.com/office/drawing/2014/main" id="{DCFF6D6E-9458-79FA-8143-9481F59140D0}"/>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8" name="gwm_682    ">
          <a:extLst xmlns:a="http://schemas.openxmlformats.org/drawingml/2006/main">
            <a:ext uri="{FF2B5EF4-FFF2-40B4-BE49-F238E27FC236}">
              <a16:creationId xmlns:a16="http://schemas.microsoft.com/office/drawing/2014/main" id="{3185F254-FBEB-E1B2-271B-E7294DA792AC}"/>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9" name="gwm_682   ">
          <a:extLst xmlns:a="http://schemas.openxmlformats.org/drawingml/2006/main">
            <a:ext uri="{FF2B5EF4-FFF2-40B4-BE49-F238E27FC236}">
              <a16:creationId xmlns:a16="http://schemas.microsoft.com/office/drawing/2014/main" id="{512C327A-2F39-DC23-7E8C-88C382B0B2BC}"/>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0" name="gwm_682  ">
          <a:extLst xmlns:a="http://schemas.openxmlformats.org/drawingml/2006/main">
            <a:ext uri="{FF2B5EF4-FFF2-40B4-BE49-F238E27FC236}">
              <a16:creationId xmlns:a16="http://schemas.microsoft.com/office/drawing/2014/main" id="{46CD5E45-9C75-B0AB-5B2B-5533BD25DBF2}"/>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1" name="gwm_682 ">
          <a:extLst xmlns:a="http://schemas.openxmlformats.org/drawingml/2006/main">
            <a:ext uri="{FF2B5EF4-FFF2-40B4-BE49-F238E27FC236}">
              <a16:creationId xmlns:a16="http://schemas.microsoft.com/office/drawing/2014/main" id="{DF49AF37-32EE-6086-F167-AF7350845C80}"/>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82.xml><?xml version="1.0" encoding="utf-8"?>
<xdr:wsDr xmlns:xdr="http://schemas.openxmlformats.org/drawingml/2006/spreadsheetDrawing" xmlns:a="http://schemas.openxmlformats.org/drawingml/2006/main">
  <xdr:twoCellAnchor editAs="oneCell">
    <xdr:from>
      <xdr:col>0</xdr:col>
      <xdr:colOff>12700</xdr:colOff>
      <xdr:row>16</xdr:row>
      <xdr:rowOff>0</xdr:rowOff>
    </xdr:from>
    <xdr:to>
      <xdr:col>4</xdr:col>
      <xdr:colOff>590550</xdr:colOff>
      <xdr:row>32</xdr:row>
      <xdr:rowOff>127000</xdr:rowOff>
    </xdr:to>
    <xdr:graphicFrame macro="">
      <xdr:nvGraphicFramePr>
        <xdr:cNvPr id="2" name="Chart 1">
          <a:extLst>
            <a:ext uri="{FF2B5EF4-FFF2-40B4-BE49-F238E27FC236}">
              <a16:creationId xmlns:a16="http://schemas.microsoft.com/office/drawing/2014/main" id="{EAD19E58-8B6D-D620-ACFA-6BAA128E46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xdr:colOff>
      <xdr:row>37</xdr:row>
      <xdr:rowOff>0</xdr:rowOff>
    </xdr:from>
    <xdr:to>
      <xdr:col>4</xdr:col>
      <xdr:colOff>590550</xdr:colOff>
      <xdr:row>53</xdr:row>
      <xdr:rowOff>127000</xdr:rowOff>
    </xdr:to>
    <xdr:graphicFrame macro="">
      <xdr:nvGraphicFramePr>
        <xdr:cNvPr id="3" name="Chart 2">
          <a:extLst>
            <a:ext uri="{FF2B5EF4-FFF2-40B4-BE49-F238E27FC236}">
              <a16:creationId xmlns:a16="http://schemas.microsoft.com/office/drawing/2014/main" id="{0DDC8EDB-2B86-0CF2-9B1F-E717A2C26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12700</xdr:colOff>
      <xdr:row>58</xdr:row>
      <xdr:rowOff>0</xdr:rowOff>
    </xdr:from>
    <xdr:to>
      <xdr:col>4</xdr:col>
      <xdr:colOff>590550</xdr:colOff>
      <xdr:row>74</xdr:row>
      <xdr:rowOff>127000</xdr:rowOff>
    </xdr:to>
    <xdr:graphicFrame macro="">
      <xdr:nvGraphicFramePr>
        <xdr:cNvPr id="4" name="Chart 3">
          <a:extLst>
            <a:ext uri="{FF2B5EF4-FFF2-40B4-BE49-F238E27FC236}">
              <a16:creationId xmlns:a16="http://schemas.microsoft.com/office/drawing/2014/main" id="{1496D055-4DF2-FCC4-B894-87AF74149B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79</xdr:row>
      <xdr:rowOff>0</xdr:rowOff>
    </xdr:from>
    <xdr:to>
      <xdr:col>4</xdr:col>
      <xdr:colOff>590550</xdr:colOff>
      <xdr:row>95</xdr:row>
      <xdr:rowOff>127000</xdr:rowOff>
    </xdr:to>
    <xdr:graphicFrame macro="">
      <xdr:nvGraphicFramePr>
        <xdr:cNvPr id="5" name="Chart 4">
          <a:extLst>
            <a:ext uri="{FF2B5EF4-FFF2-40B4-BE49-F238E27FC236}">
              <a16:creationId xmlns:a16="http://schemas.microsoft.com/office/drawing/2014/main" id="{E75F2939-C5A8-0F16-BD15-BF441A4BB2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12700</xdr:colOff>
      <xdr:row>100</xdr:row>
      <xdr:rowOff>0</xdr:rowOff>
    </xdr:from>
    <xdr:to>
      <xdr:col>4</xdr:col>
      <xdr:colOff>590550</xdr:colOff>
      <xdr:row>116</xdr:row>
      <xdr:rowOff>127000</xdr:rowOff>
    </xdr:to>
    <xdr:graphicFrame macro="">
      <xdr:nvGraphicFramePr>
        <xdr:cNvPr id="6" name="Chart 5">
          <a:extLst>
            <a:ext uri="{FF2B5EF4-FFF2-40B4-BE49-F238E27FC236}">
              <a16:creationId xmlns:a16="http://schemas.microsoft.com/office/drawing/2014/main" id="{C97A4EB7-802F-C0BF-CD8C-980A59C1F0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12700</xdr:colOff>
      <xdr:row>121</xdr:row>
      <xdr:rowOff>0</xdr:rowOff>
    </xdr:from>
    <xdr:to>
      <xdr:col>4</xdr:col>
      <xdr:colOff>590550</xdr:colOff>
      <xdr:row>137</xdr:row>
      <xdr:rowOff>127000</xdr:rowOff>
    </xdr:to>
    <xdr:graphicFrame macro="">
      <xdr:nvGraphicFramePr>
        <xdr:cNvPr id="7" name="Chart 6">
          <a:extLst>
            <a:ext uri="{FF2B5EF4-FFF2-40B4-BE49-F238E27FC236}">
              <a16:creationId xmlns:a16="http://schemas.microsoft.com/office/drawing/2014/main" id="{80650A01-BDF6-7355-DF30-C65D1A5400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3.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29912          ">
          <a:extLst xmlns:a="http://schemas.openxmlformats.org/drawingml/2006/main">
            <a:ext uri="{FF2B5EF4-FFF2-40B4-BE49-F238E27FC236}">
              <a16:creationId xmlns:a16="http://schemas.microsoft.com/office/drawing/2014/main" id="{6BFDE0D1-C497-C1B0-171E-B5F8BC24391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29912         ">
          <a:extLst xmlns:a="http://schemas.openxmlformats.org/drawingml/2006/main">
            <a:ext uri="{FF2B5EF4-FFF2-40B4-BE49-F238E27FC236}">
              <a16:creationId xmlns:a16="http://schemas.microsoft.com/office/drawing/2014/main" id="{80552A72-6C88-6CFA-6E5B-AC87CDFDEAD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29912        ">
          <a:extLst xmlns:a="http://schemas.openxmlformats.org/drawingml/2006/main">
            <a:ext uri="{FF2B5EF4-FFF2-40B4-BE49-F238E27FC236}">
              <a16:creationId xmlns:a16="http://schemas.microsoft.com/office/drawing/2014/main" id="{371D7549-71B6-E9F1-4B87-FD394E79D64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29912       ">
          <a:extLst xmlns:a="http://schemas.openxmlformats.org/drawingml/2006/main">
            <a:ext uri="{FF2B5EF4-FFF2-40B4-BE49-F238E27FC236}">
              <a16:creationId xmlns:a16="http://schemas.microsoft.com/office/drawing/2014/main" id="{C9C9CAA9-6B69-60CE-C666-7635ED5E509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29912      ">
          <a:extLst xmlns:a="http://schemas.openxmlformats.org/drawingml/2006/main">
            <a:ext uri="{FF2B5EF4-FFF2-40B4-BE49-F238E27FC236}">
              <a16:creationId xmlns:a16="http://schemas.microsoft.com/office/drawing/2014/main" id="{E6559D68-88DD-067C-B4A4-84D53EFA918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29912     ">
          <a:extLst xmlns:a="http://schemas.openxmlformats.org/drawingml/2006/main">
            <a:ext uri="{FF2B5EF4-FFF2-40B4-BE49-F238E27FC236}">
              <a16:creationId xmlns:a16="http://schemas.microsoft.com/office/drawing/2014/main" id="{A6D9906B-2722-1946-3268-3DF9B28EDCD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29912    ">
          <a:extLst xmlns:a="http://schemas.openxmlformats.org/drawingml/2006/main">
            <a:ext uri="{FF2B5EF4-FFF2-40B4-BE49-F238E27FC236}">
              <a16:creationId xmlns:a16="http://schemas.microsoft.com/office/drawing/2014/main" id="{521F0C0A-6411-F0A9-168D-06F20F90509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29912   ">
          <a:extLst xmlns:a="http://schemas.openxmlformats.org/drawingml/2006/main">
            <a:ext uri="{FF2B5EF4-FFF2-40B4-BE49-F238E27FC236}">
              <a16:creationId xmlns:a16="http://schemas.microsoft.com/office/drawing/2014/main" id="{E90C5FC3-AA3E-B02B-1900-1CEBB7F4BFD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29912  ">
          <a:extLst xmlns:a="http://schemas.openxmlformats.org/drawingml/2006/main">
            <a:ext uri="{FF2B5EF4-FFF2-40B4-BE49-F238E27FC236}">
              <a16:creationId xmlns:a16="http://schemas.microsoft.com/office/drawing/2014/main" id="{58240CA2-6A45-BC52-4647-E4916DB6A2CB}"/>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29912 ">
          <a:extLst xmlns:a="http://schemas.openxmlformats.org/drawingml/2006/main">
            <a:ext uri="{FF2B5EF4-FFF2-40B4-BE49-F238E27FC236}">
              <a16:creationId xmlns:a16="http://schemas.microsoft.com/office/drawing/2014/main" id="{496E4EEA-5BDF-DE56-4D08-2E263082E67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84.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7223          ">
          <a:extLst xmlns:a="http://schemas.openxmlformats.org/drawingml/2006/main">
            <a:ext uri="{FF2B5EF4-FFF2-40B4-BE49-F238E27FC236}">
              <a16:creationId xmlns:a16="http://schemas.microsoft.com/office/drawing/2014/main" id="{B2502A16-7B30-D6D1-6799-09771732F54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7223         ">
          <a:extLst xmlns:a="http://schemas.openxmlformats.org/drawingml/2006/main">
            <a:ext uri="{FF2B5EF4-FFF2-40B4-BE49-F238E27FC236}">
              <a16:creationId xmlns:a16="http://schemas.microsoft.com/office/drawing/2014/main" id="{35DF0F3A-B694-0C17-0ADA-F10A50085CB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7223        ">
          <a:extLst xmlns:a="http://schemas.openxmlformats.org/drawingml/2006/main">
            <a:ext uri="{FF2B5EF4-FFF2-40B4-BE49-F238E27FC236}">
              <a16:creationId xmlns:a16="http://schemas.microsoft.com/office/drawing/2014/main" id="{DCD21FE1-CD81-E196-E084-DFB4A59F2A0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7223       ">
          <a:extLst xmlns:a="http://schemas.openxmlformats.org/drawingml/2006/main">
            <a:ext uri="{FF2B5EF4-FFF2-40B4-BE49-F238E27FC236}">
              <a16:creationId xmlns:a16="http://schemas.microsoft.com/office/drawing/2014/main" id="{E6ADB2B1-A6F9-A696-3D24-D441AA97E8D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7223      ">
          <a:extLst xmlns:a="http://schemas.openxmlformats.org/drawingml/2006/main">
            <a:ext uri="{FF2B5EF4-FFF2-40B4-BE49-F238E27FC236}">
              <a16:creationId xmlns:a16="http://schemas.microsoft.com/office/drawing/2014/main" id="{36411D17-9030-8C11-11AE-0B5D3F28430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7223     ">
          <a:extLst xmlns:a="http://schemas.openxmlformats.org/drawingml/2006/main">
            <a:ext uri="{FF2B5EF4-FFF2-40B4-BE49-F238E27FC236}">
              <a16:creationId xmlns:a16="http://schemas.microsoft.com/office/drawing/2014/main" id="{952CB903-D630-495A-CB28-BD8191FD280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7223    ">
          <a:extLst xmlns:a="http://schemas.openxmlformats.org/drawingml/2006/main">
            <a:ext uri="{FF2B5EF4-FFF2-40B4-BE49-F238E27FC236}">
              <a16:creationId xmlns:a16="http://schemas.microsoft.com/office/drawing/2014/main" id="{FE543639-F23D-51A0-83D9-D62AF56057B0}"/>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7223   ">
          <a:extLst xmlns:a="http://schemas.openxmlformats.org/drawingml/2006/main">
            <a:ext uri="{FF2B5EF4-FFF2-40B4-BE49-F238E27FC236}">
              <a16:creationId xmlns:a16="http://schemas.microsoft.com/office/drawing/2014/main" id="{8EB7EFA9-C8CC-03CA-9843-62EE2ABF484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7223  ">
          <a:extLst xmlns:a="http://schemas.openxmlformats.org/drawingml/2006/main">
            <a:ext uri="{FF2B5EF4-FFF2-40B4-BE49-F238E27FC236}">
              <a16:creationId xmlns:a16="http://schemas.microsoft.com/office/drawing/2014/main" id="{D9DEDA9D-8959-15FF-152A-59BA48713DE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7223 ">
          <a:extLst xmlns:a="http://schemas.openxmlformats.org/drawingml/2006/main">
            <a:ext uri="{FF2B5EF4-FFF2-40B4-BE49-F238E27FC236}">
              <a16:creationId xmlns:a16="http://schemas.microsoft.com/office/drawing/2014/main" id="{2FF1FEB6-84AC-899D-4B0E-6C692822D3EC}"/>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85.xml><?xml version="1.0" encoding="utf-8"?>
<c:userShapes xmlns:c="http://schemas.openxmlformats.org/drawingml/2006/chart">
  <cdr:relSizeAnchor xmlns:cdr="http://schemas.openxmlformats.org/drawingml/2006/chartDrawing">
    <cdr:from>
      <cdr:x>0.08158</cdr:x>
      <cdr:y>0.46195</cdr:y>
    </cdr:from>
    <cdr:to>
      <cdr:x>0.91842</cdr:x>
      <cdr:y>0.66195</cdr:y>
    </cdr:to>
    <cdr:sp macro="objClick" textlink="">
      <cdr:nvSpPr>
        <cdr:cNvPr id="2" name="gwm_22019          ">
          <a:extLst xmlns:a="http://schemas.openxmlformats.org/drawingml/2006/main">
            <a:ext uri="{FF2B5EF4-FFF2-40B4-BE49-F238E27FC236}">
              <a16:creationId xmlns:a16="http://schemas.microsoft.com/office/drawing/2014/main" id="{CF729B3D-7A45-141C-D182-6C7408458090}"/>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3" name="gwm_22019         ">
          <a:extLst xmlns:a="http://schemas.openxmlformats.org/drawingml/2006/main">
            <a:ext uri="{FF2B5EF4-FFF2-40B4-BE49-F238E27FC236}">
              <a16:creationId xmlns:a16="http://schemas.microsoft.com/office/drawing/2014/main" id="{47CEEF1D-B14C-D37E-60F2-849BA302AF15}"/>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4" name="gwm_22019        ">
          <a:extLst xmlns:a="http://schemas.openxmlformats.org/drawingml/2006/main">
            <a:ext uri="{FF2B5EF4-FFF2-40B4-BE49-F238E27FC236}">
              <a16:creationId xmlns:a16="http://schemas.microsoft.com/office/drawing/2014/main" id="{F3F12784-E878-7963-31F6-EF19283EE366}"/>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5" name="gwm_22019       ">
          <a:extLst xmlns:a="http://schemas.openxmlformats.org/drawingml/2006/main">
            <a:ext uri="{FF2B5EF4-FFF2-40B4-BE49-F238E27FC236}">
              <a16:creationId xmlns:a16="http://schemas.microsoft.com/office/drawing/2014/main" id="{974BCDFC-6F14-5CD3-F023-78C8602896FC}"/>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6" name="gwm_22019      ">
          <a:extLst xmlns:a="http://schemas.openxmlformats.org/drawingml/2006/main">
            <a:ext uri="{FF2B5EF4-FFF2-40B4-BE49-F238E27FC236}">
              <a16:creationId xmlns:a16="http://schemas.microsoft.com/office/drawing/2014/main" id="{16061715-BF01-D04E-5B26-CD2E805165C5}"/>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7" name="gwm_22019     ">
          <a:extLst xmlns:a="http://schemas.openxmlformats.org/drawingml/2006/main">
            <a:ext uri="{FF2B5EF4-FFF2-40B4-BE49-F238E27FC236}">
              <a16:creationId xmlns:a16="http://schemas.microsoft.com/office/drawing/2014/main" id="{67CFA937-A9E6-A0AF-A095-E060AC731E54}"/>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8" name="gwm_22019    ">
          <a:extLst xmlns:a="http://schemas.openxmlformats.org/drawingml/2006/main">
            <a:ext uri="{FF2B5EF4-FFF2-40B4-BE49-F238E27FC236}">
              <a16:creationId xmlns:a16="http://schemas.microsoft.com/office/drawing/2014/main" id="{5E6E68E3-5E34-C732-1F72-5C944D2D3F48}"/>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9" name="gwm_22019   ">
          <a:extLst xmlns:a="http://schemas.openxmlformats.org/drawingml/2006/main">
            <a:ext uri="{FF2B5EF4-FFF2-40B4-BE49-F238E27FC236}">
              <a16:creationId xmlns:a16="http://schemas.microsoft.com/office/drawing/2014/main" id="{A62DA088-49EC-0374-2B9F-41C55F7C5E48}"/>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0" name="gwm_22019  ">
          <a:extLst xmlns:a="http://schemas.openxmlformats.org/drawingml/2006/main">
            <a:ext uri="{FF2B5EF4-FFF2-40B4-BE49-F238E27FC236}">
              <a16:creationId xmlns:a16="http://schemas.microsoft.com/office/drawing/2014/main" id="{A7B23356-B3AD-8F73-34CA-20AE3E0614CD}"/>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1" name="gwm_22019 ">
          <a:extLst xmlns:a="http://schemas.openxmlformats.org/drawingml/2006/main">
            <a:ext uri="{FF2B5EF4-FFF2-40B4-BE49-F238E27FC236}">
              <a16:creationId xmlns:a16="http://schemas.microsoft.com/office/drawing/2014/main" id="{D93023E8-61B8-F63D-D462-58C03339B95E}"/>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86.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12895          ">
          <a:extLst xmlns:a="http://schemas.openxmlformats.org/drawingml/2006/main">
            <a:ext uri="{FF2B5EF4-FFF2-40B4-BE49-F238E27FC236}">
              <a16:creationId xmlns:a16="http://schemas.microsoft.com/office/drawing/2014/main" id="{09B98374-8B92-B036-A85A-D2E0671FDFF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12895         ">
          <a:extLst xmlns:a="http://schemas.openxmlformats.org/drawingml/2006/main">
            <a:ext uri="{FF2B5EF4-FFF2-40B4-BE49-F238E27FC236}">
              <a16:creationId xmlns:a16="http://schemas.microsoft.com/office/drawing/2014/main" id="{0E4D7F2B-4582-5E43-A0A2-1446D01F7AE0}"/>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12895        ">
          <a:extLst xmlns:a="http://schemas.openxmlformats.org/drawingml/2006/main">
            <a:ext uri="{FF2B5EF4-FFF2-40B4-BE49-F238E27FC236}">
              <a16:creationId xmlns:a16="http://schemas.microsoft.com/office/drawing/2014/main" id="{59E35747-CE40-62D3-B273-A6C533BF894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12895       ">
          <a:extLst xmlns:a="http://schemas.openxmlformats.org/drawingml/2006/main">
            <a:ext uri="{FF2B5EF4-FFF2-40B4-BE49-F238E27FC236}">
              <a16:creationId xmlns:a16="http://schemas.microsoft.com/office/drawing/2014/main" id="{549A270B-D922-B90E-677C-9AC6CA07D2F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12895      ">
          <a:extLst xmlns:a="http://schemas.openxmlformats.org/drawingml/2006/main">
            <a:ext uri="{FF2B5EF4-FFF2-40B4-BE49-F238E27FC236}">
              <a16:creationId xmlns:a16="http://schemas.microsoft.com/office/drawing/2014/main" id="{B0562864-028B-8C31-2780-4C3797D765B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12895     ">
          <a:extLst xmlns:a="http://schemas.openxmlformats.org/drawingml/2006/main">
            <a:ext uri="{FF2B5EF4-FFF2-40B4-BE49-F238E27FC236}">
              <a16:creationId xmlns:a16="http://schemas.microsoft.com/office/drawing/2014/main" id="{7B17836C-B168-4409-B696-9609FEAD57D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12895    ">
          <a:extLst xmlns:a="http://schemas.openxmlformats.org/drawingml/2006/main">
            <a:ext uri="{FF2B5EF4-FFF2-40B4-BE49-F238E27FC236}">
              <a16:creationId xmlns:a16="http://schemas.microsoft.com/office/drawing/2014/main" id="{D1FA0C3B-DE58-0BEB-03D6-B6B00B46C27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12895   ">
          <a:extLst xmlns:a="http://schemas.openxmlformats.org/drawingml/2006/main">
            <a:ext uri="{FF2B5EF4-FFF2-40B4-BE49-F238E27FC236}">
              <a16:creationId xmlns:a16="http://schemas.microsoft.com/office/drawing/2014/main" id="{A0D0116E-F6AD-7952-38FD-53FABE7EE68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12895  ">
          <a:extLst xmlns:a="http://schemas.openxmlformats.org/drawingml/2006/main">
            <a:ext uri="{FF2B5EF4-FFF2-40B4-BE49-F238E27FC236}">
              <a16:creationId xmlns:a16="http://schemas.microsoft.com/office/drawing/2014/main" id="{9B9D21D1-0DA4-4688-2B70-B1518090723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12895 ">
          <a:extLst xmlns:a="http://schemas.openxmlformats.org/drawingml/2006/main">
            <a:ext uri="{FF2B5EF4-FFF2-40B4-BE49-F238E27FC236}">
              <a16:creationId xmlns:a16="http://schemas.microsoft.com/office/drawing/2014/main" id="{474437DF-8F6A-0C62-07A0-0D29EF8DC7BC}"/>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87.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14097          ">
          <a:extLst xmlns:a="http://schemas.openxmlformats.org/drawingml/2006/main">
            <a:ext uri="{FF2B5EF4-FFF2-40B4-BE49-F238E27FC236}">
              <a16:creationId xmlns:a16="http://schemas.microsoft.com/office/drawing/2014/main" id="{3A4FC090-4133-C736-06BD-39606CBD48AC}"/>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14097         ">
          <a:extLst xmlns:a="http://schemas.openxmlformats.org/drawingml/2006/main">
            <a:ext uri="{FF2B5EF4-FFF2-40B4-BE49-F238E27FC236}">
              <a16:creationId xmlns:a16="http://schemas.microsoft.com/office/drawing/2014/main" id="{6ED0D792-CE25-0EE9-4F82-8F62F78387B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14097        ">
          <a:extLst xmlns:a="http://schemas.openxmlformats.org/drawingml/2006/main">
            <a:ext uri="{FF2B5EF4-FFF2-40B4-BE49-F238E27FC236}">
              <a16:creationId xmlns:a16="http://schemas.microsoft.com/office/drawing/2014/main" id="{3D3E2DA2-4C37-8617-2BF8-AB8ADEB60070}"/>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14097       ">
          <a:extLst xmlns:a="http://schemas.openxmlformats.org/drawingml/2006/main">
            <a:ext uri="{FF2B5EF4-FFF2-40B4-BE49-F238E27FC236}">
              <a16:creationId xmlns:a16="http://schemas.microsoft.com/office/drawing/2014/main" id="{38244907-C229-0EA3-8446-101E7A3360A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14097      ">
          <a:extLst xmlns:a="http://schemas.openxmlformats.org/drawingml/2006/main">
            <a:ext uri="{FF2B5EF4-FFF2-40B4-BE49-F238E27FC236}">
              <a16:creationId xmlns:a16="http://schemas.microsoft.com/office/drawing/2014/main" id="{16EDFD9F-C960-2C9B-8463-0BF1616EFF5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14097     ">
          <a:extLst xmlns:a="http://schemas.openxmlformats.org/drawingml/2006/main">
            <a:ext uri="{FF2B5EF4-FFF2-40B4-BE49-F238E27FC236}">
              <a16:creationId xmlns:a16="http://schemas.microsoft.com/office/drawing/2014/main" id="{8486151A-E7A0-497D-9398-37FA49CE800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14097    ">
          <a:extLst xmlns:a="http://schemas.openxmlformats.org/drawingml/2006/main">
            <a:ext uri="{FF2B5EF4-FFF2-40B4-BE49-F238E27FC236}">
              <a16:creationId xmlns:a16="http://schemas.microsoft.com/office/drawing/2014/main" id="{C91CDDE0-9473-5374-781F-C974560CD6A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14097   ">
          <a:extLst xmlns:a="http://schemas.openxmlformats.org/drawingml/2006/main">
            <a:ext uri="{FF2B5EF4-FFF2-40B4-BE49-F238E27FC236}">
              <a16:creationId xmlns:a16="http://schemas.microsoft.com/office/drawing/2014/main" id="{F67E9BE2-6124-7287-33BE-B739846ECCBB}"/>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14097  ">
          <a:extLst xmlns:a="http://schemas.openxmlformats.org/drawingml/2006/main">
            <a:ext uri="{FF2B5EF4-FFF2-40B4-BE49-F238E27FC236}">
              <a16:creationId xmlns:a16="http://schemas.microsoft.com/office/drawing/2014/main" id="{E0616CDD-6114-AABA-FA5F-955C0EDD670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14097 ">
          <a:extLst xmlns:a="http://schemas.openxmlformats.org/drawingml/2006/main">
            <a:ext uri="{FF2B5EF4-FFF2-40B4-BE49-F238E27FC236}">
              <a16:creationId xmlns:a16="http://schemas.microsoft.com/office/drawing/2014/main" id="{A5A4352B-E679-63BE-484D-3118679A4A4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88.xml><?xml version="1.0" encoding="utf-8"?>
<c:userShapes xmlns:c="http://schemas.openxmlformats.org/drawingml/2006/chart">
  <cdr:relSizeAnchor xmlns:cdr="http://schemas.openxmlformats.org/drawingml/2006/chartDrawing">
    <cdr:from>
      <cdr:x>0.08158</cdr:x>
      <cdr:y>0.46195</cdr:y>
    </cdr:from>
    <cdr:to>
      <cdr:x>0.91842</cdr:x>
      <cdr:y>0.66195</cdr:y>
    </cdr:to>
    <cdr:sp macro="objClick" textlink="">
      <cdr:nvSpPr>
        <cdr:cNvPr id="2" name="gwm_13456          ">
          <a:extLst xmlns:a="http://schemas.openxmlformats.org/drawingml/2006/main">
            <a:ext uri="{FF2B5EF4-FFF2-40B4-BE49-F238E27FC236}">
              <a16:creationId xmlns:a16="http://schemas.microsoft.com/office/drawing/2014/main" id="{8191E4E9-9AAF-756C-543A-F2215A2BA59E}"/>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3" name="gwm_13456         ">
          <a:extLst xmlns:a="http://schemas.openxmlformats.org/drawingml/2006/main">
            <a:ext uri="{FF2B5EF4-FFF2-40B4-BE49-F238E27FC236}">
              <a16:creationId xmlns:a16="http://schemas.microsoft.com/office/drawing/2014/main" id="{7BC88B4B-DDB6-8493-DE05-C23AAFF4DA65}"/>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4" name="gwm_13456        ">
          <a:extLst xmlns:a="http://schemas.openxmlformats.org/drawingml/2006/main">
            <a:ext uri="{FF2B5EF4-FFF2-40B4-BE49-F238E27FC236}">
              <a16:creationId xmlns:a16="http://schemas.microsoft.com/office/drawing/2014/main" id="{9FC230CF-C4DA-FE1D-292A-8A1AC86D34F7}"/>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5" name="gwm_13456       ">
          <a:extLst xmlns:a="http://schemas.openxmlformats.org/drawingml/2006/main">
            <a:ext uri="{FF2B5EF4-FFF2-40B4-BE49-F238E27FC236}">
              <a16:creationId xmlns:a16="http://schemas.microsoft.com/office/drawing/2014/main" id="{4DF5DB7C-6938-9E23-56AE-16F5B50351B9}"/>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6" name="gwm_13456      ">
          <a:extLst xmlns:a="http://schemas.openxmlformats.org/drawingml/2006/main">
            <a:ext uri="{FF2B5EF4-FFF2-40B4-BE49-F238E27FC236}">
              <a16:creationId xmlns:a16="http://schemas.microsoft.com/office/drawing/2014/main" id="{28CC48DC-445A-595E-1D36-D060C51D068A}"/>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7" name="gwm_13456     ">
          <a:extLst xmlns:a="http://schemas.openxmlformats.org/drawingml/2006/main">
            <a:ext uri="{FF2B5EF4-FFF2-40B4-BE49-F238E27FC236}">
              <a16:creationId xmlns:a16="http://schemas.microsoft.com/office/drawing/2014/main" id="{C0025733-7394-7BBF-8486-9A8995907FF7}"/>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8" name="gwm_13456    ">
          <a:extLst xmlns:a="http://schemas.openxmlformats.org/drawingml/2006/main">
            <a:ext uri="{FF2B5EF4-FFF2-40B4-BE49-F238E27FC236}">
              <a16:creationId xmlns:a16="http://schemas.microsoft.com/office/drawing/2014/main" id="{EB5286F1-C62E-5CEB-28FE-4D22F6A8E532}"/>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9" name="gwm_13456   ">
          <a:extLst xmlns:a="http://schemas.openxmlformats.org/drawingml/2006/main">
            <a:ext uri="{FF2B5EF4-FFF2-40B4-BE49-F238E27FC236}">
              <a16:creationId xmlns:a16="http://schemas.microsoft.com/office/drawing/2014/main" id="{7A4B4E23-7F41-68AC-A6F2-78C6D85CED75}"/>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0" name="gwm_13456  ">
          <a:extLst xmlns:a="http://schemas.openxmlformats.org/drawingml/2006/main">
            <a:ext uri="{FF2B5EF4-FFF2-40B4-BE49-F238E27FC236}">
              <a16:creationId xmlns:a16="http://schemas.microsoft.com/office/drawing/2014/main" id="{699C42D4-3314-F986-160C-1C10D8B436C4}"/>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1" name="gwm_13456 ">
          <a:extLst xmlns:a="http://schemas.openxmlformats.org/drawingml/2006/main">
            <a:ext uri="{FF2B5EF4-FFF2-40B4-BE49-F238E27FC236}">
              <a16:creationId xmlns:a16="http://schemas.microsoft.com/office/drawing/2014/main" id="{A343A61E-2907-F4E0-E558-AC097A9EAD73}"/>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89.xml><?xml version="1.0" encoding="utf-8"?>
<xdr:wsDr xmlns:xdr="http://schemas.openxmlformats.org/drawingml/2006/spreadsheetDrawing" xmlns:a="http://schemas.openxmlformats.org/drawingml/2006/main">
  <xdr:twoCellAnchor editAs="oneCell">
    <xdr:from>
      <xdr:col>0</xdr:col>
      <xdr:colOff>12700</xdr:colOff>
      <xdr:row>16</xdr:row>
      <xdr:rowOff>0</xdr:rowOff>
    </xdr:from>
    <xdr:to>
      <xdr:col>3</xdr:col>
      <xdr:colOff>828675</xdr:colOff>
      <xdr:row>32</xdr:row>
      <xdr:rowOff>127000</xdr:rowOff>
    </xdr:to>
    <xdr:graphicFrame macro="">
      <xdr:nvGraphicFramePr>
        <xdr:cNvPr id="2" name="Chart 1">
          <a:extLst>
            <a:ext uri="{FF2B5EF4-FFF2-40B4-BE49-F238E27FC236}">
              <a16:creationId xmlns:a16="http://schemas.microsoft.com/office/drawing/2014/main" id="{D4DC1C51-C58A-7844-6F3B-C24A898C6D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xdr:colOff>
      <xdr:row>37</xdr:row>
      <xdr:rowOff>0</xdr:rowOff>
    </xdr:from>
    <xdr:to>
      <xdr:col>3</xdr:col>
      <xdr:colOff>828675</xdr:colOff>
      <xdr:row>53</xdr:row>
      <xdr:rowOff>127000</xdr:rowOff>
    </xdr:to>
    <xdr:graphicFrame macro="">
      <xdr:nvGraphicFramePr>
        <xdr:cNvPr id="3" name="Chart 2">
          <a:extLst>
            <a:ext uri="{FF2B5EF4-FFF2-40B4-BE49-F238E27FC236}">
              <a16:creationId xmlns:a16="http://schemas.microsoft.com/office/drawing/2014/main" id="{9959ACA6-AB09-413A-271E-C9DDDD5E36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12700</xdr:colOff>
      <xdr:row>58</xdr:row>
      <xdr:rowOff>0</xdr:rowOff>
    </xdr:from>
    <xdr:to>
      <xdr:col>3</xdr:col>
      <xdr:colOff>828675</xdr:colOff>
      <xdr:row>74</xdr:row>
      <xdr:rowOff>127000</xdr:rowOff>
    </xdr:to>
    <xdr:graphicFrame macro="">
      <xdr:nvGraphicFramePr>
        <xdr:cNvPr id="4" name="Chart 3">
          <a:extLst>
            <a:ext uri="{FF2B5EF4-FFF2-40B4-BE49-F238E27FC236}">
              <a16:creationId xmlns:a16="http://schemas.microsoft.com/office/drawing/2014/main" id="{2BC35E7A-6FF7-5F5E-38B0-CF5115ED4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79</xdr:row>
      <xdr:rowOff>0</xdr:rowOff>
    </xdr:from>
    <xdr:to>
      <xdr:col>3</xdr:col>
      <xdr:colOff>828675</xdr:colOff>
      <xdr:row>95</xdr:row>
      <xdr:rowOff>127000</xdr:rowOff>
    </xdr:to>
    <xdr:graphicFrame macro="">
      <xdr:nvGraphicFramePr>
        <xdr:cNvPr id="5" name="Chart 4">
          <a:extLst>
            <a:ext uri="{FF2B5EF4-FFF2-40B4-BE49-F238E27FC236}">
              <a16:creationId xmlns:a16="http://schemas.microsoft.com/office/drawing/2014/main" id="{548E4A5F-8EB6-CE57-8ECC-236479980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12700</xdr:colOff>
      <xdr:row>100</xdr:row>
      <xdr:rowOff>0</xdr:rowOff>
    </xdr:from>
    <xdr:to>
      <xdr:col>3</xdr:col>
      <xdr:colOff>828675</xdr:colOff>
      <xdr:row>116</xdr:row>
      <xdr:rowOff>127000</xdr:rowOff>
    </xdr:to>
    <xdr:graphicFrame macro="">
      <xdr:nvGraphicFramePr>
        <xdr:cNvPr id="6" name="Chart 5">
          <a:extLst>
            <a:ext uri="{FF2B5EF4-FFF2-40B4-BE49-F238E27FC236}">
              <a16:creationId xmlns:a16="http://schemas.microsoft.com/office/drawing/2014/main" id="{8B320DB5-330F-3471-2D0A-055757FBE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12700</xdr:colOff>
      <xdr:row>121</xdr:row>
      <xdr:rowOff>0</xdr:rowOff>
    </xdr:from>
    <xdr:to>
      <xdr:col>3</xdr:col>
      <xdr:colOff>828675</xdr:colOff>
      <xdr:row>137</xdr:row>
      <xdr:rowOff>127000</xdr:rowOff>
    </xdr:to>
    <xdr:graphicFrame macro="">
      <xdr:nvGraphicFramePr>
        <xdr:cNvPr id="7" name="Chart 6">
          <a:extLst>
            <a:ext uri="{FF2B5EF4-FFF2-40B4-BE49-F238E27FC236}">
              <a16:creationId xmlns:a16="http://schemas.microsoft.com/office/drawing/2014/main" id="{BB563DDD-E750-F3EC-EC2A-2A72F63FC7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12699</xdr:colOff>
      <xdr:row>16</xdr:row>
      <xdr:rowOff>0</xdr:rowOff>
    </xdr:from>
    <xdr:to>
      <xdr:col>5</xdr:col>
      <xdr:colOff>800099</xdr:colOff>
      <xdr:row>32</xdr:row>
      <xdr:rowOff>127000</xdr:rowOff>
    </xdr:to>
    <xdr:graphicFrame macro="">
      <xdr:nvGraphicFramePr>
        <xdr:cNvPr id="2" name="Chart 1">
          <a:extLst>
            <a:ext uri="{FF2B5EF4-FFF2-40B4-BE49-F238E27FC236}">
              <a16:creationId xmlns:a16="http://schemas.microsoft.com/office/drawing/2014/main" id="{2A88CBFF-9636-4320-29E1-2E2A21ED4E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12699</xdr:colOff>
      <xdr:row>37</xdr:row>
      <xdr:rowOff>0</xdr:rowOff>
    </xdr:from>
    <xdr:to>
      <xdr:col>5</xdr:col>
      <xdr:colOff>800099</xdr:colOff>
      <xdr:row>53</xdr:row>
      <xdr:rowOff>127000</xdr:rowOff>
    </xdr:to>
    <xdr:graphicFrame macro="">
      <xdr:nvGraphicFramePr>
        <xdr:cNvPr id="3" name="Chart 2">
          <a:extLst>
            <a:ext uri="{FF2B5EF4-FFF2-40B4-BE49-F238E27FC236}">
              <a16:creationId xmlns:a16="http://schemas.microsoft.com/office/drawing/2014/main" id="{5A158B6C-0626-BF33-27DC-0E28CE0E6A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12699</xdr:colOff>
      <xdr:row>58</xdr:row>
      <xdr:rowOff>0</xdr:rowOff>
    </xdr:from>
    <xdr:to>
      <xdr:col>5</xdr:col>
      <xdr:colOff>742949</xdr:colOff>
      <xdr:row>74</xdr:row>
      <xdr:rowOff>127000</xdr:rowOff>
    </xdr:to>
    <xdr:graphicFrame macro="">
      <xdr:nvGraphicFramePr>
        <xdr:cNvPr id="4" name="Chart 3">
          <a:extLst>
            <a:ext uri="{FF2B5EF4-FFF2-40B4-BE49-F238E27FC236}">
              <a16:creationId xmlns:a16="http://schemas.microsoft.com/office/drawing/2014/main" id="{2195FCCA-DDFA-6D3E-8FAC-43C014AE54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79</xdr:row>
      <xdr:rowOff>0</xdr:rowOff>
    </xdr:from>
    <xdr:to>
      <xdr:col>7</xdr:col>
      <xdr:colOff>66675</xdr:colOff>
      <xdr:row>95</xdr:row>
      <xdr:rowOff>127000</xdr:rowOff>
    </xdr:to>
    <xdr:graphicFrame macro="">
      <xdr:nvGraphicFramePr>
        <xdr:cNvPr id="5" name="Chart 4">
          <a:extLst>
            <a:ext uri="{FF2B5EF4-FFF2-40B4-BE49-F238E27FC236}">
              <a16:creationId xmlns:a16="http://schemas.microsoft.com/office/drawing/2014/main" id="{F6E4C2E3-85F6-2236-C225-CCC98BEF00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12700</xdr:colOff>
      <xdr:row>100</xdr:row>
      <xdr:rowOff>0</xdr:rowOff>
    </xdr:from>
    <xdr:to>
      <xdr:col>4</xdr:col>
      <xdr:colOff>628650</xdr:colOff>
      <xdr:row>116</xdr:row>
      <xdr:rowOff>127000</xdr:rowOff>
    </xdr:to>
    <xdr:graphicFrame macro="">
      <xdr:nvGraphicFramePr>
        <xdr:cNvPr id="6" name="Chart 5">
          <a:extLst>
            <a:ext uri="{FF2B5EF4-FFF2-40B4-BE49-F238E27FC236}">
              <a16:creationId xmlns:a16="http://schemas.microsoft.com/office/drawing/2014/main" id="{570BBCB1-D9AD-F9B8-B5CA-09886F084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12700</xdr:colOff>
      <xdr:row>121</xdr:row>
      <xdr:rowOff>0</xdr:rowOff>
    </xdr:from>
    <xdr:to>
      <xdr:col>4</xdr:col>
      <xdr:colOff>628650</xdr:colOff>
      <xdr:row>137</xdr:row>
      <xdr:rowOff>127000</xdr:rowOff>
    </xdr:to>
    <xdr:graphicFrame macro="">
      <xdr:nvGraphicFramePr>
        <xdr:cNvPr id="7" name="Chart 6">
          <a:extLst>
            <a:ext uri="{FF2B5EF4-FFF2-40B4-BE49-F238E27FC236}">
              <a16:creationId xmlns:a16="http://schemas.microsoft.com/office/drawing/2014/main" id="{E9D0F4FD-18A0-7FA2-53A8-FEF6FF155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0.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5084          ">
          <a:extLst xmlns:a="http://schemas.openxmlformats.org/drawingml/2006/main">
            <a:ext uri="{FF2B5EF4-FFF2-40B4-BE49-F238E27FC236}">
              <a16:creationId xmlns:a16="http://schemas.microsoft.com/office/drawing/2014/main" id="{BFED4D49-7543-154E-935D-C5B1C06B03C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5084         ">
          <a:extLst xmlns:a="http://schemas.openxmlformats.org/drawingml/2006/main">
            <a:ext uri="{FF2B5EF4-FFF2-40B4-BE49-F238E27FC236}">
              <a16:creationId xmlns:a16="http://schemas.microsoft.com/office/drawing/2014/main" id="{AE4CA2A7-8D2F-A716-E2F4-B509E1547DB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5084        ">
          <a:extLst xmlns:a="http://schemas.openxmlformats.org/drawingml/2006/main">
            <a:ext uri="{FF2B5EF4-FFF2-40B4-BE49-F238E27FC236}">
              <a16:creationId xmlns:a16="http://schemas.microsoft.com/office/drawing/2014/main" id="{CC0A4189-E80C-20FD-8C8A-EA3E7CAACB8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5084       ">
          <a:extLst xmlns:a="http://schemas.openxmlformats.org/drawingml/2006/main">
            <a:ext uri="{FF2B5EF4-FFF2-40B4-BE49-F238E27FC236}">
              <a16:creationId xmlns:a16="http://schemas.microsoft.com/office/drawing/2014/main" id="{69A0A15F-5992-81E8-0B00-06FCFF61505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5084      ">
          <a:extLst xmlns:a="http://schemas.openxmlformats.org/drawingml/2006/main">
            <a:ext uri="{FF2B5EF4-FFF2-40B4-BE49-F238E27FC236}">
              <a16:creationId xmlns:a16="http://schemas.microsoft.com/office/drawing/2014/main" id="{6663F7F2-A713-2E59-0A49-31DBC161BBA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5084     ">
          <a:extLst xmlns:a="http://schemas.openxmlformats.org/drawingml/2006/main">
            <a:ext uri="{FF2B5EF4-FFF2-40B4-BE49-F238E27FC236}">
              <a16:creationId xmlns:a16="http://schemas.microsoft.com/office/drawing/2014/main" id="{D7971E4D-0DBB-8FDF-452C-90EBDF38885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5084    ">
          <a:extLst xmlns:a="http://schemas.openxmlformats.org/drawingml/2006/main">
            <a:ext uri="{FF2B5EF4-FFF2-40B4-BE49-F238E27FC236}">
              <a16:creationId xmlns:a16="http://schemas.microsoft.com/office/drawing/2014/main" id="{3440C2C1-AD15-A7AC-9638-E3133B9A859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5084   ">
          <a:extLst xmlns:a="http://schemas.openxmlformats.org/drawingml/2006/main">
            <a:ext uri="{FF2B5EF4-FFF2-40B4-BE49-F238E27FC236}">
              <a16:creationId xmlns:a16="http://schemas.microsoft.com/office/drawing/2014/main" id="{9758068E-46E5-BCE0-8C9E-A17E218BFAF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5084  ">
          <a:extLst xmlns:a="http://schemas.openxmlformats.org/drawingml/2006/main">
            <a:ext uri="{FF2B5EF4-FFF2-40B4-BE49-F238E27FC236}">
              <a16:creationId xmlns:a16="http://schemas.microsoft.com/office/drawing/2014/main" id="{CBCE885C-F733-68FD-D374-CD34C9B07000}"/>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5084 ">
          <a:extLst xmlns:a="http://schemas.openxmlformats.org/drawingml/2006/main">
            <a:ext uri="{FF2B5EF4-FFF2-40B4-BE49-F238E27FC236}">
              <a16:creationId xmlns:a16="http://schemas.microsoft.com/office/drawing/2014/main" id="{AE6EA3F0-8AA5-C72B-E090-3D7642B1405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91.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31318          ">
          <a:extLst xmlns:a="http://schemas.openxmlformats.org/drawingml/2006/main">
            <a:ext uri="{FF2B5EF4-FFF2-40B4-BE49-F238E27FC236}">
              <a16:creationId xmlns:a16="http://schemas.microsoft.com/office/drawing/2014/main" id="{C77CD4FF-E752-1E0E-9841-EA495ADFCCE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31318         ">
          <a:extLst xmlns:a="http://schemas.openxmlformats.org/drawingml/2006/main">
            <a:ext uri="{FF2B5EF4-FFF2-40B4-BE49-F238E27FC236}">
              <a16:creationId xmlns:a16="http://schemas.microsoft.com/office/drawing/2014/main" id="{53F94BD9-AF11-2606-9ECD-F343A7581C5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31318        ">
          <a:extLst xmlns:a="http://schemas.openxmlformats.org/drawingml/2006/main">
            <a:ext uri="{FF2B5EF4-FFF2-40B4-BE49-F238E27FC236}">
              <a16:creationId xmlns:a16="http://schemas.microsoft.com/office/drawing/2014/main" id="{0CAA2CC3-C420-84C8-61E1-D201F28756F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31318       ">
          <a:extLst xmlns:a="http://schemas.openxmlformats.org/drawingml/2006/main">
            <a:ext uri="{FF2B5EF4-FFF2-40B4-BE49-F238E27FC236}">
              <a16:creationId xmlns:a16="http://schemas.microsoft.com/office/drawing/2014/main" id="{1B2FF31F-08BC-291F-5544-B36BCD3341E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31318      ">
          <a:extLst xmlns:a="http://schemas.openxmlformats.org/drawingml/2006/main">
            <a:ext uri="{FF2B5EF4-FFF2-40B4-BE49-F238E27FC236}">
              <a16:creationId xmlns:a16="http://schemas.microsoft.com/office/drawing/2014/main" id="{77106A6E-1110-C543-BB00-09E1C974641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31318     ">
          <a:extLst xmlns:a="http://schemas.openxmlformats.org/drawingml/2006/main">
            <a:ext uri="{FF2B5EF4-FFF2-40B4-BE49-F238E27FC236}">
              <a16:creationId xmlns:a16="http://schemas.microsoft.com/office/drawing/2014/main" id="{1F52FB47-77BF-410B-CA12-8E31679B9D2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31318    ">
          <a:extLst xmlns:a="http://schemas.openxmlformats.org/drawingml/2006/main">
            <a:ext uri="{FF2B5EF4-FFF2-40B4-BE49-F238E27FC236}">
              <a16:creationId xmlns:a16="http://schemas.microsoft.com/office/drawing/2014/main" id="{D2112AD2-2266-E21F-18C5-6F60974BC6F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31318   ">
          <a:extLst xmlns:a="http://schemas.openxmlformats.org/drawingml/2006/main">
            <a:ext uri="{FF2B5EF4-FFF2-40B4-BE49-F238E27FC236}">
              <a16:creationId xmlns:a16="http://schemas.microsoft.com/office/drawing/2014/main" id="{1D0D1683-ED7B-441A-6FDE-4E9041D7896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31318  ">
          <a:extLst xmlns:a="http://schemas.openxmlformats.org/drawingml/2006/main">
            <a:ext uri="{FF2B5EF4-FFF2-40B4-BE49-F238E27FC236}">
              <a16:creationId xmlns:a16="http://schemas.microsoft.com/office/drawing/2014/main" id="{F625814A-4388-7A4B-A734-4A11FFC2B80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31318 ">
          <a:extLst xmlns:a="http://schemas.openxmlformats.org/drawingml/2006/main">
            <a:ext uri="{FF2B5EF4-FFF2-40B4-BE49-F238E27FC236}">
              <a16:creationId xmlns:a16="http://schemas.microsoft.com/office/drawing/2014/main" id="{53F582F8-23A2-E666-0395-876FF4A97DD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92.xml><?xml version="1.0" encoding="utf-8"?>
<c:userShapes xmlns:c="http://schemas.openxmlformats.org/drawingml/2006/chart">
  <cdr:relSizeAnchor xmlns:cdr="http://schemas.openxmlformats.org/drawingml/2006/chartDrawing">
    <cdr:from>
      <cdr:x>0.08158</cdr:x>
      <cdr:y>0.46195</cdr:y>
    </cdr:from>
    <cdr:to>
      <cdr:x>0.91842</cdr:x>
      <cdr:y>0.66195</cdr:y>
    </cdr:to>
    <cdr:sp macro="objClick" textlink="">
      <cdr:nvSpPr>
        <cdr:cNvPr id="2" name="gwm_21268          ">
          <a:extLst xmlns:a="http://schemas.openxmlformats.org/drawingml/2006/main">
            <a:ext uri="{FF2B5EF4-FFF2-40B4-BE49-F238E27FC236}">
              <a16:creationId xmlns:a16="http://schemas.microsoft.com/office/drawing/2014/main" id="{C8442E9A-5C10-D65D-1AF4-6CC4A39EDD73}"/>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3" name="gwm_21268         ">
          <a:extLst xmlns:a="http://schemas.openxmlformats.org/drawingml/2006/main">
            <a:ext uri="{FF2B5EF4-FFF2-40B4-BE49-F238E27FC236}">
              <a16:creationId xmlns:a16="http://schemas.microsoft.com/office/drawing/2014/main" id="{D5BD2C14-2E1D-0042-9D39-286F92482039}"/>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4" name="gwm_21268        ">
          <a:extLst xmlns:a="http://schemas.openxmlformats.org/drawingml/2006/main">
            <a:ext uri="{FF2B5EF4-FFF2-40B4-BE49-F238E27FC236}">
              <a16:creationId xmlns:a16="http://schemas.microsoft.com/office/drawing/2014/main" id="{2360047F-BC33-403E-6767-96C717C82659}"/>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5" name="gwm_21268       ">
          <a:extLst xmlns:a="http://schemas.openxmlformats.org/drawingml/2006/main">
            <a:ext uri="{FF2B5EF4-FFF2-40B4-BE49-F238E27FC236}">
              <a16:creationId xmlns:a16="http://schemas.microsoft.com/office/drawing/2014/main" id="{62B06B6A-E7F0-897C-5C1F-C5ACF342B009}"/>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6" name="gwm_21268      ">
          <a:extLst xmlns:a="http://schemas.openxmlformats.org/drawingml/2006/main">
            <a:ext uri="{FF2B5EF4-FFF2-40B4-BE49-F238E27FC236}">
              <a16:creationId xmlns:a16="http://schemas.microsoft.com/office/drawing/2014/main" id="{646DA6C2-F858-C95B-09A4-E11EB317055D}"/>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7" name="gwm_21268     ">
          <a:extLst xmlns:a="http://schemas.openxmlformats.org/drawingml/2006/main">
            <a:ext uri="{FF2B5EF4-FFF2-40B4-BE49-F238E27FC236}">
              <a16:creationId xmlns:a16="http://schemas.microsoft.com/office/drawing/2014/main" id="{9D577915-4649-E762-FE78-E9A3784F77A3}"/>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8" name="gwm_21268    ">
          <a:extLst xmlns:a="http://schemas.openxmlformats.org/drawingml/2006/main">
            <a:ext uri="{FF2B5EF4-FFF2-40B4-BE49-F238E27FC236}">
              <a16:creationId xmlns:a16="http://schemas.microsoft.com/office/drawing/2014/main" id="{3149D951-B631-F2B1-2239-734703D3EF83}"/>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9" name="gwm_21268   ">
          <a:extLst xmlns:a="http://schemas.openxmlformats.org/drawingml/2006/main">
            <a:ext uri="{FF2B5EF4-FFF2-40B4-BE49-F238E27FC236}">
              <a16:creationId xmlns:a16="http://schemas.microsoft.com/office/drawing/2014/main" id="{469BC188-E48D-32DE-0917-90970D1D2283}"/>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0" name="gwm_21268  ">
          <a:extLst xmlns:a="http://schemas.openxmlformats.org/drawingml/2006/main">
            <a:ext uri="{FF2B5EF4-FFF2-40B4-BE49-F238E27FC236}">
              <a16:creationId xmlns:a16="http://schemas.microsoft.com/office/drawing/2014/main" id="{59425DB0-33F7-8192-9468-0351968121C9}"/>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1" name="gwm_21268 ">
          <a:extLst xmlns:a="http://schemas.openxmlformats.org/drawingml/2006/main">
            <a:ext uri="{FF2B5EF4-FFF2-40B4-BE49-F238E27FC236}">
              <a16:creationId xmlns:a16="http://schemas.microsoft.com/office/drawing/2014/main" id="{7563CC6D-EF1D-66E9-B155-549394908AD5}"/>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93.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6762          ">
          <a:extLst xmlns:a="http://schemas.openxmlformats.org/drawingml/2006/main">
            <a:ext uri="{FF2B5EF4-FFF2-40B4-BE49-F238E27FC236}">
              <a16:creationId xmlns:a16="http://schemas.microsoft.com/office/drawing/2014/main" id="{0CC64667-BF7A-9490-A129-22CF6F474B0F}"/>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6762         ">
          <a:extLst xmlns:a="http://schemas.openxmlformats.org/drawingml/2006/main">
            <a:ext uri="{FF2B5EF4-FFF2-40B4-BE49-F238E27FC236}">
              <a16:creationId xmlns:a16="http://schemas.microsoft.com/office/drawing/2014/main" id="{D800512C-69D1-81B3-3510-C284C569E32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6762        ">
          <a:extLst xmlns:a="http://schemas.openxmlformats.org/drawingml/2006/main">
            <a:ext uri="{FF2B5EF4-FFF2-40B4-BE49-F238E27FC236}">
              <a16:creationId xmlns:a16="http://schemas.microsoft.com/office/drawing/2014/main" id="{15912DAB-C962-2567-C07D-BF5E3804143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6762       ">
          <a:extLst xmlns:a="http://schemas.openxmlformats.org/drawingml/2006/main">
            <a:ext uri="{FF2B5EF4-FFF2-40B4-BE49-F238E27FC236}">
              <a16:creationId xmlns:a16="http://schemas.microsoft.com/office/drawing/2014/main" id="{D1EA0AD2-ECB5-EC2E-8E68-848B15B87C4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6762      ">
          <a:extLst xmlns:a="http://schemas.openxmlformats.org/drawingml/2006/main">
            <a:ext uri="{FF2B5EF4-FFF2-40B4-BE49-F238E27FC236}">
              <a16:creationId xmlns:a16="http://schemas.microsoft.com/office/drawing/2014/main" id="{4E549064-E0CD-BB30-02D3-E4CA2B52C5B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6762     ">
          <a:extLst xmlns:a="http://schemas.openxmlformats.org/drawingml/2006/main">
            <a:ext uri="{FF2B5EF4-FFF2-40B4-BE49-F238E27FC236}">
              <a16:creationId xmlns:a16="http://schemas.microsoft.com/office/drawing/2014/main" id="{F8D4C9EC-132A-37B5-3382-B0A3270CD3B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6762    ">
          <a:extLst xmlns:a="http://schemas.openxmlformats.org/drawingml/2006/main">
            <a:ext uri="{FF2B5EF4-FFF2-40B4-BE49-F238E27FC236}">
              <a16:creationId xmlns:a16="http://schemas.microsoft.com/office/drawing/2014/main" id="{080895DC-DA26-9A73-AE26-5681592774FF}"/>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6762   ">
          <a:extLst xmlns:a="http://schemas.openxmlformats.org/drawingml/2006/main">
            <a:ext uri="{FF2B5EF4-FFF2-40B4-BE49-F238E27FC236}">
              <a16:creationId xmlns:a16="http://schemas.microsoft.com/office/drawing/2014/main" id="{46A98069-0D62-45C6-014B-F6928D28698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6762  ">
          <a:extLst xmlns:a="http://schemas.openxmlformats.org/drawingml/2006/main">
            <a:ext uri="{FF2B5EF4-FFF2-40B4-BE49-F238E27FC236}">
              <a16:creationId xmlns:a16="http://schemas.microsoft.com/office/drawing/2014/main" id="{F4B9E718-8D9F-E972-A905-6E9BA2B49BA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6762 ">
          <a:extLst xmlns:a="http://schemas.openxmlformats.org/drawingml/2006/main">
            <a:ext uri="{FF2B5EF4-FFF2-40B4-BE49-F238E27FC236}">
              <a16:creationId xmlns:a16="http://schemas.microsoft.com/office/drawing/2014/main" id="{634D26DE-242A-89C8-E18C-DF0F536678C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94.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27037          ">
          <a:extLst xmlns:a="http://schemas.openxmlformats.org/drawingml/2006/main">
            <a:ext uri="{FF2B5EF4-FFF2-40B4-BE49-F238E27FC236}">
              <a16:creationId xmlns:a16="http://schemas.microsoft.com/office/drawing/2014/main" id="{FEB9BBEF-22DB-4B6A-20B1-1746A562006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27037         ">
          <a:extLst xmlns:a="http://schemas.openxmlformats.org/drawingml/2006/main">
            <a:ext uri="{FF2B5EF4-FFF2-40B4-BE49-F238E27FC236}">
              <a16:creationId xmlns:a16="http://schemas.microsoft.com/office/drawing/2014/main" id="{96587240-0C83-4A22-71DA-2BF63956B85F}"/>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27037        ">
          <a:extLst xmlns:a="http://schemas.openxmlformats.org/drawingml/2006/main">
            <a:ext uri="{FF2B5EF4-FFF2-40B4-BE49-F238E27FC236}">
              <a16:creationId xmlns:a16="http://schemas.microsoft.com/office/drawing/2014/main" id="{95A7FF13-A678-EF86-A00C-F92CCEFA178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27037       ">
          <a:extLst xmlns:a="http://schemas.openxmlformats.org/drawingml/2006/main">
            <a:ext uri="{FF2B5EF4-FFF2-40B4-BE49-F238E27FC236}">
              <a16:creationId xmlns:a16="http://schemas.microsoft.com/office/drawing/2014/main" id="{F385F5A5-CA4D-1AE3-9550-BCCBE43EE92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27037      ">
          <a:extLst xmlns:a="http://schemas.openxmlformats.org/drawingml/2006/main">
            <a:ext uri="{FF2B5EF4-FFF2-40B4-BE49-F238E27FC236}">
              <a16:creationId xmlns:a16="http://schemas.microsoft.com/office/drawing/2014/main" id="{DD2BE51A-060C-FA7A-7A50-0D7E5809A6ED}"/>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27037     ">
          <a:extLst xmlns:a="http://schemas.openxmlformats.org/drawingml/2006/main">
            <a:ext uri="{FF2B5EF4-FFF2-40B4-BE49-F238E27FC236}">
              <a16:creationId xmlns:a16="http://schemas.microsoft.com/office/drawing/2014/main" id="{2BF561EF-13DC-EA13-AA97-4A9304071E5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27037    ">
          <a:extLst xmlns:a="http://schemas.openxmlformats.org/drawingml/2006/main">
            <a:ext uri="{FF2B5EF4-FFF2-40B4-BE49-F238E27FC236}">
              <a16:creationId xmlns:a16="http://schemas.microsoft.com/office/drawing/2014/main" id="{89B6683F-0A1B-9053-F78B-000B510E9260}"/>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27037   ">
          <a:extLst xmlns:a="http://schemas.openxmlformats.org/drawingml/2006/main">
            <a:ext uri="{FF2B5EF4-FFF2-40B4-BE49-F238E27FC236}">
              <a16:creationId xmlns:a16="http://schemas.microsoft.com/office/drawing/2014/main" id="{76E3311E-7C11-B0AE-92A4-BD8273CFBBB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27037  ">
          <a:extLst xmlns:a="http://schemas.openxmlformats.org/drawingml/2006/main">
            <a:ext uri="{FF2B5EF4-FFF2-40B4-BE49-F238E27FC236}">
              <a16:creationId xmlns:a16="http://schemas.microsoft.com/office/drawing/2014/main" id="{885557AB-94FA-8227-A115-4090FB793CB3}"/>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27037 ">
          <a:extLst xmlns:a="http://schemas.openxmlformats.org/drawingml/2006/main">
            <a:ext uri="{FF2B5EF4-FFF2-40B4-BE49-F238E27FC236}">
              <a16:creationId xmlns:a16="http://schemas.microsoft.com/office/drawing/2014/main" id="{9FCA4BDE-AEFA-D869-C9D7-FC08E0FC32A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95.xml><?xml version="1.0" encoding="utf-8"?>
<c:userShapes xmlns:c="http://schemas.openxmlformats.org/drawingml/2006/chart">
  <cdr:relSizeAnchor xmlns:cdr="http://schemas.openxmlformats.org/drawingml/2006/chartDrawing">
    <cdr:from>
      <cdr:x>0.08158</cdr:x>
      <cdr:y>0.46195</cdr:y>
    </cdr:from>
    <cdr:to>
      <cdr:x>0.91842</cdr:x>
      <cdr:y>0.66195</cdr:y>
    </cdr:to>
    <cdr:sp macro="objClick" textlink="">
      <cdr:nvSpPr>
        <cdr:cNvPr id="2" name="gwm_17564          ">
          <a:extLst xmlns:a="http://schemas.openxmlformats.org/drawingml/2006/main">
            <a:ext uri="{FF2B5EF4-FFF2-40B4-BE49-F238E27FC236}">
              <a16:creationId xmlns:a16="http://schemas.microsoft.com/office/drawing/2014/main" id="{E347AF6D-4B2E-E5B8-AAFB-FFE7B150BDEA}"/>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3" name="gwm_17564         ">
          <a:extLst xmlns:a="http://schemas.openxmlformats.org/drawingml/2006/main">
            <a:ext uri="{FF2B5EF4-FFF2-40B4-BE49-F238E27FC236}">
              <a16:creationId xmlns:a16="http://schemas.microsoft.com/office/drawing/2014/main" id="{81996FF5-17E8-14A8-059A-4D4AEFA0756E}"/>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4" name="gwm_17564        ">
          <a:extLst xmlns:a="http://schemas.openxmlformats.org/drawingml/2006/main">
            <a:ext uri="{FF2B5EF4-FFF2-40B4-BE49-F238E27FC236}">
              <a16:creationId xmlns:a16="http://schemas.microsoft.com/office/drawing/2014/main" id="{F576BC37-9086-7E85-7844-C7FC069E16C0}"/>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5" name="gwm_17564       ">
          <a:extLst xmlns:a="http://schemas.openxmlformats.org/drawingml/2006/main">
            <a:ext uri="{FF2B5EF4-FFF2-40B4-BE49-F238E27FC236}">
              <a16:creationId xmlns:a16="http://schemas.microsoft.com/office/drawing/2014/main" id="{4C387FC3-851B-B586-69B1-903D8CC22817}"/>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6" name="gwm_17564      ">
          <a:extLst xmlns:a="http://schemas.openxmlformats.org/drawingml/2006/main">
            <a:ext uri="{FF2B5EF4-FFF2-40B4-BE49-F238E27FC236}">
              <a16:creationId xmlns:a16="http://schemas.microsoft.com/office/drawing/2014/main" id="{0825D8D0-B281-5630-7362-F128FD48D4CC}"/>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7" name="gwm_17564     ">
          <a:extLst xmlns:a="http://schemas.openxmlformats.org/drawingml/2006/main">
            <a:ext uri="{FF2B5EF4-FFF2-40B4-BE49-F238E27FC236}">
              <a16:creationId xmlns:a16="http://schemas.microsoft.com/office/drawing/2014/main" id="{60AB115D-BC92-7451-A655-0CDA9D89AC0A}"/>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8" name="gwm_17564    ">
          <a:extLst xmlns:a="http://schemas.openxmlformats.org/drawingml/2006/main">
            <a:ext uri="{FF2B5EF4-FFF2-40B4-BE49-F238E27FC236}">
              <a16:creationId xmlns:a16="http://schemas.microsoft.com/office/drawing/2014/main" id="{6CA4C862-B5C7-9F64-ACDD-96EAF6FA28EA}"/>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9" name="gwm_17564   ">
          <a:extLst xmlns:a="http://schemas.openxmlformats.org/drawingml/2006/main">
            <a:ext uri="{FF2B5EF4-FFF2-40B4-BE49-F238E27FC236}">
              <a16:creationId xmlns:a16="http://schemas.microsoft.com/office/drawing/2014/main" id="{7EF37873-AF37-0D86-C77F-25D3A0890DB4}"/>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0" name="gwm_17564  ">
          <a:extLst xmlns:a="http://schemas.openxmlformats.org/drawingml/2006/main">
            <a:ext uri="{FF2B5EF4-FFF2-40B4-BE49-F238E27FC236}">
              <a16:creationId xmlns:a16="http://schemas.microsoft.com/office/drawing/2014/main" id="{B45F9F29-689F-FFCB-F848-18E1A138DC24}"/>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1" name="gwm_17564 ">
          <a:extLst xmlns:a="http://schemas.openxmlformats.org/drawingml/2006/main">
            <a:ext uri="{FF2B5EF4-FFF2-40B4-BE49-F238E27FC236}">
              <a16:creationId xmlns:a16="http://schemas.microsoft.com/office/drawing/2014/main" id="{32DFFA9D-B9E9-A704-A21D-F120816C480B}"/>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96.xml><?xml version="1.0" encoding="utf-8"?>
<xdr:wsDr xmlns:xdr="http://schemas.openxmlformats.org/drawingml/2006/spreadsheetDrawing" xmlns:a="http://schemas.openxmlformats.org/drawingml/2006/main">
  <xdr:twoCellAnchor editAs="oneCell">
    <xdr:from>
      <xdr:col>0</xdr:col>
      <xdr:colOff>12700</xdr:colOff>
      <xdr:row>17</xdr:row>
      <xdr:rowOff>0</xdr:rowOff>
    </xdr:from>
    <xdr:to>
      <xdr:col>4</xdr:col>
      <xdr:colOff>19050</xdr:colOff>
      <xdr:row>33</xdr:row>
      <xdr:rowOff>127000</xdr:rowOff>
    </xdr:to>
    <xdr:graphicFrame macro="">
      <xdr:nvGraphicFramePr>
        <xdr:cNvPr id="2" name="Chart 1">
          <a:extLst>
            <a:ext uri="{FF2B5EF4-FFF2-40B4-BE49-F238E27FC236}">
              <a16:creationId xmlns:a16="http://schemas.microsoft.com/office/drawing/2014/main" id="{80EEB8F8-0D62-7645-E6EC-AA2CB2DCA1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xdr:colOff>
      <xdr:row>38</xdr:row>
      <xdr:rowOff>0</xdr:rowOff>
    </xdr:from>
    <xdr:to>
      <xdr:col>4</xdr:col>
      <xdr:colOff>19050</xdr:colOff>
      <xdr:row>54</xdr:row>
      <xdr:rowOff>127000</xdr:rowOff>
    </xdr:to>
    <xdr:graphicFrame macro="">
      <xdr:nvGraphicFramePr>
        <xdr:cNvPr id="3" name="Chart 2">
          <a:extLst>
            <a:ext uri="{FF2B5EF4-FFF2-40B4-BE49-F238E27FC236}">
              <a16:creationId xmlns:a16="http://schemas.microsoft.com/office/drawing/2014/main" id="{3920F457-B188-4F1C-A44F-093FEF12B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12700</xdr:colOff>
      <xdr:row>59</xdr:row>
      <xdr:rowOff>0</xdr:rowOff>
    </xdr:from>
    <xdr:to>
      <xdr:col>4</xdr:col>
      <xdr:colOff>19050</xdr:colOff>
      <xdr:row>75</xdr:row>
      <xdr:rowOff>127000</xdr:rowOff>
    </xdr:to>
    <xdr:graphicFrame macro="">
      <xdr:nvGraphicFramePr>
        <xdr:cNvPr id="4" name="Chart 3">
          <a:extLst>
            <a:ext uri="{FF2B5EF4-FFF2-40B4-BE49-F238E27FC236}">
              <a16:creationId xmlns:a16="http://schemas.microsoft.com/office/drawing/2014/main" id="{324898E4-4C42-E5E1-FEDA-BC3BF008C7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80</xdr:row>
      <xdr:rowOff>0</xdr:rowOff>
    </xdr:from>
    <xdr:to>
      <xdr:col>4</xdr:col>
      <xdr:colOff>19050</xdr:colOff>
      <xdr:row>96</xdr:row>
      <xdr:rowOff>127000</xdr:rowOff>
    </xdr:to>
    <xdr:graphicFrame macro="">
      <xdr:nvGraphicFramePr>
        <xdr:cNvPr id="5" name="Chart 4">
          <a:extLst>
            <a:ext uri="{FF2B5EF4-FFF2-40B4-BE49-F238E27FC236}">
              <a16:creationId xmlns:a16="http://schemas.microsoft.com/office/drawing/2014/main" id="{9C5B48CB-5AE5-368C-3A6F-1149C99DD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12700</xdr:colOff>
      <xdr:row>101</xdr:row>
      <xdr:rowOff>0</xdr:rowOff>
    </xdr:from>
    <xdr:to>
      <xdr:col>4</xdr:col>
      <xdr:colOff>19050</xdr:colOff>
      <xdr:row>117</xdr:row>
      <xdr:rowOff>127000</xdr:rowOff>
    </xdr:to>
    <xdr:graphicFrame macro="">
      <xdr:nvGraphicFramePr>
        <xdr:cNvPr id="6" name="Chart 5">
          <a:extLst>
            <a:ext uri="{FF2B5EF4-FFF2-40B4-BE49-F238E27FC236}">
              <a16:creationId xmlns:a16="http://schemas.microsoft.com/office/drawing/2014/main" id="{B7308EA9-A5D6-EDCD-F24C-A46F6DFC20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12700</xdr:colOff>
      <xdr:row>122</xdr:row>
      <xdr:rowOff>0</xdr:rowOff>
    </xdr:from>
    <xdr:to>
      <xdr:col>4</xdr:col>
      <xdr:colOff>19050</xdr:colOff>
      <xdr:row>138</xdr:row>
      <xdr:rowOff>127000</xdr:rowOff>
    </xdr:to>
    <xdr:graphicFrame macro="">
      <xdr:nvGraphicFramePr>
        <xdr:cNvPr id="7" name="Chart 6">
          <a:extLst>
            <a:ext uri="{FF2B5EF4-FFF2-40B4-BE49-F238E27FC236}">
              <a16:creationId xmlns:a16="http://schemas.microsoft.com/office/drawing/2014/main" id="{54987842-0552-28DC-3415-DA1698AF7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7.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28661          ">
          <a:extLst xmlns:a="http://schemas.openxmlformats.org/drawingml/2006/main">
            <a:ext uri="{FF2B5EF4-FFF2-40B4-BE49-F238E27FC236}">
              <a16:creationId xmlns:a16="http://schemas.microsoft.com/office/drawing/2014/main" id="{5729AD07-6EC3-CB4F-6E24-221D4FD0FC20}"/>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28661         ">
          <a:extLst xmlns:a="http://schemas.openxmlformats.org/drawingml/2006/main">
            <a:ext uri="{FF2B5EF4-FFF2-40B4-BE49-F238E27FC236}">
              <a16:creationId xmlns:a16="http://schemas.microsoft.com/office/drawing/2014/main" id="{0D0636B6-9838-DD78-82AE-F8982D6E3520}"/>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28661        ">
          <a:extLst xmlns:a="http://schemas.openxmlformats.org/drawingml/2006/main">
            <a:ext uri="{FF2B5EF4-FFF2-40B4-BE49-F238E27FC236}">
              <a16:creationId xmlns:a16="http://schemas.microsoft.com/office/drawing/2014/main" id="{98EFC134-7C6F-E36B-46B7-313D00DE10D7}"/>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28661       ">
          <a:extLst xmlns:a="http://schemas.openxmlformats.org/drawingml/2006/main">
            <a:ext uri="{FF2B5EF4-FFF2-40B4-BE49-F238E27FC236}">
              <a16:creationId xmlns:a16="http://schemas.microsoft.com/office/drawing/2014/main" id="{EC1BCCAB-ADB4-C7BA-D662-13805AB922D0}"/>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28661      ">
          <a:extLst xmlns:a="http://schemas.openxmlformats.org/drawingml/2006/main">
            <a:ext uri="{FF2B5EF4-FFF2-40B4-BE49-F238E27FC236}">
              <a16:creationId xmlns:a16="http://schemas.microsoft.com/office/drawing/2014/main" id="{FC926135-DE67-6EAE-42C8-D4C8A4430E6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28661     ">
          <a:extLst xmlns:a="http://schemas.openxmlformats.org/drawingml/2006/main">
            <a:ext uri="{FF2B5EF4-FFF2-40B4-BE49-F238E27FC236}">
              <a16:creationId xmlns:a16="http://schemas.microsoft.com/office/drawing/2014/main" id="{95500E66-E1A5-6013-2DD6-A899A67308A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28661    ">
          <a:extLst xmlns:a="http://schemas.openxmlformats.org/drawingml/2006/main">
            <a:ext uri="{FF2B5EF4-FFF2-40B4-BE49-F238E27FC236}">
              <a16:creationId xmlns:a16="http://schemas.microsoft.com/office/drawing/2014/main" id="{79FDBDA8-E47A-6C39-D687-12AE0A3C4651}"/>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28661   ">
          <a:extLst xmlns:a="http://schemas.openxmlformats.org/drawingml/2006/main">
            <a:ext uri="{FF2B5EF4-FFF2-40B4-BE49-F238E27FC236}">
              <a16:creationId xmlns:a16="http://schemas.microsoft.com/office/drawing/2014/main" id="{DDF0FFCD-2DDF-8F26-0610-5AD8A459C4A5}"/>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28661  ">
          <a:extLst xmlns:a="http://schemas.openxmlformats.org/drawingml/2006/main">
            <a:ext uri="{FF2B5EF4-FFF2-40B4-BE49-F238E27FC236}">
              <a16:creationId xmlns:a16="http://schemas.microsoft.com/office/drawing/2014/main" id="{AF9975ED-4108-9C69-3C6A-AA4CC2B32108}"/>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28661 ">
          <a:extLst xmlns:a="http://schemas.openxmlformats.org/drawingml/2006/main">
            <a:ext uri="{FF2B5EF4-FFF2-40B4-BE49-F238E27FC236}">
              <a16:creationId xmlns:a16="http://schemas.microsoft.com/office/drawing/2014/main" id="{4839A276-74F9-A07E-DDDA-78FD563D8DD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98.xml><?xml version="1.0" encoding="utf-8"?>
<c:userShapes xmlns:c="http://schemas.openxmlformats.org/drawingml/2006/chart">
  <cdr:relSizeAnchor xmlns:cdr="http://schemas.openxmlformats.org/drawingml/2006/chartDrawing">
    <cdr:from>
      <cdr:x>0.08158</cdr:x>
      <cdr:y>0.4</cdr:y>
    </cdr:from>
    <cdr:to>
      <cdr:x>0.91842</cdr:x>
      <cdr:y>0.6</cdr:y>
    </cdr:to>
    <cdr:sp macro="objClick" textlink="">
      <cdr:nvSpPr>
        <cdr:cNvPr id="2" name="gwm_16410          ">
          <a:extLst xmlns:a="http://schemas.openxmlformats.org/drawingml/2006/main">
            <a:ext uri="{FF2B5EF4-FFF2-40B4-BE49-F238E27FC236}">
              <a16:creationId xmlns:a16="http://schemas.microsoft.com/office/drawing/2014/main" id="{01933FBF-0A0B-619F-789E-A4E1A5380356}"/>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3" name="gwm_16410         ">
          <a:extLst xmlns:a="http://schemas.openxmlformats.org/drawingml/2006/main">
            <a:ext uri="{FF2B5EF4-FFF2-40B4-BE49-F238E27FC236}">
              <a16:creationId xmlns:a16="http://schemas.microsoft.com/office/drawing/2014/main" id="{F3F11E35-656F-24CC-D7E0-2A84EFAB72D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4" name="gwm_16410        ">
          <a:extLst xmlns:a="http://schemas.openxmlformats.org/drawingml/2006/main">
            <a:ext uri="{FF2B5EF4-FFF2-40B4-BE49-F238E27FC236}">
              <a16:creationId xmlns:a16="http://schemas.microsoft.com/office/drawing/2014/main" id="{7A52E4AF-F410-BE11-58F4-7DB0817E355A}"/>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5" name="gwm_16410       ">
          <a:extLst xmlns:a="http://schemas.openxmlformats.org/drawingml/2006/main">
            <a:ext uri="{FF2B5EF4-FFF2-40B4-BE49-F238E27FC236}">
              <a16:creationId xmlns:a16="http://schemas.microsoft.com/office/drawing/2014/main" id="{71CC36E4-4AC3-15A7-0D6C-384218244FC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6" name="gwm_16410      ">
          <a:extLst xmlns:a="http://schemas.openxmlformats.org/drawingml/2006/main">
            <a:ext uri="{FF2B5EF4-FFF2-40B4-BE49-F238E27FC236}">
              <a16:creationId xmlns:a16="http://schemas.microsoft.com/office/drawing/2014/main" id="{9330E433-1547-1797-65C7-E0365880A9A2}"/>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7" name="gwm_16410     ">
          <a:extLst xmlns:a="http://schemas.openxmlformats.org/drawingml/2006/main">
            <a:ext uri="{FF2B5EF4-FFF2-40B4-BE49-F238E27FC236}">
              <a16:creationId xmlns:a16="http://schemas.microsoft.com/office/drawing/2014/main" id="{F7BA8B50-8091-2494-C6EB-02184F0EC0BE}"/>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8" name="gwm_16410    ">
          <a:extLst xmlns:a="http://schemas.openxmlformats.org/drawingml/2006/main">
            <a:ext uri="{FF2B5EF4-FFF2-40B4-BE49-F238E27FC236}">
              <a16:creationId xmlns:a16="http://schemas.microsoft.com/office/drawing/2014/main" id="{B9A39D0B-E55C-7E45-11A0-10DF92F4081F}"/>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9" name="gwm_16410   ">
          <a:extLst xmlns:a="http://schemas.openxmlformats.org/drawingml/2006/main">
            <a:ext uri="{FF2B5EF4-FFF2-40B4-BE49-F238E27FC236}">
              <a16:creationId xmlns:a16="http://schemas.microsoft.com/office/drawing/2014/main" id="{F8089F7C-A7C9-FE52-160A-AE495BEA3A64}"/>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0" name="gwm_16410  ">
          <a:extLst xmlns:a="http://schemas.openxmlformats.org/drawingml/2006/main">
            <a:ext uri="{FF2B5EF4-FFF2-40B4-BE49-F238E27FC236}">
              <a16:creationId xmlns:a16="http://schemas.microsoft.com/office/drawing/2014/main" id="{757FFFDD-5075-910F-EE08-30577CB99520}"/>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cdr:y>
    </cdr:from>
    <cdr:to>
      <cdr:x>0.91842</cdr:x>
      <cdr:y>0.6</cdr:y>
    </cdr:to>
    <cdr:sp macro="objClick" textlink="">
      <cdr:nvSpPr>
        <cdr:cNvPr id="11" name="gwm_16410 ">
          <a:extLst xmlns:a="http://schemas.openxmlformats.org/drawingml/2006/main">
            <a:ext uri="{FF2B5EF4-FFF2-40B4-BE49-F238E27FC236}">
              <a16:creationId xmlns:a16="http://schemas.microsoft.com/office/drawing/2014/main" id="{242BE4DE-0016-74E6-B603-781C53A9C019}"/>
            </a:ext>
          </a:extLst>
        </cdr:cNvPr>
        <cdr:cNvSpPr txBox="1"/>
      </cdr:nvSpPr>
      <cdr:spPr>
        <a:xfrm xmlns:a="http://schemas.openxmlformats.org/drawingml/2006/main">
          <a:off x="393700" y="1270000"/>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drawings/drawing99.xml><?xml version="1.0" encoding="utf-8"?>
<c:userShapes xmlns:c="http://schemas.openxmlformats.org/drawingml/2006/chart">
  <cdr:relSizeAnchor xmlns:cdr="http://schemas.openxmlformats.org/drawingml/2006/chartDrawing">
    <cdr:from>
      <cdr:x>0.08158</cdr:x>
      <cdr:y>0.46195</cdr:y>
    </cdr:from>
    <cdr:to>
      <cdr:x>0.91842</cdr:x>
      <cdr:y>0.66195</cdr:y>
    </cdr:to>
    <cdr:sp macro="objClick" textlink="">
      <cdr:nvSpPr>
        <cdr:cNvPr id="2" name="gwm_23068          ">
          <a:extLst xmlns:a="http://schemas.openxmlformats.org/drawingml/2006/main">
            <a:ext uri="{FF2B5EF4-FFF2-40B4-BE49-F238E27FC236}">
              <a16:creationId xmlns:a16="http://schemas.microsoft.com/office/drawing/2014/main" id="{57609A30-DBD8-7C38-ED2C-BAF5E4796DC5}"/>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3" name="gwm_23068         ">
          <a:extLst xmlns:a="http://schemas.openxmlformats.org/drawingml/2006/main">
            <a:ext uri="{FF2B5EF4-FFF2-40B4-BE49-F238E27FC236}">
              <a16:creationId xmlns:a16="http://schemas.microsoft.com/office/drawing/2014/main" id="{06C00D63-56C4-8A50-7127-87AF3CA09B04}"/>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4" name="gwm_23068        ">
          <a:extLst xmlns:a="http://schemas.openxmlformats.org/drawingml/2006/main">
            <a:ext uri="{FF2B5EF4-FFF2-40B4-BE49-F238E27FC236}">
              <a16:creationId xmlns:a16="http://schemas.microsoft.com/office/drawing/2014/main" id="{6578B0BF-EAC6-9320-2ECD-DD86282CBBA8}"/>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5" name="gwm_23068       ">
          <a:extLst xmlns:a="http://schemas.openxmlformats.org/drawingml/2006/main">
            <a:ext uri="{FF2B5EF4-FFF2-40B4-BE49-F238E27FC236}">
              <a16:creationId xmlns:a16="http://schemas.microsoft.com/office/drawing/2014/main" id="{5D78E6D1-CC37-E0C4-A6DA-88C7D611C054}"/>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6" name="gwm_23068      ">
          <a:extLst xmlns:a="http://schemas.openxmlformats.org/drawingml/2006/main">
            <a:ext uri="{FF2B5EF4-FFF2-40B4-BE49-F238E27FC236}">
              <a16:creationId xmlns:a16="http://schemas.microsoft.com/office/drawing/2014/main" id="{26B537C6-8A70-7A23-12AA-D1D75F75D7BE}"/>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7" name="gwm_23068     ">
          <a:extLst xmlns:a="http://schemas.openxmlformats.org/drawingml/2006/main">
            <a:ext uri="{FF2B5EF4-FFF2-40B4-BE49-F238E27FC236}">
              <a16:creationId xmlns:a16="http://schemas.microsoft.com/office/drawing/2014/main" id="{4316CD27-4CF2-8136-9665-92F4F3C70017}"/>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8" name="gwm_23068    ">
          <a:extLst xmlns:a="http://schemas.openxmlformats.org/drawingml/2006/main">
            <a:ext uri="{FF2B5EF4-FFF2-40B4-BE49-F238E27FC236}">
              <a16:creationId xmlns:a16="http://schemas.microsoft.com/office/drawing/2014/main" id="{AF924E2A-CDB6-0A24-26F7-700A031D0205}"/>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9" name="gwm_23068   ">
          <a:extLst xmlns:a="http://schemas.openxmlformats.org/drawingml/2006/main">
            <a:ext uri="{FF2B5EF4-FFF2-40B4-BE49-F238E27FC236}">
              <a16:creationId xmlns:a16="http://schemas.microsoft.com/office/drawing/2014/main" id="{E6624A47-92BC-A633-6893-AEE04F90683F}"/>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0" name="gwm_23068  ">
          <a:extLst xmlns:a="http://schemas.openxmlformats.org/drawingml/2006/main">
            <a:ext uri="{FF2B5EF4-FFF2-40B4-BE49-F238E27FC236}">
              <a16:creationId xmlns:a16="http://schemas.microsoft.com/office/drawing/2014/main" id="{4F0DD0FF-A43D-1968-2FD4-AA3E5F3A7A82}"/>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0.08158</cdr:x>
      <cdr:y>0.46195</cdr:y>
    </cdr:from>
    <cdr:to>
      <cdr:x>0.91842</cdr:x>
      <cdr:y>0.66195</cdr:y>
    </cdr:to>
    <cdr:sp macro="objClick" textlink="">
      <cdr:nvSpPr>
        <cdr:cNvPr id="11" name="gwm_23068 ">
          <a:extLst xmlns:a="http://schemas.openxmlformats.org/drawingml/2006/main">
            <a:ext uri="{FF2B5EF4-FFF2-40B4-BE49-F238E27FC236}">
              <a16:creationId xmlns:a16="http://schemas.microsoft.com/office/drawing/2014/main" id="{D55C2EC0-CFF6-8CA3-D81F-48823140F1B3}"/>
            </a:ext>
          </a:extLst>
        </cdr:cNvPr>
        <cdr:cNvSpPr txBox="1"/>
      </cdr:nvSpPr>
      <cdr:spPr>
        <a:xfrm xmlns:a="http://schemas.openxmlformats.org/drawingml/2006/main">
          <a:off x="393700" y="1466691"/>
          <a:ext cx="40386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GB" sz="1400" b="0" i="0">
              <a:solidFill>
                <a:srgbClr val="808080"/>
              </a:solidFill>
              <a:latin typeface="Arial" panose="020B0604020202020204" pitchFamily="34" charset="0"/>
            </a:rPr>
            <a:t>StatTools Course Version</a:t>
          </a:r>
        </a:p>
        <a:p xmlns:a="http://schemas.openxmlformats.org/drawingml/2006/main">
          <a:pPr algn="ctr"/>
          <a:r>
            <a:rPr lang="en-GB" sz="1400" b="0" i="0">
              <a:solidFill>
                <a:srgbClr val="808080"/>
              </a:solidFill>
              <a:latin typeface="Arial" panose="020B0604020202020204" pitchFamily="34" charset="0"/>
            </a:rPr>
            <a:t>U</a:t>
          </a:r>
          <a:r>
            <a:rPr lang="en-GB" sz="1000" b="0" i="0">
              <a:solidFill>
                <a:srgbClr val="808080"/>
              </a:solidFill>
              <a:latin typeface="Arial" panose="020B0604020202020204" pitchFamily="34" charset="0"/>
            </a:rPr>
            <a:t>niversity of Westminster</a:t>
          </a:r>
        </a:p>
      </cdr:txBody>
    </cdr:sp>
  </cdr:relSizeAnchor>
</c:userShapes>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universityofwestminster-my.sharepoint.com/personal/w1948938_westminster_ac_uk/Documents/Problem%203.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ga Sai Prudhvi Balam" refreshedDate="45054.869346064814" createdVersion="8" refreshedVersion="8" minRefreshableVersion="3" recordCount="117">
  <cacheSource type="worksheet">
    <worksheetSource ref="A1:F118" sheet="Seasonality Index" r:id="rId2"/>
  </cacheSource>
  <cacheFields count="6">
    <cacheField name="Month" numFmtId="0">
      <sharedItems count="12">
        <s v="Aug"/>
        <s v="Sep"/>
        <s v="Oct"/>
        <s v="Nov"/>
        <s v="Dec"/>
        <s v="Jan"/>
        <s v="Feb"/>
        <s v="Mar"/>
        <s v="Apr"/>
        <s v="May"/>
        <s v="Jun"/>
        <s v="Jul"/>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East" numFmtId="0">
      <sharedItems containsSemiMixedTypes="0" containsString="0" containsNumber="1" containsInteger="1" minValue="6832" maxValue="15904"/>
    </cacheField>
    <cacheField name="South" numFmtId="0">
      <sharedItems containsSemiMixedTypes="0" containsString="0" containsNumber="1" containsInteger="1" minValue="11850" maxValue="23076"/>
    </cacheField>
    <cacheField name="North" numFmtId="0">
      <sharedItems containsSemiMixedTypes="0" containsString="0" containsNumber="1" containsInteger="1" minValue="6722" maxValue="16120"/>
    </cacheField>
    <cacheField name="West" numFmtId="0">
      <sharedItems containsSemiMixedTypes="0" containsString="0" containsNumber="1" containsInteger="1" minValue="6310" maxValue="1192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
  <r>
    <x v="0"/>
    <x v="0"/>
    <n v="7419"/>
    <n v="12326"/>
    <n v="6722"/>
    <n v="8164"/>
  </r>
  <r>
    <x v="1"/>
    <x v="0"/>
    <n v="8824"/>
    <n v="13229"/>
    <n v="7266"/>
    <n v="6751"/>
  </r>
  <r>
    <x v="2"/>
    <x v="0"/>
    <n v="11583"/>
    <n v="13278"/>
    <n v="8341"/>
    <n v="8435"/>
  </r>
  <r>
    <x v="3"/>
    <x v="0"/>
    <n v="7958"/>
    <n v="13592"/>
    <n v="10213"/>
    <n v="8628"/>
  </r>
  <r>
    <x v="4"/>
    <x v="0"/>
    <n v="11933"/>
    <n v="14711"/>
    <n v="11024"/>
    <n v="8327"/>
  </r>
  <r>
    <x v="5"/>
    <x v="1"/>
    <n v="11227"/>
    <n v="16204"/>
    <n v="12501"/>
    <n v="10286"/>
  </r>
  <r>
    <x v="6"/>
    <x v="1"/>
    <n v="11258"/>
    <n v="17507"/>
    <n v="14247"/>
    <n v="10368"/>
  </r>
  <r>
    <x v="7"/>
    <x v="1"/>
    <n v="15904"/>
    <n v="18537"/>
    <n v="15045"/>
    <n v="11926"/>
  </r>
  <r>
    <x v="8"/>
    <x v="1"/>
    <n v="14470"/>
    <n v="13933"/>
    <n v="13563"/>
    <n v="10230"/>
  </r>
  <r>
    <x v="9"/>
    <x v="1"/>
    <n v="10916"/>
    <n v="16680"/>
    <n v="12887"/>
    <n v="8359"/>
  </r>
  <r>
    <x v="10"/>
    <x v="1"/>
    <n v="10391"/>
    <n v="14793"/>
    <n v="11118"/>
    <n v="7776"/>
  </r>
  <r>
    <x v="11"/>
    <x v="1"/>
    <n v="8481"/>
    <n v="12742"/>
    <n v="9484"/>
    <n v="8243"/>
  </r>
  <r>
    <x v="0"/>
    <x v="1"/>
    <n v="10120"/>
    <n v="11850"/>
    <n v="7312"/>
    <n v="7212"/>
  </r>
  <r>
    <x v="1"/>
    <x v="1"/>
    <n v="8910"/>
    <n v="13061"/>
    <n v="7790"/>
    <n v="7208"/>
  </r>
  <r>
    <x v="2"/>
    <x v="1"/>
    <n v="9375"/>
    <n v="13179"/>
    <n v="7346"/>
    <n v="7257"/>
  </r>
  <r>
    <x v="3"/>
    <x v="1"/>
    <n v="12366"/>
    <n v="14340"/>
    <n v="9951"/>
    <n v="8513"/>
  </r>
  <r>
    <x v="4"/>
    <x v="1"/>
    <n v="10808"/>
    <n v="15465"/>
    <n v="9804"/>
    <n v="8647"/>
  </r>
  <r>
    <x v="5"/>
    <x v="2"/>
    <n v="11982"/>
    <n v="16643"/>
    <n v="11158"/>
    <n v="8797"/>
  </r>
  <r>
    <x v="6"/>
    <x v="2"/>
    <n v="13330"/>
    <n v="17772"/>
    <n v="13327"/>
    <n v="10465"/>
  </r>
  <r>
    <x v="7"/>
    <x v="2"/>
    <n v="12233"/>
    <n v="16582"/>
    <n v="15167"/>
    <n v="11803"/>
  </r>
  <r>
    <x v="8"/>
    <x v="2"/>
    <n v="12302"/>
    <n v="15786"/>
    <n v="14777"/>
    <n v="10281"/>
  </r>
  <r>
    <x v="9"/>
    <x v="2"/>
    <n v="7227"/>
    <n v="15861"/>
    <n v="12486"/>
    <n v="10386"/>
  </r>
  <r>
    <x v="10"/>
    <x v="2"/>
    <n v="12660"/>
    <n v="15179"/>
    <n v="12014"/>
    <n v="8028"/>
  </r>
  <r>
    <x v="11"/>
    <x v="2"/>
    <n v="9800"/>
    <n v="13520"/>
    <n v="9619"/>
    <n v="7788"/>
  </r>
  <r>
    <x v="0"/>
    <x v="2"/>
    <n v="12004"/>
    <n v="12332"/>
    <n v="7657"/>
    <n v="7109"/>
  </r>
  <r>
    <x v="1"/>
    <x v="2"/>
    <n v="10006"/>
    <n v="12433"/>
    <n v="7914"/>
    <n v="7597"/>
  </r>
  <r>
    <x v="2"/>
    <x v="2"/>
    <n v="8394"/>
    <n v="12867"/>
    <n v="7622"/>
    <n v="8260"/>
  </r>
  <r>
    <x v="3"/>
    <x v="2"/>
    <n v="9953"/>
    <n v="13505"/>
    <n v="9501"/>
    <n v="8672"/>
  </r>
  <r>
    <x v="4"/>
    <x v="2"/>
    <n v="10461"/>
    <n v="16212"/>
    <n v="9487"/>
    <n v="7380"/>
  </r>
  <r>
    <x v="5"/>
    <x v="3"/>
    <n v="10893"/>
    <n v="17088"/>
    <n v="12667"/>
    <n v="9645"/>
  </r>
  <r>
    <x v="6"/>
    <x v="3"/>
    <n v="9212"/>
    <n v="17147"/>
    <n v="13970"/>
    <n v="10674"/>
  </r>
  <r>
    <x v="7"/>
    <x v="3"/>
    <n v="13209"/>
    <n v="19881"/>
    <n v="15183"/>
    <n v="10131"/>
  </r>
  <r>
    <x v="8"/>
    <x v="3"/>
    <n v="10294"/>
    <n v="14570"/>
    <n v="14585"/>
    <n v="9684"/>
  </r>
  <r>
    <x v="9"/>
    <x v="3"/>
    <n v="11540"/>
    <n v="15410"/>
    <n v="13024"/>
    <n v="9870"/>
  </r>
  <r>
    <x v="10"/>
    <x v="3"/>
    <n v="10219"/>
    <n v="14320"/>
    <n v="11841"/>
    <n v="8504"/>
  </r>
  <r>
    <x v="11"/>
    <x v="3"/>
    <n v="10230"/>
    <n v="14438"/>
    <n v="9120"/>
    <n v="8544"/>
  </r>
  <r>
    <x v="0"/>
    <x v="3"/>
    <n v="9985"/>
    <n v="14051"/>
    <n v="7158"/>
    <n v="7496"/>
  </r>
  <r>
    <x v="1"/>
    <x v="3"/>
    <n v="6832"/>
    <n v="14050"/>
    <n v="8923"/>
    <n v="7528"/>
  </r>
  <r>
    <x v="2"/>
    <x v="3"/>
    <n v="9050"/>
    <n v="14626"/>
    <n v="9262"/>
    <n v="8295"/>
  </r>
  <r>
    <x v="3"/>
    <x v="3"/>
    <n v="10082"/>
    <n v="14553"/>
    <n v="8734"/>
    <n v="7942"/>
  </r>
  <r>
    <x v="4"/>
    <x v="3"/>
    <n v="10659"/>
    <n v="15190"/>
    <n v="10014"/>
    <n v="9686"/>
  </r>
  <r>
    <x v="5"/>
    <x v="4"/>
    <n v="11458"/>
    <n v="17059"/>
    <n v="13052"/>
    <n v="10214"/>
  </r>
  <r>
    <x v="6"/>
    <x v="4"/>
    <n v="10867"/>
    <n v="18541"/>
    <n v="14418"/>
    <n v="11050"/>
  </r>
  <r>
    <x v="7"/>
    <x v="4"/>
    <n v="12409"/>
    <n v="18567"/>
    <n v="16075"/>
    <n v="10320"/>
  </r>
  <r>
    <x v="8"/>
    <x v="4"/>
    <n v="11869"/>
    <n v="16684"/>
    <n v="14566"/>
    <n v="8270"/>
  </r>
  <r>
    <x v="9"/>
    <x v="4"/>
    <n v="8729"/>
    <n v="14523"/>
    <n v="11815"/>
    <n v="9556"/>
  </r>
  <r>
    <x v="10"/>
    <x v="4"/>
    <n v="10665"/>
    <n v="13316"/>
    <n v="12019"/>
    <n v="10349"/>
  </r>
  <r>
    <x v="11"/>
    <x v="4"/>
    <n v="8003"/>
    <n v="14466"/>
    <n v="9754"/>
    <n v="7938"/>
  </r>
  <r>
    <x v="0"/>
    <x v="4"/>
    <n v="9224"/>
    <n v="15045"/>
    <n v="6934"/>
    <n v="6467"/>
  </r>
  <r>
    <x v="1"/>
    <x v="4"/>
    <n v="9140"/>
    <n v="15028"/>
    <n v="7675"/>
    <n v="7837"/>
  </r>
  <r>
    <x v="2"/>
    <x v="4"/>
    <n v="11616"/>
    <n v="15187"/>
    <n v="8528"/>
    <n v="8325"/>
  </r>
  <r>
    <x v="3"/>
    <x v="4"/>
    <n v="9428"/>
    <n v="14271"/>
    <n v="10118"/>
    <n v="8532"/>
  </r>
  <r>
    <x v="4"/>
    <x v="4"/>
    <n v="14249"/>
    <n v="15923"/>
    <n v="11197"/>
    <n v="9786"/>
  </r>
  <r>
    <x v="5"/>
    <x v="5"/>
    <n v="9511"/>
    <n v="16632"/>
    <n v="12917"/>
    <n v="9492"/>
  </r>
  <r>
    <x v="6"/>
    <x v="5"/>
    <n v="12094"/>
    <n v="18432"/>
    <n v="13052"/>
    <n v="10284"/>
  </r>
  <r>
    <x v="7"/>
    <x v="5"/>
    <n v="13273"/>
    <n v="19743"/>
    <n v="14445"/>
    <n v="9606"/>
  </r>
  <r>
    <x v="8"/>
    <x v="5"/>
    <n v="11184"/>
    <n v="15632"/>
    <n v="14451"/>
    <n v="10037"/>
  </r>
  <r>
    <x v="9"/>
    <x v="5"/>
    <n v="10793"/>
    <n v="16404"/>
    <n v="12037"/>
    <n v="10208"/>
  </r>
  <r>
    <x v="10"/>
    <x v="5"/>
    <n v="8693"/>
    <n v="15572"/>
    <n v="10517"/>
    <n v="8585"/>
  </r>
  <r>
    <x v="11"/>
    <x v="5"/>
    <n v="8479"/>
    <n v="14310"/>
    <n v="10013"/>
    <n v="10054"/>
  </r>
  <r>
    <x v="0"/>
    <x v="5"/>
    <n v="8120"/>
    <n v="16102"/>
    <n v="7375"/>
    <n v="7521"/>
  </r>
  <r>
    <x v="1"/>
    <x v="5"/>
    <n v="9239"/>
    <n v="14942"/>
    <n v="8185"/>
    <n v="7092"/>
  </r>
  <r>
    <x v="2"/>
    <x v="5"/>
    <n v="9266"/>
    <n v="14242"/>
    <n v="8498"/>
    <n v="8594"/>
  </r>
  <r>
    <x v="3"/>
    <x v="5"/>
    <n v="8652"/>
    <n v="15039"/>
    <n v="9690"/>
    <n v="8393"/>
  </r>
  <r>
    <x v="4"/>
    <x v="5"/>
    <n v="12405"/>
    <n v="15683"/>
    <n v="10048"/>
    <n v="8940"/>
  </r>
  <r>
    <x v="5"/>
    <x v="6"/>
    <n v="8964"/>
    <n v="19459"/>
    <n v="12811"/>
    <n v="9710"/>
  </r>
  <r>
    <x v="6"/>
    <x v="6"/>
    <n v="11521"/>
    <n v="18687"/>
    <n v="11745"/>
    <n v="9392"/>
  </r>
  <r>
    <x v="7"/>
    <x v="6"/>
    <n v="12368"/>
    <n v="20459"/>
    <n v="16120"/>
    <n v="11138"/>
  </r>
  <r>
    <x v="8"/>
    <x v="6"/>
    <n v="12729"/>
    <n v="17137"/>
    <n v="13229"/>
    <n v="10664"/>
  </r>
  <r>
    <x v="9"/>
    <x v="6"/>
    <n v="10956"/>
    <n v="16594"/>
    <n v="12419"/>
    <n v="9681"/>
  </r>
  <r>
    <x v="10"/>
    <x v="6"/>
    <n v="12069"/>
    <n v="16274"/>
    <n v="11209"/>
    <n v="8698"/>
  </r>
  <r>
    <x v="11"/>
    <x v="6"/>
    <n v="9902"/>
    <n v="15103"/>
    <n v="10227"/>
    <n v="8581"/>
  </r>
  <r>
    <x v="0"/>
    <x v="6"/>
    <n v="10091"/>
    <n v="15413"/>
    <n v="7275"/>
    <n v="6310"/>
  </r>
  <r>
    <x v="1"/>
    <x v="6"/>
    <n v="9769"/>
    <n v="14860"/>
    <n v="8200"/>
    <n v="7357"/>
  </r>
  <r>
    <x v="2"/>
    <x v="6"/>
    <n v="8578"/>
    <n v="14334"/>
    <n v="7470"/>
    <n v="8353"/>
  </r>
  <r>
    <x v="3"/>
    <x v="6"/>
    <n v="9763"/>
    <n v="14398"/>
    <n v="10347"/>
    <n v="8292"/>
  </r>
  <r>
    <x v="4"/>
    <x v="6"/>
    <n v="8348"/>
    <n v="16939"/>
    <n v="10090"/>
    <n v="9078"/>
  </r>
  <r>
    <x v="5"/>
    <x v="7"/>
    <n v="9237"/>
    <n v="19489"/>
    <n v="12014"/>
    <n v="10353"/>
  </r>
  <r>
    <x v="6"/>
    <x v="7"/>
    <n v="11204"/>
    <n v="20016"/>
    <n v="13217"/>
    <n v="9228"/>
  </r>
  <r>
    <x v="7"/>
    <x v="7"/>
    <n v="10737"/>
    <n v="22099"/>
    <n v="15777"/>
    <n v="9420"/>
  </r>
  <r>
    <x v="8"/>
    <x v="7"/>
    <n v="12276"/>
    <n v="16689"/>
    <n v="14014"/>
    <n v="10636"/>
  </r>
  <r>
    <x v="9"/>
    <x v="7"/>
    <n v="9230"/>
    <n v="16804"/>
    <n v="11875"/>
    <n v="9953"/>
  </r>
  <r>
    <x v="10"/>
    <x v="7"/>
    <n v="9405"/>
    <n v="16543"/>
    <n v="11140"/>
    <n v="9177"/>
  </r>
  <r>
    <x v="11"/>
    <x v="7"/>
    <n v="10378"/>
    <n v="16045"/>
    <n v="9117"/>
    <n v="7192"/>
  </r>
  <r>
    <x v="0"/>
    <x v="7"/>
    <n v="8827"/>
    <n v="16896"/>
    <n v="7315"/>
    <n v="6624"/>
  </r>
  <r>
    <x v="1"/>
    <x v="7"/>
    <n v="8559"/>
    <n v="16546"/>
    <n v="8128"/>
    <n v="9084"/>
  </r>
  <r>
    <x v="2"/>
    <x v="7"/>
    <n v="9143"/>
    <n v="15039"/>
    <n v="9076"/>
    <n v="7771"/>
  </r>
  <r>
    <x v="3"/>
    <x v="7"/>
    <n v="9989"/>
    <n v="16872"/>
    <n v="9826"/>
    <n v="9400"/>
  </r>
  <r>
    <x v="4"/>
    <x v="7"/>
    <n v="9299"/>
    <n v="17068"/>
    <n v="10262"/>
    <n v="9194"/>
  </r>
  <r>
    <x v="5"/>
    <x v="8"/>
    <n v="10524"/>
    <n v="17368"/>
    <n v="13074"/>
    <n v="10002"/>
  </r>
  <r>
    <x v="6"/>
    <x v="8"/>
    <n v="12887"/>
    <n v="20287"/>
    <n v="14261"/>
    <n v="10538"/>
  </r>
  <r>
    <x v="7"/>
    <x v="8"/>
    <n v="11145"/>
    <n v="22133"/>
    <n v="14601"/>
    <n v="8717"/>
  </r>
  <r>
    <x v="8"/>
    <x v="8"/>
    <n v="11882"/>
    <n v="18534"/>
    <n v="14353"/>
    <n v="11071"/>
  </r>
  <r>
    <x v="9"/>
    <x v="8"/>
    <n v="9448"/>
    <n v="18978"/>
    <n v="13868"/>
    <n v="9441"/>
  </r>
  <r>
    <x v="10"/>
    <x v="8"/>
    <n v="7857"/>
    <n v="15800"/>
    <n v="11311"/>
    <n v="8548"/>
  </r>
  <r>
    <x v="11"/>
    <x v="8"/>
    <n v="8482"/>
    <n v="16379"/>
    <n v="9305"/>
    <n v="8566"/>
  </r>
  <r>
    <x v="0"/>
    <x v="8"/>
    <n v="9064"/>
    <n v="15686"/>
    <n v="7075"/>
    <n v="7876"/>
  </r>
  <r>
    <x v="1"/>
    <x v="8"/>
    <n v="7591"/>
    <n v="17447"/>
    <n v="7826"/>
    <n v="7534"/>
  </r>
  <r>
    <x v="2"/>
    <x v="8"/>
    <n v="8801"/>
    <n v="15853"/>
    <n v="8147"/>
    <n v="7125"/>
  </r>
  <r>
    <x v="3"/>
    <x v="8"/>
    <n v="10634"/>
    <n v="16267"/>
    <n v="9648"/>
    <n v="8743"/>
  </r>
  <r>
    <x v="4"/>
    <x v="8"/>
    <n v="9951"/>
    <n v="18437"/>
    <n v="10941"/>
    <n v="9070"/>
  </r>
  <r>
    <x v="5"/>
    <x v="9"/>
    <n v="11214"/>
    <n v="19665"/>
    <n v="12023"/>
    <n v="9132"/>
  </r>
  <r>
    <x v="6"/>
    <x v="9"/>
    <n v="10990"/>
    <n v="22022"/>
    <n v="13805"/>
    <n v="10237"/>
  </r>
  <r>
    <x v="7"/>
    <x v="9"/>
    <n v="11975"/>
    <n v="21775"/>
    <n v="14622"/>
    <n v="9414"/>
  </r>
  <r>
    <x v="8"/>
    <x v="9"/>
    <n v="12137"/>
    <n v="18675"/>
    <n v="13921"/>
    <n v="9033"/>
  </r>
  <r>
    <x v="9"/>
    <x v="9"/>
    <n v="10892"/>
    <n v="18869"/>
    <n v="12680"/>
    <n v="8375"/>
  </r>
  <r>
    <x v="10"/>
    <x v="9"/>
    <n v="11249"/>
    <n v="17166"/>
    <n v="11076"/>
    <n v="8906"/>
  </r>
  <r>
    <x v="11"/>
    <x v="9"/>
    <n v="7531"/>
    <n v="16354"/>
    <n v="8288"/>
    <n v="7122"/>
  </r>
  <r>
    <x v="0"/>
    <x v="9"/>
    <n v="7992"/>
    <n v="16719"/>
    <n v="7061"/>
    <n v="7193"/>
  </r>
  <r>
    <x v="1"/>
    <x v="9"/>
    <n v="9230"/>
    <n v="16232"/>
    <n v="7365"/>
    <n v="7619"/>
  </r>
  <r>
    <x v="2"/>
    <x v="9"/>
    <n v="10123"/>
    <n v="15923"/>
    <n v="7969"/>
    <n v="7793"/>
  </r>
  <r>
    <x v="3"/>
    <x v="9"/>
    <n v="11419"/>
    <n v="17682"/>
    <n v="10018"/>
    <n v="7434"/>
  </r>
  <r>
    <x v="4"/>
    <x v="9"/>
    <n v="12102"/>
    <n v="18182"/>
    <n v="10512"/>
    <n v="10299"/>
  </r>
  <r>
    <x v="5"/>
    <x v="10"/>
    <n v="10903"/>
    <n v="19671"/>
    <n v="11937"/>
    <n v="9082"/>
  </r>
  <r>
    <x v="6"/>
    <x v="10"/>
    <n v="12513"/>
    <n v="21998"/>
    <n v="13453"/>
    <n v="9805"/>
  </r>
  <r>
    <x v="7"/>
    <x v="10"/>
    <n v="10696"/>
    <n v="23076"/>
    <n v="14793"/>
    <n v="10482"/>
  </r>
  <r>
    <x v="8"/>
    <x v="10"/>
    <n v="13758"/>
    <n v="18848"/>
    <n v="13661"/>
    <n v="108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E130" firstHeaderRow="0" firstDataRow="1" firstDataCol="1"/>
  <pivotFields count="6">
    <pivotField axis="axisRow" showAll="0">
      <items count="13">
        <item x="5"/>
        <item x="6"/>
        <item x="7"/>
        <item x="8"/>
        <item x="9"/>
        <item x="10"/>
        <item x="11"/>
        <item x="0"/>
        <item x="1"/>
        <item x="2"/>
        <item x="3"/>
        <item x="4"/>
        <item t="default"/>
      </items>
    </pivotField>
    <pivotField axis="axisRow" showAll="0">
      <items count="12">
        <item x="0"/>
        <item x="1"/>
        <item x="2"/>
        <item x="3"/>
        <item x="4"/>
        <item x="5"/>
        <item x="6"/>
        <item x="7"/>
        <item x="8"/>
        <item x="9"/>
        <item x="10"/>
        <item t="default"/>
      </items>
    </pivotField>
    <pivotField dataField="1" showAll="0"/>
    <pivotField dataField="1" showAll="0"/>
    <pivotField dataField="1" showAll="0"/>
    <pivotField dataField="1" showAll="0"/>
  </pivotFields>
  <rowFields count="2">
    <field x="1"/>
    <field x="0"/>
  </rowFields>
  <rowItems count="129">
    <i>
      <x/>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x v="5"/>
    </i>
    <i r="1">
      <x/>
    </i>
    <i r="1">
      <x v="1"/>
    </i>
    <i r="1">
      <x v="2"/>
    </i>
    <i r="1">
      <x v="3"/>
    </i>
    <i r="1">
      <x v="4"/>
    </i>
    <i r="1">
      <x v="5"/>
    </i>
    <i r="1">
      <x v="6"/>
    </i>
    <i r="1">
      <x v="7"/>
    </i>
    <i r="1">
      <x v="8"/>
    </i>
    <i r="1">
      <x v="9"/>
    </i>
    <i r="1">
      <x v="10"/>
    </i>
    <i r="1">
      <x v="11"/>
    </i>
    <i>
      <x v="6"/>
    </i>
    <i r="1">
      <x/>
    </i>
    <i r="1">
      <x v="1"/>
    </i>
    <i r="1">
      <x v="2"/>
    </i>
    <i r="1">
      <x v="3"/>
    </i>
    <i r="1">
      <x v="4"/>
    </i>
    <i r="1">
      <x v="5"/>
    </i>
    <i r="1">
      <x v="6"/>
    </i>
    <i r="1">
      <x v="7"/>
    </i>
    <i r="1">
      <x v="8"/>
    </i>
    <i r="1">
      <x v="9"/>
    </i>
    <i r="1">
      <x v="10"/>
    </i>
    <i r="1">
      <x v="11"/>
    </i>
    <i>
      <x v="7"/>
    </i>
    <i r="1">
      <x/>
    </i>
    <i r="1">
      <x v="1"/>
    </i>
    <i r="1">
      <x v="2"/>
    </i>
    <i r="1">
      <x v="3"/>
    </i>
    <i r="1">
      <x v="4"/>
    </i>
    <i r="1">
      <x v="5"/>
    </i>
    <i r="1">
      <x v="6"/>
    </i>
    <i r="1">
      <x v="7"/>
    </i>
    <i r="1">
      <x v="8"/>
    </i>
    <i r="1">
      <x v="9"/>
    </i>
    <i r="1">
      <x v="10"/>
    </i>
    <i r="1">
      <x v="11"/>
    </i>
    <i>
      <x v="8"/>
    </i>
    <i r="1">
      <x/>
    </i>
    <i r="1">
      <x v="1"/>
    </i>
    <i r="1">
      <x v="2"/>
    </i>
    <i r="1">
      <x v="3"/>
    </i>
    <i r="1">
      <x v="4"/>
    </i>
    <i r="1">
      <x v="5"/>
    </i>
    <i r="1">
      <x v="6"/>
    </i>
    <i r="1">
      <x v="7"/>
    </i>
    <i r="1">
      <x v="8"/>
    </i>
    <i r="1">
      <x v="9"/>
    </i>
    <i r="1">
      <x v="10"/>
    </i>
    <i r="1">
      <x v="11"/>
    </i>
    <i>
      <x v="9"/>
    </i>
    <i r="1">
      <x/>
    </i>
    <i r="1">
      <x v="1"/>
    </i>
    <i r="1">
      <x v="2"/>
    </i>
    <i r="1">
      <x v="3"/>
    </i>
    <i r="1">
      <x v="4"/>
    </i>
    <i r="1">
      <x v="5"/>
    </i>
    <i r="1">
      <x v="6"/>
    </i>
    <i r="1">
      <x v="7"/>
    </i>
    <i r="1">
      <x v="8"/>
    </i>
    <i r="1">
      <x v="9"/>
    </i>
    <i r="1">
      <x v="10"/>
    </i>
    <i r="1">
      <x v="11"/>
    </i>
    <i>
      <x v="10"/>
    </i>
    <i r="1">
      <x/>
    </i>
    <i r="1">
      <x v="1"/>
    </i>
    <i r="1">
      <x v="2"/>
    </i>
    <i r="1">
      <x v="3"/>
    </i>
    <i t="grand">
      <x/>
    </i>
  </rowItems>
  <colFields count="1">
    <field x="-2"/>
  </colFields>
  <colItems count="4">
    <i>
      <x/>
    </i>
    <i i="1">
      <x v="1"/>
    </i>
    <i i="2">
      <x v="2"/>
    </i>
    <i i="3">
      <x v="3"/>
    </i>
  </colItems>
  <dataFields count="4">
    <dataField name="Sales for East" fld="2" baseField="0" baseItem="7"/>
    <dataField name="Sales for South" fld="3" baseField="0" baseItem="7"/>
    <dataField name="Sales for North" fld="4" baseField="0" baseItem="7"/>
    <dataField name="Sales for West" fld="5" baseField="0" baseItem="7"/>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3.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7.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1.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5.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2.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46.xml"/><Relationship Id="rId1" Type="http://schemas.openxmlformats.org/officeDocument/2006/relationships/printerSettings" Target="../printerSettings/printerSettings12.bin"/><Relationship Id="rId4" Type="http://schemas.openxmlformats.org/officeDocument/2006/relationships/comments" Target="../comments8.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53.xml"/><Relationship Id="rId1" Type="http://schemas.openxmlformats.org/officeDocument/2006/relationships/printerSettings" Target="../printerSettings/printerSettings13.bin"/><Relationship Id="rId4" Type="http://schemas.openxmlformats.org/officeDocument/2006/relationships/comments" Target="../comments9.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60.xml"/><Relationship Id="rId1" Type="http://schemas.openxmlformats.org/officeDocument/2006/relationships/printerSettings" Target="../printerSettings/printerSettings14.bin"/><Relationship Id="rId4" Type="http://schemas.openxmlformats.org/officeDocument/2006/relationships/comments" Target="../comments10.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67.xml"/><Relationship Id="rId1" Type="http://schemas.openxmlformats.org/officeDocument/2006/relationships/printerSettings" Target="../printerSettings/printerSettings15.bin"/><Relationship Id="rId4" Type="http://schemas.openxmlformats.org/officeDocument/2006/relationships/comments" Target="../comments1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71.xml"/><Relationship Id="rId1" Type="http://schemas.openxmlformats.org/officeDocument/2006/relationships/printerSettings" Target="../printerSettings/printerSettings16.bin"/><Relationship Id="rId4" Type="http://schemas.openxmlformats.org/officeDocument/2006/relationships/comments" Target="../comments12.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78.xml"/><Relationship Id="rId1" Type="http://schemas.openxmlformats.org/officeDocument/2006/relationships/printerSettings" Target="../printerSettings/printerSettings17.bin"/><Relationship Id="rId4" Type="http://schemas.openxmlformats.org/officeDocument/2006/relationships/comments" Target="../comments13.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82.xml"/><Relationship Id="rId1" Type="http://schemas.openxmlformats.org/officeDocument/2006/relationships/printerSettings" Target="../printerSettings/printerSettings18.bin"/><Relationship Id="rId4" Type="http://schemas.openxmlformats.org/officeDocument/2006/relationships/comments" Target="../comments14.xml"/></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89.xml"/><Relationship Id="rId1" Type="http://schemas.openxmlformats.org/officeDocument/2006/relationships/printerSettings" Target="../printerSettings/printerSettings19.bin"/><Relationship Id="rId4" Type="http://schemas.openxmlformats.org/officeDocument/2006/relationships/comments" Target="../comments15.xm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96.xml"/><Relationship Id="rId1" Type="http://schemas.openxmlformats.org/officeDocument/2006/relationships/printerSettings" Target="../printerSettings/printerSettings20.bin"/><Relationship Id="rId4" Type="http://schemas.openxmlformats.org/officeDocument/2006/relationships/comments" Target="../comments16.xml"/></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03.xml"/><Relationship Id="rId1" Type="http://schemas.openxmlformats.org/officeDocument/2006/relationships/printerSettings" Target="../printerSettings/printerSettings21.bin"/><Relationship Id="rId4" Type="http://schemas.openxmlformats.org/officeDocument/2006/relationships/comments" Target="../comments17.xml"/></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05.xml"/><Relationship Id="rId1" Type="http://schemas.openxmlformats.org/officeDocument/2006/relationships/printerSettings" Target="../printerSettings/printerSettings22.bin"/><Relationship Id="rId4" Type="http://schemas.openxmlformats.org/officeDocument/2006/relationships/comments" Target="../comments18.xml"/></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107.xml"/><Relationship Id="rId1" Type="http://schemas.openxmlformats.org/officeDocument/2006/relationships/printerSettings" Target="../printerSettings/printerSettings23.bin"/><Relationship Id="rId4" Type="http://schemas.openxmlformats.org/officeDocument/2006/relationships/comments" Target="../comments19.xml"/></Relationships>
</file>

<file path=xl/worksheets/_rels/sheet36.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109.xml"/><Relationship Id="rId1" Type="http://schemas.openxmlformats.org/officeDocument/2006/relationships/printerSettings" Target="../printerSettings/printerSettings24.bin"/><Relationship Id="rId4" Type="http://schemas.openxmlformats.org/officeDocument/2006/relationships/comments" Target="../comments20.xml"/></Relationships>
</file>

<file path=xl/worksheets/_rels/sheet37.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5.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6.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7.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workbookViewId="0">
      <selection activeCell="N28" sqref="N28"/>
    </sheetView>
  </sheetViews>
  <sheetFormatPr defaultRowHeight="15" x14ac:dyDescent="0.25"/>
  <cols>
    <col min="1" max="1" width="11.7109375" bestFit="1" customWidth="1"/>
    <col min="4" max="4" width="11.7109375" bestFit="1" customWidth="1"/>
    <col min="7" max="7" width="11.7109375" bestFit="1" customWidth="1"/>
    <col min="10" max="10" width="11.7109375" bestFit="1" customWidth="1"/>
  </cols>
  <sheetData>
    <row r="1" spans="1:11" ht="15.75" thickTop="1" x14ac:dyDescent="0.25">
      <c r="A1" s="3" t="s">
        <v>4</v>
      </c>
      <c r="B1" s="4" t="s">
        <v>0</v>
      </c>
      <c r="D1" s="3" t="s">
        <v>4</v>
      </c>
      <c r="E1" s="4" t="s">
        <v>1</v>
      </c>
      <c r="G1" s="3" t="s">
        <v>4</v>
      </c>
      <c r="H1" s="4" t="s">
        <v>2</v>
      </c>
      <c r="J1" s="3" t="s">
        <v>4</v>
      </c>
      <c r="K1" s="4" t="s">
        <v>3</v>
      </c>
    </row>
    <row r="2" spans="1:11" x14ac:dyDescent="0.25">
      <c r="A2" s="5">
        <v>41487</v>
      </c>
      <c r="B2" s="6">
        <v>7419</v>
      </c>
      <c r="D2" s="5">
        <v>41487</v>
      </c>
      <c r="E2" s="6">
        <v>12326</v>
      </c>
      <c r="G2" s="5">
        <v>41487</v>
      </c>
      <c r="H2" s="6">
        <v>6722</v>
      </c>
      <c r="J2" s="5">
        <v>41487</v>
      </c>
      <c r="K2" s="6">
        <v>8164</v>
      </c>
    </row>
    <row r="3" spans="1:11" x14ac:dyDescent="0.25">
      <c r="A3" s="7">
        <v>41518</v>
      </c>
      <c r="B3" s="8">
        <v>8824</v>
      </c>
      <c r="D3" s="7">
        <v>41518</v>
      </c>
      <c r="E3" s="8">
        <v>13229</v>
      </c>
      <c r="G3" s="7">
        <v>41518</v>
      </c>
      <c r="H3" s="8">
        <v>7266</v>
      </c>
      <c r="J3" s="7">
        <v>41518</v>
      </c>
      <c r="K3" s="8">
        <v>6751</v>
      </c>
    </row>
    <row r="4" spans="1:11" x14ac:dyDescent="0.25">
      <c r="A4" s="7">
        <v>41548</v>
      </c>
      <c r="B4" s="8">
        <v>11583</v>
      </c>
      <c r="D4" s="7">
        <v>41548</v>
      </c>
      <c r="E4" s="8">
        <v>13278</v>
      </c>
      <c r="G4" s="7">
        <v>41548</v>
      </c>
      <c r="H4" s="8">
        <v>8341</v>
      </c>
      <c r="J4" s="7">
        <v>41548</v>
      </c>
      <c r="K4" s="8">
        <v>8435</v>
      </c>
    </row>
    <row r="5" spans="1:11" x14ac:dyDescent="0.25">
      <c r="A5" s="7">
        <v>41579</v>
      </c>
      <c r="B5" s="8">
        <v>7958</v>
      </c>
      <c r="D5" s="7">
        <v>41579</v>
      </c>
      <c r="E5" s="8">
        <v>13592</v>
      </c>
      <c r="G5" s="7">
        <v>41579</v>
      </c>
      <c r="H5" s="8">
        <v>10213</v>
      </c>
      <c r="J5" s="7">
        <v>41579</v>
      </c>
      <c r="K5" s="8">
        <v>8628</v>
      </c>
    </row>
    <row r="6" spans="1:11" x14ac:dyDescent="0.25">
      <c r="A6" s="7">
        <v>41609</v>
      </c>
      <c r="B6" s="8">
        <v>11933</v>
      </c>
      <c r="D6" s="7">
        <v>41609</v>
      </c>
      <c r="E6" s="8">
        <v>14711</v>
      </c>
      <c r="G6" s="7">
        <v>41609</v>
      </c>
      <c r="H6" s="8">
        <v>11024</v>
      </c>
      <c r="J6" s="7">
        <v>41609</v>
      </c>
      <c r="K6" s="8">
        <v>8327</v>
      </c>
    </row>
    <row r="7" spans="1:11" x14ac:dyDescent="0.25">
      <c r="A7" s="7">
        <v>41640</v>
      </c>
      <c r="B7" s="8">
        <v>11227</v>
      </c>
      <c r="D7" s="7">
        <v>41640</v>
      </c>
      <c r="E7" s="8">
        <v>16204</v>
      </c>
      <c r="G7" s="7">
        <v>41640</v>
      </c>
      <c r="H7" s="8">
        <v>12501</v>
      </c>
      <c r="J7" s="7">
        <v>41640</v>
      </c>
      <c r="K7" s="8">
        <v>10286</v>
      </c>
    </row>
    <row r="8" spans="1:11" x14ac:dyDescent="0.25">
      <c r="A8" s="7">
        <v>41671</v>
      </c>
      <c r="B8" s="8">
        <v>11258</v>
      </c>
      <c r="D8" s="7">
        <v>41671</v>
      </c>
      <c r="E8" s="8">
        <v>17507</v>
      </c>
      <c r="G8" s="7">
        <v>41671</v>
      </c>
      <c r="H8" s="8">
        <v>14247</v>
      </c>
      <c r="J8" s="7">
        <v>41671</v>
      </c>
      <c r="K8" s="8">
        <v>10368</v>
      </c>
    </row>
    <row r="9" spans="1:11" x14ac:dyDescent="0.25">
      <c r="A9" s="7">
        <v>41699</v>
      </c>
      <c r="B9" s="8">
        <v>15904</v>
      </c>
      <c r="D9" s="7">
        <v>41699</v>
      </c>
      <c r="E9" s="8">
        <v>18537</v>
      </c>
      <c r="G9" s="7">
        <v>41699</v>
      </c>
      <c r="H9" s="8">
        <v>15045</v>
      </c>
      <c r="J9" s="7">
        <v>41699</v>
      </c>
      <c r="K9" s="8">
        <v>11926</v>
      </c>
    </row>
    <row r="10" spans="1:11" x14ac:dyDescent="0.25">
      <c r="A10" s="7">
        <v>41730</v>
      </c>
      <c r="B10" s="8">
        <v>14470</v>
      </c>
      <c r="D10" s="7">
        <v>41730</v>
      </c>
      <c r="E10" s="8">
        <v>13933</v>
      </c>
      <c r="G10" s="7">
        <v>41730</v>
      </c>
      <c r="H10" s="8">
        <v>13563</v>
      </c>
      <c r="J10" s="7">
        <v>41730</v>
      </c>
      <c r="K10" s="8">
        <v>10230</v>
      </c>
    </row>
    <row r="11" spans="1:11" x14ac:dyDescent="0.25">
      <c r="A11" s="7">
        <v>41760</v>
      </c>
      <c r="B11" s="8">
        <v>10916</v>
      </c>
      <c r="D11" s="7">
        <v>41760</v>
      </c>
      <c r="E11" s="8">
        <v>16680</v>
      </c>
      <c r="G11" s="7">
        <v>41760</v>
      </c>
      <c r="H11" s="8">
        <v>12887</v>
      </c>
      <c r="J11" s="7">
        <v>41760</v>
      </c>
      <c r="K11" s="8">
        <v>8359</v>
      </c>
    </row>
    <row r="12" spans="1:11" x14ac:dyDescent="0.25">
      <c r="A12" s="7">
        <v>41791</v>
      </c>
      <c r="B12" s="8">
        <v>10391</v>
      </c>
      <c r="D12" s="7">
        <v>41791</v>
      </c>
      <c r="E12" s="8">
        <v>14793</v>
      </c>
      <c r="G12" s="7">
        <v>41791</v>
      </c>
      <c r="H12" s="8">
        <v>11118</v>
      </c>
      <c r="J12" s="7">
        <v>41791</v>
      </c>
      <c r="K12" s="8">
        <v>7776</v>
      </c>
    </row>
    <row r="13" spans="1:11" x14ac:dyDescent="0.25">
      <c r="A13" s="7">
        <v>41821</v>
      </c>
      <c r="B13" s="8">
        <v>8481</v>
      </c>
      <c r="D13" s="7">
        <v>41821</v>
      </c>
      <c r="E13" s="8">
        <v>12742</v>
      </c>
      <c r="G13" s="7">
        <v>41821</v>
      </c>
      <c r="H13" s="8">
        <v>9484</v>
      </c>
      <c r="J13" s="7">
        <v>41821</v>
      </c>
      <c r="K13" s="8">
        <v>8243</v>
      </c>
    </row>
    <row r="14" spans="1:11" x14ac:dyDescent="0.25">
      <c r="A14" s="7">
        <v>41852</v>
      </c>
      <c r="B14" s="8">
        <v>10120</v>
      </c>
      <c r="D14" s="7">
        <v>41852</v>
      </c>
      <c r="E14" s="8">
        <v>11850</v>
      </c>
      <c r="G14" s="7">
        <v>41852</v>
      </c>
      <c r="H14" s="8">
        <v>7312</v>
      </c>
      <c r="J14" s="7">
        <v>41852</v>
      </c>
      <c r="K14" s="8">
        <v>7212</v>
      </c>
    </row>
    <row r="15" spans="1:11" x14ac:dyDescent="0.25">
      <c r="A15" s="7">
        <v>41883</v>
      </c>
      <c r="B15" s="8">
        <v>8910</v>
      </c>
      <c r="D15" s="7">
        <v>41883</v>
      </c>
      <c r="E15" s="8">
        <v>13061</v>
      </c>
      <c r="G15" s="7">
        <v>41883</v>
      </c>
      <c r="H15" s="8">
        <v>7790</v>
      </c>
      <c r="J15" s="7">
        <v>41883</v>
      </c>
      <c r="K15" s="8">
        <v>7208</v>
      </c>
    </row>
    <row r="16" spans="1:11" x14ac:dyDescent="0.25">
      <c r="A16" s="7">
        <v>41913</v>
      </c>
      <c r="B16" s="8">
        <v>9375</v>
      </c>
      <c r="D16" s="7">
        <v>41913</v>
      </c>
      <c r="E16" s="8">
        <v>13179</v>
      </c>
      <c r="G16" s="7">
        <v>41913</v>
      </c>
      <c r="H16" s="8">
        <v>7346</v>
      </c>
      <c r="J16" s="7">
        <v>41913</v>
      </c>
      <c r="K16" s="8">
        <v>7257</v>
      </c>
    </row>
    <row r="17" spans="1:11" x14ac:dyDescent="0.25">
      <c r="A17" s="7">
        <v>41944</v>
      </c>
      <c r="B17" s="8">
        <v>12366</v>
      </c>
      <c r="D17" s="7">
        <v>41944</v>
      </c>
      <c r="E17" s="8">
        <v>14340</v>
      </c>
      <c r="G17" s="7">
        <v>41944</v>
      </c>
      <c r="H17" s="8">
        <v>9951</v>
      </c>
      <c r="J17" s="7">
        <v>41944</v>
      </c>
      <c r="K17" s="8">
        <v>8513</v>
      </c>
    </row>
    <row r="18" spans="1:11" x14ac:dyDescent="0.25">
      <c r="A18" s="7">
        <v>41974</v>
      </c>
      <c r="B18" s="8">
        <v>10808</v>
      </c>
      <c r="D18" s="7">
        <v>41974</v>
      </c>
      <c r="E18" s="8">
        <v>15465</v>
      </c>
      <c r="G18" s="7">
        <v>41974</v>
      </c>
      <c r="H18" s="8">
        <v>9804</v>
      </c>
      <c r="J18" s="7">
        <v>41974</v>
      </c>
      <c r="K18" s="8">
        <v>8647</v>
      </c>
    </row>
    <row r="19" spans="1:11" x14ac:dyDescent="0.25">
      <c r="A19" s="7">
        <v>42005</v>
      </c>
      <c r="B19" s="8">
        <v>11982</v>
      </c>
      <c r="D19" s="7">
        <v>42005</v>
      </c>
      <c r="E19" s="8">
        <v>16643</v>
      </c>
      <c r="G19" s="7">
        <v>42005</v>
      </c>
      <c r="H19" s="8">
        <v>11158</v>
      </c>
      <c r="J19" s="7">
        <v>42005</v>
      </c>
      <c r="K19" s="8">
        <v>8797</v>
      </c>
    </row>
    <row r="20" spans="1:11" x14ac:dyDescent="0.25">
      <c r="A20" s="7">
        <v>42036</v>
      </c>
      <c r="B20" s="8">
        <v>13330</v>
      </c>
      <c r="D20" s="7">
        <v>42036</v>
      </c>
      <c r="E20" s="8">
        <v>17772</v>
      </c>
      <c r="G20" s="7">
        <v>42036</v>
      </c>
      <c r="H20" s="8">
        <v>13327</v>
      </c>
      <c r="J20" s="7">
        <v>42036</v>
      </c>
      <c r="K20" s="8">
        <v>10465</v>
      </c>
    </row>
    <row r="21" spans="1:11" x14ac:dyDescent="0.25">
      <c r="A21" s="7">
        <v>42064</v>
      </c>
      <c r="B21" s="8">
        <v>12233</v>
      </c>
      <c r="D21" s="7">
        <v>42064</v>
      </c>
      <c r="E21" s="8">
        <v>16582</v>
      </c>
      <c r="G21" s="7">
        <v>42064</v>
      </c>
      <c r="H21" s="8">
        <v>15167</v>
      </c>
      <c r="J21" s="7">
        <v>42064</v>
      </c>
      <c r="K21" s="8">
        <v>11803</v>
      </c>
    </row>
    <row r="22" spans="1:11" x14ac:dyDescent="0.25">
      <c r="A22" s="7">
        <v>42095</v>
      </c>
      <c r="B22" s="8">
        <v>12302</v>
      </c>
      <c r="D22" s="7">
        <v>42095</v>
      </c>
      <c r="E22" s="8">
        <v>15786</v>
      </c>
      <c r="G22" s="7">
        <v>42095</v>
      </c>
      <c r="H22" s="8">
        <v>14777</v>
      </c>
      <c r="J22" s="7">
        <v>42095</v>
      </c>
      <c r="K22" s="8">
        <v>10281</v>
      </c>
    </row>
    <row r="23" spans="1:11" x14ac:dyDescent="0.25">
      <c r="A23" s="7">
        <v>42125</v>
      </c>
      <c r="B23" s="8">
        <v>7227</v>
      </c>
      <c r="D23" s="7">
        <v>42125</v>
      </c>
      <c r="E23" s="8">
        <v>15861</v>
      </c>
      <c r="G23" s="7">
        <v>42125</v>
      </c>
      <c r="H23" s="8">
        <v>12486</v>
      </c>
      <c r="J23" s="7">
        <v>42125</v>
      </c>
      <c r="K23" s="8">
        <v>10386</v>
      </c>
    </row>
    <row r="24" spans="1:11" x14ac:dyDescent="0.25">
      <c r="A24" s="7">
        <v>42156</v>
      </c>
      <c r="B24" s="8">
        <v>12660</v>
      </c>
      <c r="D24" s="7">
        <v>42156</v>
      </c>
      <c r="E24" s="8">
        <v>15179</v>
      </c>
      <c r="G24" s="7">
        <v>42156</v>
      </c>
      <c r="H24" s="8">
        <v>12014</v>
      </c>
      <c r="J24" s="7">
        <v>42156</v>
      </c>
      <c r="K24" s="8">
        <v>8028</v>
      </c>
    </row>
    <row r="25" spans="1:11" x14ac:dyDescent="0.25">
      <c r="A25" s="7">
        <v>42186</v>
      </c>
      <c r="B25" s="8">
        <v>9800</v>
      </c>
      <c r="D25" s="7">
        <v>42186</v>
      </c>
      <c r="E25" s="8">
        <v>13520</v>
      </c>
      <c r="G25" s="7">
        <v>42186</v>
      </c>
      <c r="H25" s="8">
        <v>9619</v>
      </c>
      <c r="J25" s="7">
        <v>42186</v>
      </c>
      <c r="K25" s="8">
        <v>7788</v>
      </c>
    </row>
    <row r="26" spans="1:11" x14ac:dyDescent="0.25">
      <c r="A26" s="7">
        <v>42217</v>
      </c>
      <c r="B26" s="8">
        <v>12004</v>
      </c>
      <c r="D26" s="7">
        <v>42217</v>
      </c>
      <c r="E26" s="8">
        <v>12332</v>
      </c>
      <c r="G26" s="7">
        <v>42217</v>
      </c>
      <c r="H26" s="8">
        <v>7657</v>
      </c>
      <c r="J26" s="7">
        <v>42217</v>
      </c>
      <c r="K26" s="8">
        <v>7109</v>
      </c>
    </row>
    <row r="27" spans="1:11" x14ac:dyDescent="0.25">
      <c r="A27" s="7">
        <v>42248</v>
      </c>
      <c r="B27" s="8">
        <v>10006</v>
      </c>
      <c r="D27" s="7">
        <v>42248</v>
      </c>
      <c r="E27" s="8">
        <v>12433</v>
      </c>
      <c r="G27" s="7">
        <v>42248</v>
      </c>
      <c r="H27" s="8">
        <v>7914</v>
      </c>
      <c r="J27" s="7">
        <v>42248</v>
      </c>
      <c r="K27" s="8">
        <v>7597</v>
      </c>
    </row>
    <row r="28" spans="1:11" x14ac:dyDescent="0.25">
      <c r="A28" s="7">
        <v>42278</v>
      </c>
      <c r="B28" s="8">
        <v>8394</v>
      </c>
      <c r="D28" s="7">
        <v>42278</v>
      </c>
      <c r="E28" s="8">
        <v>12867</v>
      </c>
      <c r="G28" s="7">
        <v>42278</v>
      </c>
      <c r="H28" s="8">
        <v>7622</v>
      </c>
      <c r="J28" s="7">
        <v>42278</v>
      </c>
      <c r="K28" s="8">
        <v>8260</v>
      </c>
    </row>
    <row r="29" spans="1:11" x14ac:dyDescent="0.25">
      <c r="A29" s="7">
        <v>42309</v>
      </c>
      <c r="B29" s="8">
        <v>9953</v>
      </c>
      <c r="D29" s="7">
        <v>42309</v>
      </c>
      <c r="E29" s="8">
        <v>13505</v>
      </c>
      <c r="G29" s="7">
        <v>42309</v>
      </c>
      <c r="H29" s="8">
        <v>9501</v>
      </c>
      <c r="J29" s="7">
        <v>42309</v>
      </c>
      <c r="K29" s="8">
        <v>8672</v>
      </c>
    </row>
    <row r="30" spans="1:11" x14ac:dyDescent="0.25">
      <c r="A30" s="7">
        <v>42339</v>
      </c>
      <c r="B30" s="8">
        <v>10461</v>
      </c>
      <c r="D30" s="7">
        <v>42339</v>
      </c>
      <c r="E30" s="8">
        <v>16212</v>
      </c>
      <c r="G30" s="7">
        <v>42339</v>
      </c>
      <c r="H30" s="8">
        <v>9487</v>
      </c>
      <c r="J30" s="7">
        <v>42339</v>
      </c>
      <c r="K30" s="8">
        <v>7380</v>
      </c>
    </row>
    <row r="31" spans="1:11" x14ac:dyDescent="0.25">
      <c r="A31" s="7">
        <v>42370</v>
      </c>
      <c r="B31" s="8">
        <v>10893</v>
      </c>
      <c r="D31" s="7">
        <v>42370</v>
      </c>
      <c r="E31" s="8">
        <v>17088</v>
      </c>
      <c r="G31" s="7">
        <v>42370</v>
      </c>
      <c r="H31" s="8">
        <v>12667</v>
      </c>
      <c r="J31" s="7">
        <v>42370</v>
      </c>
      <c r="K31" s="8">
        <v>9645</v>
      </c>
    </row>
    <row r="32" spans="1:11" x14ac:dyDescent="0.25">
      <c r="A32" s="7">
        <v>42401</v>
      </c>
      <c r="B32" s="8">
        <v>9212</v>
      </c>
      <c r="D32" s="7">
        <v>42401</v>
      </c>
      <c r="E32" s="8">
        <v>17147</v>
      </c>
      <c r="G32" s="7">
        <v>42401</v>
      </c>
      <c r="H32" s="8">
        <v>13970</v>
      </c>
      <c r="J32" s="7">
        <v>42401</v>
      </c>
      <c r="K32" s="8">
        <v>10674</v>
      </c>
    </row>
    <row r="33" spans="1:11" x14ac:dyDescent="0.25">
      <c r="A33" s="7">
        <v>42430</v>
      </c>
      <c r="B33" s="8">
        <v>13209</v>
      </c>
      <c r="D33" s="7">
        <v>42430</v>
      </c>
      <c r="E33" s="8">
        <v>19881</v>
      </c>
      <c r="G33" s="7">
        <v>42430</v>
      </c>
      <c r="H33" s="8">
        <v>15183</v>
      </c>
      <c r="J33" s="7">
        <v>42430</v>
      </c>
      <c r="K33" s="8">
        <v>10131</v>
      </c>
    </row>
    <row r="34" spans="1:11" x14ac:dyDescent="0.25">
      <c r="A34" s="7">
        <v>42461</v>
      </c>
      <c r="B34" s="8">
        <v>10294</v>
      </c>
      <c r="D34" s="7">
        <v>42461</v>
      </c>
      <c r="E34" s="8">
        <v>14570</v>
      </c>
      <c r="G34" s="7">
        <v>42461</v>
      </c>
      <c r="H34" s="8">
        <v>14585</v>
      </c>
      <c r="J34" s="7">
        <v>42461</v>
      </c>
      <c r="K34" s="8">
        <v>9684</v>
      </c>
    </row>
    <row r="35" spans="1:11" x14ac:dyDescent="0.25">
      <c r="A35" s="7">
        <v>42491</v>
      </c>
      <c r="B35" s="8">
        <v>11540</v>
      </c>
      <c r="D35" s="7">
        <v>42491</v>
      </c>
      <c r="E35" s="8">
        <v>15410</v>
      </c>
      <c r="G35" s="7">
        <v>42491</v>
      </c>
      <c r="H35" s="8">
        <v>13024</v>
      </c>
      <c r="J35" s="7">
        <v>42491</v>
      </c>
      <c r="K35" s="8">
        <v>9870</v>
      </c>
    </row>
    <row r="36" spans="1:11" x14ac:dyDescent="0.25">
      <c r="A36" s="7">
        <v>42522</v>
      </c>
      <c r="B36" s="8">
        <v>10219</v>
      </c>
      <c r="D36" s="7">
        <v>42522</v>
      </c>
      <c r="E36" s="8">
        <v>14320</v>
      </c>
      <c r="G36" s="7">
        <v>42522</v>
      </c>
      <c r="H36" s="8">
        <v>11841</v>
      </c>
      <c r="J36" s="7">
        <v>42522</v>
      </c>
      <c r="K36" s="8">
        <v>8504</v>
      </c>
    </row>
    <row r="37" spans="1:11" x14ac:dyDescent="0.25">
      <c r="A37" s="7">
        <v>42552</v>
      </c>
      <c r="B37" s="8">
        <v>10230</v>
      </c>
      <c r="D37" s="7">
        <v>42552</v>
      </c>
      <c r="E37" s="8">
        <v>14438</v>
      </c>
      <c r="G37" s="7">
        <v>42552</v>
      </c>
      <c r="H37" s="8">
        <v>9120</v>
      </c>
      <c r="J37" s="7">
        <v>42552</v>
      </c>
      <c r="K37" s="8">
        <v>8544</v>
      </c>
    </row>
    <row r="38" spans="1:11" x14ac:dyDescent="0.25">
      <c r="A38" s="7">
        <v>42583</v>
      </c>
      <c r="B38" s="8">
        <v>9985</v>
      </c>
      <c r="D38" s="7">
        <v>42583</v>
      </c>
      <c r="E38" s="8">
        <v>14051</v>
      </c>
      <c r="G38" s="7">
        <v>42583</v>
      </c>
      <c r="H38" s="8">
        <v>7158</v>
      </c>
      <c r="J38" s="7">
        <v>42583</v>
      </c>
      <c r="K38" s="8">
        <v>7496</v>
      </c>
    </row>
    <row r="39" spans="1:11" x14ac:dyDescent="0.25">
      <c r="A39" s="7">
        <v>42614</v>
      </c>
      <c r="B39" s="8">
        <v>6832</v>
      </c>
      <c r="D39" s="7">
        <v>42614</v>
      </c>
      <c r="E39" s="8">
        <v>14050</v>
      </c>
      <c r="G39" s="7">
        <v>42614</v>
      </c>
      <c r="H39" s="8">
        <v>8923</v>
      </c>
      <c r="J39" s="7">
        <v>42614</v>
      </c>
      <c r="K39" s="8">
        <v>7528</v>
      </c>
    </row>
    <row r="40" spans="1:11" x14ac:dyDescent="0.25">
      <c r="A40" s="7">
        <v>42644</v>
      </c>
      <c r="B40" s="8">
        <v>9050</v>
      </c>
      <c r="D40" s="7">
        <v>42644</v>
      </c>
      <c r="E40" s="8">
        <v>14626</v>
      </c>
      <c r="G40" s="7">
        <v>42644</v>
      </c>
      <c r="H40" s="8">
        <v>9262</v>
      </c>
      <c r="J40" s="7">
        <v>42644</v>
      </c>
      <c r="K40" s="8">
        <v>8295</v>
      </c>
    </row>
    <row r="41" spans="1:11" x14ac:dyDescent="0.25">
      <c r="A41" s="7">
        <v>42675</v>
      </c>
      <c r="B41" s="8">
        <v>10082</v>
      </c>
      <c r="D41" s="7">
        <v>42675</v>
      </c>
      <c r="E41" s="8">
        <v>14553</v>
      </c>
      <c r="G41" s="7">
        <v>42675</v>
      </c>
      <c r="H41" s="8">
        <v>8734</v>
      </c>
      <c r="J41" s="7">
        <v>42675</v>
      </c>
      <c r="K41" s="8">
        <v>7942</v>
      </c>
    </row>
    <row r="42" spans="1:11" x14ac:dyDescent="0.25">
      <c r="A42" s="7">
        <v>42705</v>
      </c>
      <c r="B42" s="8">
        <v>10659</v>
      </c>
      <c r="D42" s="7">
        <v>42705</v>
      </c>
      <c r="E42" s="8">
        <v>15190</v>
      </c>
      <c r="G42" s="7">
        <v>42705</v>
      </c>
      <c r="H42" s="8">
        <v>10014</v>
      </c>
      <c r="J42" s="7">
        <v>42705</v>
      </c>
      <c r="K42" s="8">
        <v>9686</v>
      </c>
    </row>
    <row r="43" spans="1:11" x14ac:dyDescent="0.25">
      <c r="A43" s="7">
        <v>42736</v>
      </c>
      <c r="B43" s="8">
        <v>11458</v>
      </c>
      <c r="D43" s="7">
        <v>42736</v>
      </c>
      <c r="E43" s="8">
        <v>17059</v>
      </c>
      <c r="G43" s="7">
        <v>42736</v>
      </c>
      <c r="H43" s="8">
        <v>13052</v>
      </c>
      <c r="J43" s="7">
        <v>42736</v>
      </c>
      <c r="K43" s="8">
        <v>10214</v>
      </c>
    </row>
    <row r="44" spans="1:11" x14ac:dyDescent="0.25">
      <c r="A44" s="7">
        <v>42767</v>
      </c>
      <c r="B44" s="8">
        <v>10867</v>
      </c>
      <c r="D44" s="7">
        <v>42767</v>
      </c>
      <c r="E44" s="8">
        <v>18541</v>
      </c>
      <c r="G44" s="7">
        <v>42767</v>
      </c>
      <c r="H44" s="8">
        <v>14418</v>
      </c>
      <c r="J44" s="7">
        <v>42767</v>
      </c>
      <c r="K44" s="8">
        <v>11050</v>
      </c>
    </row>
    <row r="45" spans="1:11" x14ac:dyDescent="0.25">
      <c r="A45" s="7">
        <v>42795</v>
      </c>
      <c r="B45" s="8">
        <v>12409</v>
      </c>
      <c r="D45" s="7">
        <v>42795</v>
      </c>
      <c r="E45" s="8">
        <v>18567</v>
      </c>
      <c r="G45" s="7">
        <v>42795</v>
      </c>
      <c r="H45" s="8">
        <v>16075</v>
      </c>
      <c r="J45" s="7">
        <v>42795</v>
      </c>
      <c r="K45" s="8">
        <v>10320</v>
      </c>
    </row>
    <row r="46" spans="1:11" x14ac:dyDescent="0.25">
      <c r="A46" s="7">
        <v>42826</v>
      </c>
      <c r="B46" s="8">
        <v>11869</v>
      </c>
      <c r="D46" s="7">
        <v>42826</v>
      </c>
      <c r="E46" s="8">
        <v>16684</v>
      </c>
      <c r="G46" s="7">
        <v>42826</v>
      </c>
      <c r="H46" s="8">
        <v>14566</v>
      </c>
      <c r="J46" s="7">
        <v>42826</v>
      </c>
      <c r="K46" s="8">
        <v>8270</v>
      </c>
    </row>
    <row r="47" spans="1:11" x14ac:dyDescent="0.25">
      <c r="A47" s="7">
        <v>42856</v>
      </c>
      <c r="B47" s="8">
        <v>8729</v>
      </c>
      <c r="D47" s="7">
        <v>42856</v>
      </c>
      <c r="E47" s="8">
        <v>14523</v>
      </c>
      <c r="G47" s="7">
        <v>42856</v>
      </c>
      <c r="H47" s="8">
        <v>11815</v>
      </c>
      <c r="J47" s="7">
        <v>42856</v>
      </c>
      <c r="K47" s="8">
        <v>9556</v>
      </c>
    </row>
    <row r="48" spans="1:11" x14ac:dyDescent="0.25">
      <c r="A48" s="7">
        <v>42887</v>
      </c>
      <c r="B48" s="8">
        <v>10665</v>
      </c>
      <c r="D48" s="7">
        <v>42887</v>
      </c>
      <c r="E48" s="8">
        <v>13316</v>
      </c>
      <c r="G48" s="7">
        <v>42887</v>
      </c>
      <c r="H48" s="8">
        <v>12019</v>
      </c>
      <c r="J48" s="7">
        <v>42887</v>
      </c>
      <c r="K48" s="8">
        <v>10349</v>
      </c>
    </row>
    <row r="49" spans="1:11" x14ac:dyDescent="0.25">
      <c r="A49" s="7">
        <v>42917</v>
      </c>
      <c r="B49" s="8">
        <v>8003</v>
      </c>
      <c r="D49" s="7">
        <v>42917</v>
      </c>
      <c r="E49" s="8">
        <v>14466</v>
      </c>
      <c r="G49" s="7">
        <v>42917</v>
      </c>
      <c r="H49" s="8">
        <v>9754</v>
      </c>
      <c r="J49" s="7">
        <v>42917</v>
      </c>
      <c r="K49" s="8">
        <v>7938</v>
      </c>
    </row>
    <row r="50" spans="1:11" x14ac:dyDescent="0.25">
      <c r="A50" s="7">
        <v>42948</v>
      </c>
      <c r="B50" s="8">
        <v>9224</v>
      </c>
      <c r="D50" s="7">
        <v>42948</v>
      </c>
      <c r="E50" s="8">
        <v>15045</v>
      </c>
      <c r="G50" s="7">
        <v>42948</v>
      </c>
      <c r="H50" s="8">
        <v>6934</v>
      </c>
      <c r="J50" s="7">
        <v>42948</v>
      </c>
      <c r="K50" s="8">
        <v>6467</v>
      </c>
    </row>
    <row r="51" spans="1:11" x14ac:dyDescent="0.25">
      <c r="A51" s="7">
        <v>42979</v>
      </c>
      <c r="B51" s="8">
        <v>9140</v>
      </c>
      <c r="D51" s="7">
        <v>42979</v>
      </c>
      <c r="E51" s="8">
        <v>15028</v>
      </c>
      <c r="G51" s="7">
        <v>42979</v>
      </c>
      <c r="H51" s="8">
        <v>7675</v>
      </c>
      <c r="J51" s="7">
        <v>42979</v>
      </c>
      <c r="K51" s="8">
        <v>7837</v>
      </c>
    </row>
    <row r="52" spans="1:11" x14ac:dyDescent="0.25">
      <c r="A52" s="7">
        <v>43009</v>
      </c>
      <c r="B52" s="8">
        <v>11616</v>
      </c>
      <c r="D52" s="7">
        <v>43009</v>
      </c>
      <c r="E52" s="8">
        <v>15187</v>
      </c>
      <c r="G52" s="7">
        <v>43009</v>
      </c>
      <c r="H52" s="8">
        <v>8528</v>
      </c>
      <c r="J52" s="7">
        <v>43009</v>
      </c>
      <c r="K52" s="8">
        <v>8325</v>
      </c>
    </row>
    <row r="53" spans="1:11" x14ac:dyDescent="0.25">
      <c r="A53" s="7">
        <v>43040</v>
      </c>
      <c r="B53" s="8">
        <v>9428</v>
      </c>
      <c r="D53" s="7">
        <v>43040</v>
      </c>
      <c r="E53" s="8">
        <v>14271</v>
      </c>
      <c r="G53" s="7">
        <v>43040</v>
      </c>
      <c r="H53" s="8">
        <v>10118</v>
      </c>
      <c r="J53" s="7">
        <v>43040</v>
      </c>
      <c r="K53" s="8">
        <v>8532</v>
      </c>
    </row>
    <row r="54" spans="1:11" x14ac:dyDescent="0.25">
      <c r="A54" s="7">
        <v>43070</v>
      </c>
      <c r="B54" s="8">
        <v>14249</v>
      </c>
      <c r="D54" s="7">
        <v>43070</v>
      </c>
      <c r="E54" s="8">
        <v>15923</v>
      </c>
      <c r="G54" s="7">
        <v>43070</v>
      </c>
      <c r="H54" s="8">
        <v>11197</v>
      </c>
      <c r="J54" s="7">
        <v>43070</v>
      </c>
      <c r="K54" s="8">
        <v>9786</v>
      </c>
    </row>
    <row r="55" spans="1:11" x14ac:dyDescent="0.25">
      <c r="A55" s="7">
        <v>43101</v>
      </c>
      <c r="B55" s="8">
        <v>9511</v>
      </c>
      <c r="D55" s="7">
        <v>43101</v>
      </c>
      <c r="E55" s="8">
        <v>16632</v>
      </c>
      <c r="G55" s="7">
        <v>43101</v>
      </c>
      <c r="H55" s="8">
        <v>12917</v>
      </c>
      <c r="J55" s="7">
        <v>43101</v>
      </c>
      <c r="K55" s="8">
        <v>9492</v>
      </c>
    </row>
    <row r="56" spans="1:11" x14ac:dyDescent="0.25">
      <c r="A56" s="7">
        <v>43132</v>
      </c>
      <c r="B56" s="8">
        <v>12094</v>
      </c>
      <c r="D56" s="7">
        <v>43132</v>
      </c>
      <c r="E56" s="8">
        <v>18432</v>
      </c>
      <c r="G56" s="7">
        <v>43132</v>
      </c>
      <c r="H56" s="8">
        <v>13052</v>
      </c>
      <c r="J56" s="7">
        <v>43132</v>
      </c>
      <c r="K56" s="8">
        <v>10284</v>
      </c>
    </row>
    <row r="57" spans="1:11" x14ac:dyDescent="0.25">
      <c r="A57" s="7">
        <v>43160</v>
      </c>
      <c r="B57" s="8">
        <v>13273</v>
      </c>
      <c r="D57" s="7">
        <v>43160</v>
      </c>
      <c r="E57" s="8">
        <v>19743</v>
      </c>
      <c r="G57" s="7">
        <v>43160</v>
      </c>
      <c r="H57" s="8">
        <v>14445</v>
      </c>
      <c r="J57" s="7">
        <v>43160</v>
      </c>
      <c r="K57" s="8">
        <v>9606</v>
      </c>
    </row>
    <row r="58" spans="1:11" x14ac:dyDescent="0.25">
      <c r="A58" s="7">
        <v>43191</v>
      </c>
      <c r="B58" s="8">
        <v>11184</v>
      </c>
      <c r="D58" s="7">
        <v>43191</v>
      </c>
      <c r="E58" s="8">
        <v>15632</v>
      </c>
      <c r="G58" s="7">
        <v>43191</v>
      </c>
      <c r="H58" s="8">
        <v>14451</v>
      </c>
      <c r="J58" s="7">
        <v>43191</v>
      </c>
      <c r="K58" s="8">
        <v>10037</v>
      </c>
    </row>
    <row r="59" spans="1:11" x14ac:dyDescent="0.25">
      <c r="A59" s="7">
        <v>43221</v>
      </c>
      <c r="B59" s="8">
        <v>10793</v>
      </c>
      <c r="D59" s="7">
        <v>43221</v>
      </c>
      <c r="E59" s="8">
        <v>16404</v>
      </c>
      <c r="G59" s="7">
        <v>43221</v>
      </c>
      <c r="H59" s="8">
        <v>12037</v>
      </c>
      <c r="J59" s="7">
        <v>43221</v>
      </c>
      <c r="K59" s="8">
        <v>10208</v>
      </c>
    </row>
    <row r="60" spans="1:11" x14ac:dyDescent="0.25">
      <c r="A60" s="7">
        <v>43252</v>
      </c>
      <c r="B60" s="8">
        <v>8693</v>
      </c>
      <c r="D60" s="7">
        <v>43252</v>
      </c>
      <c r="E60" s="8">
        <v>15572</v>
      </c>
      <c r="G60" s="7">
        <v>43252</v>
      </c>
      <c r="H60" s="8">
        <v>10517</v>
      </c>
      <c r="J60" s="7">
        <v>43252</v>
      </c>
      <c r="K60" s="8">
        <v>8585</v>
      </c>
    </row>
    <row r="61" spans="1:11" x14ac:dyDescent="0.25">
      <c r="A61" s="7">
        <v>43282</v>
      </c>
      <c r="B61" s="8">
        <v>8479</v>
      </c>
      <c r="D61" s="7">
        <v>43282</v>
      </c>
      <c r="E61" s="8">
        <v>14310</v>
      </c>
      <c r="G61" s="7">
        <v>43282</v>
      </c>
      <c r="H61" s="8">
        <v>10013</v>
      </c>
      <c r="J61" s="7">
        <v>43282</v>
      </c>
      <c r="K61" s="8">
        <v>10054</v>
      </c>
    </row>
    <row r="62" spans="1:11" x14ac:dyDescent="0.25">
      <c r="A62" s="7">
        <v>43313</v>
      </c>
      <c r="B62" s="8">
        <v>8120</v>
      </c>
      <c r="D62" s="7">
        <v>43313</v>
      </c>
      <c r="E62" s="8">
        <v>16102</v>
      </c>
      <c r="G62" s="7">
        <v>43313</v>
      </c>
      <c r="H62" s="8">
        <v>7375</v>
      </c>
      <c r="J62" s="7">
        <v>43313</v>
      </c>
      <c r="K62" s="8">
        <v>7521</v>
      </c>
    </row>
    <row r="63" spans="1:11" x14ac:dyDescent="0.25">
      <c r="A63" s="7">
        <v>43344</v>
      </c>
      <c r="B63" s="8">
        <v>9239</v>
      </c>
      <c r="D63" s="7">
        <v>43344</v>
      </c>
      <c r="E63" s="8">
        <v>14942</v>
      </c>
      <c r="G63" s="7">
        <v>43344</v>
      </c>
      <c r="H63" s="8">
        <v>8185</v>
      </c>
      <c r="J63" s="7">
        <v>43344</v>
      </c>
      <c r="K63" s="8">
        <v>7092</v>
      </c>
    </row>
    <row r="64" spans="1:11" x14ac:dyDescent="0.25">
      <c r="A64" s="7">
        <v>43374</v>
      </c>
      <c r="B64" s="8">
        <v>9266</v>
      </c>
      <c r="D64" s="7">
        <v>43374</v>
      </c>
      <c r="E64" s="8">
        <v>14242</v>
      </c>
      <c r="G64" s="7">
        <v>43374</v>
      </c>
      <c r="H64" s="8">
        <v>8498</v>
      </c>
      <c r="J64" s="7">
        <v>43374</v>
      </c>
      <c r="K64" s="8">
        <v>8594</v>
      </c>
    </row>
    <row r="65" spans="1:11" x14ac:dyDescent="0.25">
      <c r="A65" s="7">
        <v>43405</v>
      </c>
      <c r="B65" s="8">
        <v>8652</v>
      </c>
      <c r="D65" s="7">
        <v>43405</v>
      </c>
      <c r="E65" s="8">
        <v>15039</v>
      </c>
      <c r="G65" s="7">
        <v>43405</v>
      </c>
      <c r="H65" s="8">
        <v>9690</v>
      </c>
      <c r="J65" s="7">
        <v>43405</v>
      </c>
      <c r="K65" s="8">
        <v>8393</v>
      </c>
    </row>
    <row r="66" spans="1:11" x14ac:dyDescent="0.25">
      <c r="A66" s="7">
        <v>43435</v>
      </c>
      <c r="B66" s="8">
        <v>12405</v>
      </c>
      <c r="D66" s="7">
        <v>43435</v>
      </c>
      <c r="E66" s="8">
        <v>15683</v>
      </c>
      <c r="G66" s="7">
        <v>43435</v>
      </c>
      <c r="H66" s="8">
        <v>10048</v>
      </c>
      <c r="J66" s="7">
        <v>43435</v>
      </c>
      <c r="K66" s="8">
        <v>8940</v>
      </c>
    </row>
    <row r="67" spans="1:11" x14ac:dyDescent="0.25">
      <c r="A67" s="7">
        <v>43466</v>
      </c>
      <c r="B67" s="8">
        <v>8964</v>
      </c>
      <c r="D67" s="7">
        <v>43466</v>
      </c>
      <c r="E67" s="8">
        <v>19459</v>
      </c>
      <c r="G67" s="7">
        <v>43466</v>
      </c>
      <c r="H67" s="8">
        <v>12811</v>
      </c>
      <c r="J67" s="7">
        <v>43466</v>
      </c>
      <c r="K67" s="8">
        <v>9710</v>
      </c>
    </row>
    <row r="68" spans="1:11" x14ac:dyDescent="0.25">
      <c r="A68" s="7">
        <v>43497</v>
      </c>
      <c r="B68" s="8">
        <v>11521</v>
      </c>
      <c r="D68" s="7">
        <v>43497</v>
      </c>
      <c r="E68" s="8">
        <v>18687</v>
      </c>
      <c r="G68" s="7">
        <v>43497</v>
      </c>
      <c r="H68" s="8">
        <v>11745</v>
      </c>
      <c r="J68" s="7">
        <v>43497</v>
      </c>
      <c r="K68" s="8">
        <v>9392</v>
      </c>
    </row>
    <row r="69" spans="1:11" x14ac:dyDescent="0.25">
      <c r="A69" s="7">
        <v>43525</v>
      </c>
      <c r="B69" s="8">
        <v>12368</v>
      </c>
      <c r="D69" s="7">
        <v>43525</v>
      </c>
      <c r="E69" s="8">
        <v>20459</v>
      </c>
      <c r="G69" s="7">
        <v>43525</v>
      </c>
      <c r="H69" s="8">
        <v>16120</v>
      </c>
      <c r="J69" s="7">
        <v>43525</v>
      </c>
      <c r="K69" s="8">
        <v>11138</v>
      </c>
    </row>
    <row r="70" spans="1:11" x14ac:dyDescent="0.25">
      <c r="A70" s="7">
        <v>43556</v>
      </c>
      <c r="B70" s="8">
        <v>12729</v>
      </c>
      <c r="D70" s="7">
        <v>43556</v>
      </c>
      <c r="E70" s="8">
        <v>17137</v>
      </c>
      <c r="G70" s="7">
        <v>43556</v>
      </c>
      <c r="H70" s="8">
        <v>13229</v>
      </c>
      <c r="J70" s="7">
        <v>43556</v>
      </c>
      <c r="K70" s="8">
        <v>10664</v>
      </c>
    </row>
    <row r="71" spans="1:11" x14ac:dyDescent="0.25">
      <c r="A71" s="7">
        <v>43586</v>
      </c>
      <c r="B71" s="8">
        <v>10956</v>
      </c>
      <c r="D71" s="7">
        <v>43586</v>
      </c>
      <c r="E71" s="8">
        <v>16594</v>
      </c>
      <c r="G71" s="7">
        <v>43586</v>
      </c>
      <c r="H71" s="8">
        <v>12419</v>
      </c>
      <c r="J71" s="7">
        <v>43586</v>
      </c>
      <c r="K71" s="8">
        <v>9681</v>
      </c>
    </row>
    <row r="72" spans="1:11" x14ac:dyDescent="0.25">
      <c r="A72" s="7">
        <v>43617</v>
      </c>
      <c r="B72" s="8">
        <v>12069</v>
      </c>
      <c r="D72" s="7">
        <v>43617</v>
      </c>
      <c r="E72" s="8">
        <v>16274</v>
      </c>
      <c r="G72" s="7">
        <v>43617</v>
      </c>
      <c r="H72" s="8">
        <v>11209</v>
      </c>
      <c r="J72" s="7">
        <v>43617</v>
      </c>
      <c r="K72" s="8">
        <v>8698</v>
      </c>
    </row>
    <row r="73" spans="1:11" x14ac:dyDescent="0.25">
      <c r="A73" s="7">
        <v>43647</v>
      </c>
      <c r="B73" s="8">
        <v>9902</v>
      </c>
      <c r="D73" s="7">
        <v>43647</v>
      </c>
      <c r="E73" s="8">
        <v>15103</v>
      </c>
      <c r="G73" s="7">
        <v>43647</v>
      </c>
      <c r="H73" s="8">
        <v>10227</v>
      </c>
      <c r="J73" s="7">
        <v>43647</v>
      </c>
      <c r="K73" s="8">
        <v>8581</v>
      </c>
    </row>
    <row r="74" spans="1:11" x14ac:dyDescent="0.25">
      <c r="A74" s="7">
        <v>43678</v>
      </c>
      <c r="B74" s="8">
        <v>10091</v>
      </c>
      <c r="D74" s="7">
        <v>43678</v>
      </c>
      <c r="E74" s="8">
        <v>15413</v>
      </c>
      <c r="G74" s="7">
        <v>43678</v>
      </c>
      <c r="H74" s="8">
        <v>7275</v>
      </c>
      <c r="J74" s="7">
        <v>43678</v>
      </c>
      <c r="K74" s="8">
        <v>6310</v>
      </c>
    </row>
    <row r="75" spans="1:11" x14ac:dyDescent="0.25">
      <c r="A75" s="7">
        <v>43709</v>
      </c>
      <c r="B75" s="8">
        <v>9769</v>
      </c>
      <c r="D75" s="7">
        <v>43709</v>
      </c>
      <c r="E75" s="8">
        <v>14860</v>
      </c>
      <c r="G75" s="7">
        <v>43709</v>
      </c>
      <c r="H75" s="8">
        <v>8200</v>
      </c>
      <c r="J75" s="7">
        <v>43709</v>
      </c>
      <c r="K75" s="8">
        <v>7357</v>
      </c>
    </row>
    <row r="76" spans="1:11" x14ac:dyDescent="0.25">
      <c r="A76" s="7">
        <v>43739</v>
      </c>
      <c r="B76" s="8">
        <v>8578</v>
      </c>
      <c r="D76" s="7">
        <v>43739</v>
      </c>
      <c r="E76" s="8">
        <v>14334</v>
      </c>
      <c r="G76" s="7">
        <v>43739</v>
      </c>
      <c r="H76" s="8">
        <v>7470</v>
      </c>
      <c r="J76" s="7">
        <v>43739</v>
      </c>
      <c r="K76" s="8">
        <v>8353</v>
      </c>
    </row>
    <row r="77" spans="1:11" x14ac:dyDescent="0.25">
      <c r="A77" s="7">
        <v>43770</v>
      </c>
      <c r="B77" s="8">
        <v>9763</v>
      </c>
      <c r="D77" s="7">
        <v>43770</v>
      </c>
      <c r="E77" s="8">
        <v>14398</v>
      </c>
      <c r="G77" s="7">
        <v>43770</v>
      </c>
      <c r="H77" s="8">
        <v>10347</v>
      </c>
      <c r="J77" s="7">
        <v>43770</v>
      </c>
      <c r="K77" s="8">
        <v>8292</v>
      </c>
    </row>
    <row r="78" spans="1:11" x14ac:dyDescent="0.25">
      <c r="A78" s="7">
        <v>43800</v>
      </c>
      <c r="B78" s="8">
        <v>8348</v>
      </c>
      <c r="D78" s="7">
        <v>43800</v>
      </c>
      <c r="E78" s="8">
        <v>16939</v>
      </c>
      <c r="G78" s="7">
        <v>43800</v>
      </c>
      <c r="H78" s="8">
        <v>10090</v>
      </c>
      <c r="J78" s="7">
        <v>43800</v>
      </c>
      <c r="K78" s="8">
        <v>9078</v>
      </c>
    </row>
    <row r="79" spans="1:11" x14ac:dyDescent="0.25">
      <c r="A79" s="7">
        <v>43831</v>
      </c>
      <c r="B79" s="8">
        <v>9237</v>
      </c>
      <c r="D79" s="7">
        <v>43831</v>
      </c>
      <c r="E79" s="8">
        <v>19489</v>
      </c>
      <c r="G79" s="7">
        <v>43831</v>
      </c>
      <c r="H79" s="8">
        <v>12014</v>
      </c>
      <c r="J79" s="7">
        <v>43831</v>
      </c>
      <c r="K79" s="8">
        <v>10353</v>
      </c>
    </row>
    <row r="80" spans="1:11" x14ac:dyDescent="0.25">
      <c r="A80" s="7">
        <v>43862</v>
      </c>
      <c r="B80" s="8">
        <v>11204</v>
      </c>
      <c r="D80" s="7">
        <v>43862</v>
      </c>
      <c r="E80" s="8">
        <v>20016</v>
      </c>
      <c r="G80" s="7">
        <v>43862</v>
      </c>
      <c r="H80" s="8">
        <v>13217</v>
      </c>
      <c r="J80" s="7">
        <v>43862</v>
      </c>
      <c r="K80" s="8">
        <v>9228</v>
      </c>
    </row>
    <row r="81" spans="1:11" x14ac:dyDescent="0.25">
      <c r="A81" s="7">
        <v>43891</v>
      </c>
      <c r="B81" s="8">
        <v>10737</v>
      </c>
      <c r="D81" s="7">
        <v>43891</v>
      </c>
      <c r="E81" s="8">
        <v>22099</v>
      </c>
      <c r="G81" s="7">
        <v>43891</v>
      </c>
      <c r="H81" s="8">
        <v>15777</v>
      </c>
      <c r="J81" s="7">
        <v>43891</v>
      </c>
      <c r="K81" s="8">
        <v>9420</v>
      </c>
    </row>
    <row r="82" spans="1:11" x14ac:dyDescent="0.25">
      <c r="A82" s="7">
        <v>43922</v>
      </c>
      <c r="B82" s="8">
        <v>12276</v>
      </c>
      <c r="D82" s="7">
        <v>43922</v>
      </c>
      <c r="E82" s="8">
        <v>16689</v>
      </c>
      <c r="G82" s="7">
        <v>43922</v>
      </c>
      <c r="H82" s="8">
        <v>14014</v>
      </c>
      <c r="J82" s="7">
        <v>43922</v>
      </c>
      <c r="K82" s="8">
        <v>10636</v>
      </c>
    </row>
    <row r="83" spans="1:11" x14ac:dyDescent="0.25">
      <c r="A83" s="7">
        <v>43952</v>
      </c>
      <c r="B83" s="8">
        <v>9230</v>
      </c>
      <c r="D83" s="7">
        <v>43952</v>
      </c>
      <c r="E83" s="8">
        <v>16804</v>
      </c>
      <c r="G83" s="7">
        <v>43952</v>
      </c>
      <c r="H83" s="8">
        <v>11875</v>
      </c>
      <c r="J83" s="7">
        <v>43952</v>
      </c>
      <c r="K83" s="8">
        <v>9953</v>
      </c>
    </row>
    <row r="84" spans="1:11" x14ac:dyDescent="0.25">
      <c r="A84" s="7">
        <v>43983</v>
      </c>
      <c r="B84" s="8">
        <v>9405</v>
      </c>
      <c r="D84" s="7">
        <v>43983</v>
      </c>
      <c r="E84" s="8">
        <v>16543</v>
      </c>
      <c r="G84" s="7">
        <v>43983</v>
      </c>
      <c r="H84" s="8">
        <v>11140</v>
      </c>
      <c r="J84" s="7">
        <v>43983</v>
      </c>
      <c r="K84" s="8">
        <v>9177</v>
      </c>
    </row>
    <row r="85" spans="1:11" x14ac:dyDescent="0.25">
      <c r="A85" s="7">
        <v>44013</v>
      </c>
      <c r="B85" s="8">
        <v>10378</v>
      </c>
      <c r="D85" s="7">
        <v>44013</v>
      </c>
      <c r="E85" s="8">
        <v>16045</v>
      </c>
      <c r="G85" s="7">
        <v>44013</v>
      </c>
      <c r="H85" s="8">
        <v>9117</v>
      </c>
      <c r="J85" s="7">
        <v>44013</v>
      </c>
      <c r="K85" s="8">
        <v>7192</v>
      </c>
    </row>
    <row r="86" spans="1:11" x14ac:dyDescent="0.25">
      <c r="A86" s="7">
        <v>44044</v>
      </c>
      <c r="B86" s="8">
        <v>8827</v>
      </c>
      <c r="D86" s="7">
        <v>44044</v>
      </c>
      <c r="E86" s="8">
        <v>16896</v>
      </c>
      <c r="G86" s="7">
        <v>44044</v>
      </c>
      <c r="H86" s="8">
        <v>7315</v>
      </c>
      <c r="J86" s="7">
        <v>44044</v>
      </c>
      <c r="K86" s="8">
        <v>6624</v>
      </c>
    </row>
    <row r="87" spans="1:11" x14ac:dyDescent="0.25">
      <c r="A87" s="7">
        <v>44075</v>
      </c>
      <c r="B87" s="8">
        <v>8559</v>
      </c>
      <c r="D87" s="7">
        <v>44075</v>
      </c>
      <c r="E87" s="8">
        <v>16546</v>
      </c>
      <c r="G87" s="7">
        <v>44075</v>
      </c>
      <c r="H87" s="8">
        <v>8128</v>
      </c>
      <c r="J87" s="7">
        <v>44075</v>
      </c>
      <c r="K87" s="8">
        <v>9084</v>
      </c>
    </row>
    <row r="88" spans="1:11" x14ac:dyDescent="0.25">
      <c r="A88" s="7">
        <v>44105</v>
      </c>
      <c r="B88" s="8">
        <v>9143</v>
      </c>
      <c r="D88" s="7">
        <v>44105</v>
      </c>
      <c r="E88" s="8">
        <v>15039</v>
      </c>
      <c r="G88" s="7">
        <v>44105</v>
      </c>
      <c r="H88" s="8">
        <v>9076</v>
      </c>
      <c r="J88" s="7">
        <v>44105</v>
      </c>
      <c r="K88" s="8">
        <v>7771</v>
      </c>
    </row>
    <row r="89" spans="1:11" x14ac:dyDescent="0.25">
      <c r="A89" s="7">
        <v>44136</v>
      </c>
      <c r="B89" s="8">
        <v>9989</v>
      </c>
      <c r="D89" s="7">
        <v>44136</v>
      </c>
      <c r="E89" s="8">
        <v>16872</v>
      </c>
      <c r="G89" s="7">
        <v>44136</v>
      </c>
      <c r="H89" s="8">
        <v>9826</v>
      </c>
      <c r="J89" s="7">
        <v>44136</v>
      </c>
      <c r="K89" s="8">
        <v>9400</v>
      </c>
    </row>
    <row r="90" spans="1:11" x14ac:dyDescent="0.25">
      <c r="A90" s="7">
        <v>44166</v>
      </c>
      <c r="B90" s="8">
        <v>9299</v>
      </c>
      <c r="D90" s="7">
        <v>44166</v>
      </c>
      <c r="E90" s="8">
        <v>17068</v>
      </c>
      <c r="G90" s="7">
        <v>44166</v>
      </c>
      <c r="H90" s="8">
        <v>10262</v>
      </c>
      <c r="J90" s="7">
        <v>44166</v>
      </c>
      <c r="K90" s="8">
        <v>9194</v>
      </c>
    </row>
    <row r="91" spans="1:11" x14ac:dyDescent="0.25">
      <c r="A91" s="7">
        <v>44197</v>
      </c>
      <c r="B91" s="8">
        <v>10524</v>
      </c>
      <c r="D91" s="7">
        <v>44197</v>
      </c>
      <c r="E91" s="8">
        <v>17368</v>
      </c>
      <c r="G91" s="7">
        <v>44197</v>
      </c>
      <c r="H91" s="8">
        <v>13074</v>
      </c>
      <c r="J91" s="7">
        <v>44197</v>
      </c>
      <c r="K91" s="8">
        <v>10002</v>
      </c>
    </row>
    <row r="92" spans="1:11" x14ac:dyDescent="0.25">
      <c r="A92" s="7">
        <v>44228</v>
      </c>
      <c r="B92" s="8">
        <v>12887</v>
      </c>
      <c r="D92" s="7">
        <v>44228</v>
      </c>
      <c r="E92" s="8">
        <v>20287</v>
      </c>
      <c r="G92" s="7">
        <v>44228</v>
      </c>
      <c r="H92" s="8">
        <v>14261</v>
      </c>
      <c r="J92" s="7">
        <v>44228</v>
      </c>
      <c r="K92" s="8">
        <v>10538</v>
      </c>
    </row>
    <row r="93" spans="1:11" x14ac:dyDescent="0.25">
      <c r="A93" s="7">
        <v>44256</v>
      </c>
      <c r="B93" s="8">
        <v>11145</v>
      </c>
      <c r="D93" s="7">
        <v>44256</v>
      </c>
      <c r="E93" s="8">
        <v>22133</v>
      </c>
      <c r="G93" s="7">
        <v>44256</v>
      </c>
      <c r="H93" s="8">
        <v>14601</v>
      </c>
      <c r="J93" s="7">
        <v>44256</v>
      </c>
      <c r="K93" s="8">
        <v>8717</v>
      </c>
    </row>
    <row r="94" spans="1:11" x14ac:dyDescent="0.25">
      <c r="A94" s="7">
        <v>44287</v>
      </c>
      <c r="B94" s="8">
        <v>11882</v>
      </c>
      <c r="D94" s="7">
        <v>44287</v>
      </c>
      <c r="E94" s="8">
        <v>18534</v>
      </c>
      <c r="G94" s="7">
        <v>44287</v>
      </c>
      <c r="H94" s="8">
        <v>14353</v>
      </c>
      <c r="J94" s="7">
        <v>44287</v>
      </c>
      <c r="K94" s="8">
        <v>11071</v>
      </c>
    </row>
    <row r="95" spans="1:11" x14ac:dyDescent="0.25">
      <c r="A95" s="7">
        <v>44317</v>
      </c>
      <c r="B95" s="8">
        <v>9448</v>
      </c>
      <c r="D95" s="7">
        <v>44317</v>
      </c>
      <c r="E95" s="8">
        <v>18978</v>
      </c>
      <c r="G95" s="7">
        <v>44317</v>
      </c>
      <c r="H95" s="8">
        <v>13868</v>
      </c>
      <c r="J95" s="7">
        <v>44317</v>
      </c>
      <c r="K95" s="8">
        <v>9441</v>
      </c>
    </row>
    <row r="96" spans="1:11" x14ac:dyDescent="0.25">
      <c r="A96" s="7">
        <v>44348</v>
      </c>
      <c r="B96" s="8">
        <v>7857</v>
      </c>
      <c r="D96" s="7">
        <v>44348</v>
      </c>
      <c r="E96" s="8">
        <v>15800</v>
      </c>
      <c r="G96" s="7">
        <v>44348</v>
      </c>
      <c r="H96" s="8">
        <v>11311</v>
      </c>
      <c r="J96" s="7">
        <v>44348</v>
      </c>
      <c r="K96" s="8">
        <v>8548</v>
      </c>
    </row>
    <row r="97" spans="1:11" x14ac:dyDescent="0.25">
      <c r="A97" s="7">
        <v>44378</v>
      </c>
      <c r="B97" s="8">
        <v>8482</v>
      </c>
      <c r="D97" s="7">
        <v>44378</v>
      </c>
      <c r="E97" s="8">
        <v>16379</v>
      </c>
      <c r="G97" s="7">
        <v>44378</v>
      </c>
      <c r="H97" s="8">
        <v>9305</v>
      </c>
      <c r="J97" s="7">
        <v>44378</v>
      </c>
      <c r="K97" s="8">
        <v>8566</v>
      </c>
    </row>
    <row r="98" spans="1:11" x14ac:dyDescent="0.25">
      <c r="A98" s="7">
        <v>44409</v>
      </c>
      <c r="B98" s="8">
        <v>9064</v>
      </c>
      <c r="D98" s="7">
        <v>44409</v>
      </c>
      <c r="E98" s="8">
        <v>15686</v>
      </c>
      <c r="G98" s="7">
        <v>44409</v>
      </c>
      <c r="H98" s="8">
        <v>7075</v>
      </c>
      <c r="J98" s="7">
        <v>44409</v>
      </c>
      <c r="K98" s="8">
        <v>7876</v>
      </c>
    </row>
    <row r="99" spans="1:11" x14ac:dyDescent="0.25">
      <c r="A99" s="7">
        <v>44440</v>
      </c>
      <c r="B99" s="8">
        <v>7591</v>
      </c>
      <c r="D99" s="7">
        <v>44440</v>
      </c>
      <c r="E99" s="8">
        <v>17447</v>
      </c>
      <c r="G99" s="7">
        <v>44440</v>
      </c>
      <c r="H99" s="8">
        <v>7826</v>
      </c>
      <c r="J99" s="7">
        <v>44440</v>
      </c>
      <c r="K99" s="8">
        <v>7534</v>
      </c>
    </row>
    <row r="100" spans="1:11" x14ac:dyDescent="0.25">
      <c r="A100" s="7">
        <v>44470</v>
      </c>
      <c r="B100" s="8">
        <v>8801</v>
      </c>
      <c r="D100" s="7">
        <v>44470</v>
      </c>
      <c r="E100" s="8">
        <v>15853</v>
      </c>
      <c r="G100" s="7">
        <v>44470</v>
      </c>
      <c r="H100" s="8">
        <v>8147</v>
      </c>
      <c r="J100" s="7">
        <v>44470</v>
      </c>
      <c r="K100" s="8">
        <v>7125</v>
      </c>
    </row>
    <row r="101" spans="1:11" x14ac:dyDescent="0.25">
      <c r="A101" s="7">
        <v>44501</v>
      </c>
      <c r="B101" s="8">
        <v>10634</v>
      </c>
      <c r="D101" s="7">
        <v>44501</v>
      </c>
      <c r="E101" s="8">
        <v>16267</v>
      </c>
      <c r="G101" s="7">
        <v>44501</v>
      </c>
      <c r="H101" s="8">
        <v>9648</v>
      </c>
      <c r="J101" s="7">
        <v>44501</v>
      </c>
      <c r="K101" s="8">
        <v>8743</v>
      </c>
    </row>
    <row r="102" spans="1:11" x14ac:dyDescent="0.25">
      <c r="A102" s="7">
        <v>44531</v>
      </c>
      <c r="B102" s="8">
        <v>9951</v>
      </c>
      <c r="D102" s="7">
        <v>44531</v>
      </c>
      <c r="E102" s="8">
        <v>18437</v>
      </c>
      <c r="G102" s="7">
        <v>44531</v>
      </c>
      <c r="H102" s="8">
        <v>10941</v>
      </c>
      <c r="J102" s="7">
        <v>44531</v>
      </c>
      <c r="K102" s="8">
        <v>9070</v>
      </c>
    </row>
    <row r="103" spans="1:11" x14ac:dyDescent="0.25">
      <c r="A103" s="7">
        <v>44562</v>
      </c>
      <c r="B103" s="8">
        <v>11214</v>
      </c>
      <c r="D103" s="7">
        <v>44562</v>
      </c>
      <c r="E103" s="8">
        <v>19665</v>
      </c>
      <c r="G103" s="7">
        <v>44562</v>
      </c>
      <c r="H103" s="8">
        <v>12023</v>
      </c>
      <c r="J103" s="7">
        <v>44562</v>
      </c>
      <c r="K103" s="8">
        <v>9132</v>
      </c>
    </row>
    <row r="104" spans="1:11" x14ac:dyDescent="0.25">
      <c r="A104" s="7">
        <v>44593</v>
      </c>
      <c r="B104" s="8">
        <v>10990</v>
      </c>
      <c r="D104" s="7">
        <v>44593</v>
      </c>
      <c r="E104" s="8">
        <v>22022</v>
      </c>
      <c r="G104" s="7">
        <v>44593</v>
      </c>
      <c r="H104" s="8">
        <v>13805</v>
      </c>
      <c r="J104" s="7">
        <v>44593</v>
      </c>
      <c r="K104" s="8">
        <v>10237</v>
      </c>
    </row>
    <row r="105" spans="1:11" x14ac:dyDescent="0.25">
      <c r="A105" s="7">
        <v>44621</v>
      </c>
      <c r="B105" s="8">
        <v>11975</v>
      </c>
      <c r="D105" s="7">
        <v>44621</v>
      </c>
      <c r="E105" s="8">
        <v>21775</v>
      </c>
      <c r="G105" s="7">
        <v>44621</v>
      </c>
      <c r="H105" s="8">
        <v>14622</v>
      </c>
      <c r="J105" s="7">
        <v>44621</v>
      </c>
      <c r="K105" s="8">
        <v>9414</v>
      </c>
    </row>
    <row r="106" spans="1:11" x14ac:dyDescent="0.25">
      <c r="A106" s="7">
        <v>44652</v>
      </c>
      <c r="B106" s="8">
        <v>12137</v>
      </c>
      <c r="D106" s="7">
        <v>44652</v>
      </c>
      <c r="E106" s="8">
        <v>18675</v>
      </c>
      <c r="G106" s="7">
        <v>44652</v>
      </c>
      <c r="H106" s="8">
        <v>13921</v>
      </c>
      <c r="J106" s="7">
        <v>44652</v>
      </c>
      <c r="K106" s="8">
        <v>9033</v>
      </c>
    </row>
    <row r="107" spans="1:11" x14ac:dyDescent="0.25">
      <c r="A107" s="7">
        <v>44682</v>
      </c>
      <c r="B107" s="8">
        <v>10892</v>
      </c>
      <c r="D107" s="7">
        <v>44682</v>
      </c>
      <c r="E107" s="8">
        <v>18869</v>
      </c>
      <c r="G107" s="7">
        <v>44682</v>
      </c>
      <c r="H107" s="8">
        <v>12680</v>
      </c>
      <c r="J107" s="7">
        <v>44682</v>
      </c>
      <c r="K107" s="8">
        <v>8375</v>
      </c>
    </row>
    <row r="108" spans="1:11" x14ac:dyDescent="0.25">
      <c r="A108" s="7">
        <v>44713</v>
      </c>
      <c r="B108" s="8">
        <v>11249</v>
      </c>
      <c r="D108" s="7">
        <v>44713</v>
      </c>
      <c r="E108" s="8">
        <v>17166</v>
      </c>
      <c r="G108" s="7">
        <v>44713</v>
      </c>
      <c r="H108" s="8">
        <v>11076</v>
      </c>
      <c r="J108" s="7">
        <v>44713</v>
      </c>
      <c r="K108" s="8">
        <v>8906</v>
      </c>
    </row>
    <row r="109" spans="1:11" x14ac:dyDescent="0.25">
      <c r="A109" s="7">
        <v>44743</v>
      </c>
      <c r="B109" s="8">
        <v>7531</v>
      </c>
      <c r="D109" s="7">
        <v>44743</v>
      </c>
      <c r="E109" s="8">
        <v>16354</v>
      </c>
      <c r="G109" s="7">
        <v>44743</v>
      </c>
      <c r="H109" s="8">
        <v>8288</v>
      </c>
      <c r="J109" s="7">
        <v>44743</v>
      </c>
      <c r="K109" s="8">
        <v>7122</v>
      </c>
    </row>
    <row r="110" spans="1:11" x14ac:dyDescent="0.25">
      <c r="A110" s="7">
        <v>44774</v>
      </c>
      <c r="B110" s="8">
        <v>7992</v>
      </c>
      <c r="D110" s="7">
        <v>44774</v>
      </c>
      <c r="E110" s="8">
        <v>16719</v>
      </c>
      <c r="G110" s="7">
        <v>44774</v>
      </c>
      <c r="H110" s="8">
        <v>7061</v>
      </c>
      <c r="J110" s="7">
        <v>44774</v>
      </c>
      <c r="K110" s="8">
        <v>7193</v>
      </c>
    </row>
    <row r="111" spans="1:11" x14ac:dyDescent="0.25">
      <c r="A111" s="7">
        <v>44805</v>
      </c>
      <c r="B111" s="8">
        <v>9230</v>
      </c>
      <c r="D111" s="7">
        <v>44805</v>
      </c>
      <c r="E111" s="8">
        <v>16232</v>
      </c>
      <c r="G111" s="7">
        <v>44805</v>
      </c>
      <c r="H111" s="8">
        <v>7365</v>
      </c>
      <c r="J111" s="7">
        <v>44805</v>
      </c>
      <c r="K111" s="8">
        <v>7619</v>
      </c>
    </row>
    <row r="112" spans="1:11" x14ac:dyDescent="0.25">
      <c r="A112" s="7">
        <v>44835</v>
      </c>
      <c r="B112" s="8">
        <v>10123</v>
      </c>
      <c r="D112" s="7">
        <v>44835</v>
      </c>
      <c r="E112" s="8">
        <v>15923</v>
      </c>
      <c r="G112" s="7">
        <v>44835</v>
      </c>
      <c r="H112" s="8">
        <v>7969</v>
      </c>
      <c r="J112" s="7">
        <v>44835</v>
      </c>
      <c r="K112" s="8">
        <v>7793</v>
      </c>
    </row>
    <row r="113" spans="1:11" x14ac:dyDescent="0.25">
      <c r="A113" s="7">
        <v>44866</v>
      </c>
      <c r="B113" s="8">
        <v>11419</v>
      </c>
      <c r="D113" s="7">
        <v>44866</v>
      </c>
      <c r="E113" s="8">
        <v>17682</v>
      </c>
      <c r="G113" s="7">
        <v>44866</v>
      </c>
      <c r="H113" s="8">
        <v>10018</v>
      </c>
      <c r="J113" s="7">
        <v>44866</v>
      </c>
      <c r="K113" s="8">
        <v>7434</v>
      </c>
    </row>
    <row r="114" spans="1:11" x14ac:dyDescent="0.25">
      <c r="A114" s="7">
        <v>44896</v>
      </c>
      <c r="B114" s="8">
        <v>12102</v>
      </c>
      <c r="D114" s="7">
        <v>44896</v>
      </c>
      <c r="E114" s="8">
        <v>18182</v>
      </c>
      <c r="G114" s="7">
        <v>44896</v>
      </c>
      <c r="H114" s="8">
        <v>10512</v>
      </c>
      <c r="J114" s="7">
        <v>44896</v>
      </c>
      <c r="K114" s="8">
        <v>10299</v>
      </c>
    </row>
    <row r="115" spans="1:11" x14ac:dyDescent="0.25">
      <c r="A115" s="7">
        <v>44927</v>
      </c>
      <c r="B115" s="8">
        <v>10903</v>
      </c>
      <c r="D115" s="7">
        <v>44927</v>
      </c>
      <c r="E115" s="8">
        <v>19671</v>
      </c>
      <c r="G115" s="7">
        <v>44927</v>
      </c>
      <c r="H115" s="8">
        <v>11937</v>
      </c>
      <c r="J115" s="7">
        <v>44927</v>
      </c>
      <c r="K115" s="8">
        <v>9082</v>
      </c>
    </row>
    <row r="116" spans="1:11" x14ac:dyDescent="0.25">
      <c r="A116" s="7">
        <v>44958</v>
      </c>
      <c r="B116" s="8">
        <v>12513</v>
      </c>
      <c r="D116" s="7">
        <v>44958</v>
      </c>
      <c r="E116" s="8">
        <v>21998</v>
      </c>
      <c r="G116" s="7">
        <v>44958</v>
      </c>
      <c r="H116" s="8">
        <v>13453</v>
      </c>
      <c r="J116" s="7">
        <v>44958</v>
      </c>
      <c r="K116" s="8">
        <v>9805</v>
      </c>
    </row>
    <row r="117" spans="1:11" x14ac:dyDescent="0.25">
      <c r="A117" s="7">
        <v>44986</v>
      </c>
      <c r="B117" s="8">
        <v>10696</v>
      </c>
      <c r="D117" s="7">
        <v>44986</v>
      </c>
      <c r="E117" s="8">
        <v>23076</v>
      </c>
      <c r="G117" s="7">
        <v>44986</v>
      </c>
      <c r="H117" s="8">
        <v>14793</v>
      </c>
      <c r="J117" s="7">
        <v>44986</v>
      </c>
      <c r="K117" s="8">
        <v>10482</v>
      </c>
    </row>
    <row r="118" spans="1:11" ht="15.75" thickBot="1" x14ac:dyDescent="0.3">
      <c r="A118" s="9">
        <v>45017</v>
      </c>
      <c r="B118" s="10">
        <v>13758</v>
      </c>
      <c r="D118" s="9">
        <v>45017</v>
      </c>
      <c r="E118" s="10">
        <v>18848</v>
      </c>
      <c r="G118" s="9">
        <v>45017</v>
      </c>
      <c r="H118" s="10">
        <v>13661</v>
      </c>
      <c r="J118" s="9">
        <v>45017</v>
      </c>
      <c r="K118" s="10">
        <v>10858</v>
      </c>
    </row>
    <row r="119" spans="1:11" ht="15.75" thickTop="1" x14ac:dyDescent="0.25"/>
  </sheetData>
  <autoFilter ref="J1:K118"/>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70"/>
  <sheetViews>
    <sheetView showGridLines="0" topLeftCell="A258" workbookViewId="0">
      <selection activeCell="F276" sqref="F276"/>
    </sheetView>
  </sheetViews>
  <sheetFormatPr defaultColWidth="12.7109375" defaultRowHeight="15" x14ac:dyDescent="0.25"/>
  <cols>
    <col min="1" max="1" width="34.140625" bestFit="1" customWidth="1"/>
    <col min="2" max="9" width="12.7109375" customWidth="1"/>
  </cols>
  <sheetData>
    <row r="1" spans="1:3" s="16" customFormat="1" ht="18.75" x14ac:dyDescent="0.3">
      <c r="A1" s="22" t="s">
        <v>75</v>
      </c>
      <c r="B1" s="20"/>
    </row>
    <row r="2" spans="1:3" s="16" customFormat="1" ht="11.25" x14ac:dyDescent="0.2">
      <c r="A2" s="18" t="s">
        <v>76</v>
      </c>
      <c r="B2" s="20" t="s">
        <v>77</v>
      </c>
    </row>
    <row r="3" spans="1:3" s="16" customFormat="1" ht="11.25" x14ac:dyDescent="0.2">
      <c r="A3" s="18" t="s">
        <v>78</v>
      </c>
      <c r="B3" s="20" t="s">
        <v>79</v>
      </c>
    </row>
    <row r="4" spans="1:3" s="16" customFormat="1" ht="11.25" x14ac:dyDescent="0.2">
      <c r="A4" s="18" t="s">
        <v>80</v>
      </c>
      <c r="B4" s="23">
        <v>45065</v>
      </c>
    </row>
    <row r="5" spans="1:3" s="17" customFormat="1" ht="11.25" x14ac:dyDescent="0.2">
      <c r="A5" s="19" t="s">
        <v>81</v>
      </c>
      <c r="B5" s="21" t="s">
        <v>82</v>
      </c>
    </row>
    <row r="7" spans="1:3" ht="15" customHeight="1" x14ac:dyDescent="0.25">
      <c r="A7" s="28" t="s">
        <v>236</v>
      </c>
      <c r="B7" s="25"/>
    </row>
    <row r="8" spans="1:3" ht="15" customHeight="1" thickBot="1" x14ac:dyDescent="0.3">
      <c r="A8" s="29" t="s">
        <v>235</v>
      </c>
      <c r="B8" s="26"/>
    </row>
    <row r="9" spans="1:3" ht="15" customHeight="1" thickTop="1" x14ac:dyDescent="0.25">
      <c r="A9" s="27" t="s">
        <v>229</v>
      </c>
      <c r="B9" s="35">
        <v>0.236616666717436</v>
      </c>
    </row>
    <row r="10" spans="1:3" ht="15" customHeight="1" x14ac:dyDescent="0.25"/>
    <row r="11" spans="1:3" ht="15" customHeight="1" x14ac:dyDescent="0.25">
      <c r="A11" s="28"/>
      <c r="B11" s="25"/>
      <c r="C11" s="25" t="s">
        <v>220</v>
      </c>
    </row>
    <row r="12" spans="1:3" ht="15" customHeight="1" thickBot="1" x14ac:dyDescent="0.3">
      <c r="A12" s="29" t="s">
        <v>237</v>
      </c>
      <c r="B12" s="26"/>
      <c r="C12" s="26" t="s">
        <v>225</v>
      </c>
    </row>
    <row r="13" spans="1:3" ht="15" customHeight="1" thickTop="1" x14ac:dyDescent="0.25">
      <c r="A13" s="27" t="s">
        <v>88</v>
      </c>
      <c r="B13" s="30">
        <f>_xll.StatMeanAbs(I147:I262)</f>
        <v>1028.4348074469751</v>
      </c>
      <c r="C13" s="30">
        <f>_xll.StatMeanAbs(G147:G262)</f>
        <v>1031.5493324396271</v>
      </c>
    </row>
    <row r="14" spans="1:3" ht="15" customHeight="1" x14ac:dyDescent="0.25">
      <c r="A14" s="27" t="s">
        <v>89</v>
      </c>
      <c r="B14" s="30">
        <f>SQRT(SUMSQ(I147:I262)/_xll.StatCount(I147:I262))</f>
        <v>1333.3392159560799</v>
      </c>
      <c r="C14" s="30">
        <f>SQRT(SUMSQ(G147:G262)/_xll.StatCount(G147:G262))</f>
        <v>1337.6721277484621</v>
      </c>
    </row>
    <row r="15" spans="1:3" ht="15" customHeight="1" x14ac:dyDescent="0.25">
      <c r="A15" s="27" t="s">
        <v>90</v>
      </c>
      <c r="B15" s="33">
        <f>_xll.StatPairMeanAbsQuotient(I147:I262,B147:B262)</f>
        <v>0.10046403403762544</v>
      </c>
      <c r="C15" s="33">
        <f>_xll.StatPairMeanAbsQuotient(G147:G262,D147:D262)</f>
        <v>0.10046403403762538</v>
      </c>
    </row>
    <row r="16" spans="1:3"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spans="1:9" ht="15" customHeight="1" x14ac:dyDescent="0.25"/>
    <row r="130" spans="1:9" ht="15" customHeight="1" x14ac:dyDescent="0.25"/>
    <row r="131" spans="1:9" ht="15" customHeight="1" x14ac:dyDescent="0.25"/>
    <row r="132" spans="1:9" ht="15" customHeight="1" x14ac:dyDescent="0.25"/>
    <row r="133" spans="1:9" ht="15" customHeight="1" x14ac:dyDescent="0.25"/>
    <row r="134" spans="1:9" ht="15" customHeight="1" x14ac:dyDescent="0.25"/>
    <row r="135" spans="1:9" ht="15" customHeight="1" x14ac:dyDescent="0.25"/>
    <row r="136" spans="1:9" ht="15" customHeight="1" x14ac:dyDescent="0.25"/>
    <row r="137" spans="1:9" ht="15" customHeight="1" x14ac:dyDescent="0.25"/>
    <row r="138" spans="1:9" ht="15" customHeight="1" x14ac:dyDescent="0.25"/>
    <row r="139" spans="1:9" ht="15" customHeight="1" x14ac:dyDescent="0.25"/>
    <row r="140" spans="1:9" ht="15" customHeight="1" x14ac:dyDescent="0.25"/>
    <row r="141" spans="1:9" ht="15" customHeight="1" x14ac:dyDescent="0.25"/>
    <row r="142" spans="1:9" ht="15" customHeight="1" x14ac:dyDescent="0.25"/>
    <row r="143" spans="1:9" ht="15" customHeight="1" x14ac:dyDescent="0.25"/>
    <row r="144" spans="1:9" ht="15" customHeight="1" x14ac:dyDescent="0.25">
      <c r="A144" s="28"/>
      <c r="B144" s="25"/>
      <c r="C144" s="25" t="s">
        <v>222</v>
      </c>
      <c r="D144" s="25" t="s">
        <v>220</v>
      </c>
      <c r="E144" s="25" t="s">
        <v>220</v>
      </c>
      <c r="F144" s="25" t="s">
        <v>220</v>
      </c>
      <c r="G144" s="25" t="s">
        <v>220</v>
      </c>
      <c r="H144" s="25" t="s">
        <v>222</v>
      </c>
      <c r="I144" s="25" t="s">
        <v>222</v>
      </c>
    </row>
    <row r="145" spans="1:9" ht="15" customHeight="1" thickBot="1" x14ac:dyDescent="0.3">
      <c r="A145" s="29" t="s">
        <v>86</v>
      </c>
      <c r="B145" s="26" t="s">
        <v>0</v>
      </c>
      <c r="C145" s="26" t="s">
        <v>223</v>
      </c>
      <c r="D145" s="26" t="s">
        <v>0</v>
      </c>
      <c r="E145" s="26" t="s">
        <v>232</v>
      </c>
      <c r="F145" s="26" t="s">
        <v>77</v>
      </c>
      <c r="G145" s="26" t="s">
        <v>224</v>
      </c>
      <c r="H145" s="26" t="s">
        <v>77</v>
      </c>
      <c r="I145" s="26" t="s">
        <v>224</v>
      </c>
    </row>
    <row r="146" spans="1:9" ht="15" customHeight="1" thickTop="1" x14ac:dyDescent="0.25">
      <c r="A146" s="27" t="s">
        <v>91</v>
      </c>
      <c r="B146" s="30">
        <f xml:space="preserve"> 7419</f>
        <v>7419</v>
      </c>
      <c r="C146" s="30">
        <v>0.9108384700918547</v>
      </c>
      <c r="D146" s="30">
        <f>B146/C146</f>
        <v>8145.242261508587</v>
      </c>
      <c r="E146" s="30">
        <f>D146</f>
        <v>8145.242261508587</v>
      </c>
      <c r="F146" s="30"/>
      <c r="G146" s="30"/>
      <c r="H146" s="30"/>
      <c r="I146" s="30"/>
    </row>
    <row r="147" spans="1:9" ht="15" customHeight="1" x14ac:dyDescent="0.25">
      <c r="A147" s="27" t="s">
        <v>92</v>
      </c>
      <c r="B147" s="30">
        <f xml:space="preserve"> 8824</f>
        <v>8824</v>
      </c>
      <c r="C147" s="30">
        <v>0.84712190854138225</v>
      </c>
      <c r="D147" s="30">
        <f t="shared" ref="D147:D210" si="0">B147/C147</f>
        <v>10416.446453608565</v>
      </c>
      <c r="E147" s="30">
        <f>$B$9*D147+(1-$B$9)*E146</f>
        <v>8682.6470268779503</v>
      </c>
      <c r="F147" s="30">
        <f>E146</f>
        <v>8145.242261508587</v>
      </c>
      <c r="G147" s="30">
        <f>D147-F147</f>
        <v>2271.2041920999782</v>
      </c>
      <c r="H147" s="30">
        <f t="shared" ref="H147:H178" si="1">F147*C147</f>
        <v>6900.0131701010787</v>
      </c>
      <c r="I147" s="30">
        <f>B147-H147</f>
        <v>1923.9868298989213</v>
      </c>
    </row>
    <row r="148" spans="1:9" ht="15" customHeight="1" x14ac:dyDescent="0.25">
      <c r="A148" s="27" t="s">
        <v>93</v>
      </c>
      <c r="B148" s="30">
        <f xml:space="preserve"> 11583</f>
        <v>11583</v>
      </c>
      <c r="C148" s="30">
        <v>0.90327235308033749</v>
      </c>
      <c r="D148" s="30">
        <f t="shared" si="0"/>
        <v>12823.374877466002</v>
      </c>
      <c r="E148" s="30">
        <f t="shared" ref="E148:E211" si="2">$B$9*D148+(1-$B$9)*E147</f>
        <v>9662.4122486681481</v>
      </c>
      <c r="F148" s="30">
        <f t="shared" ref="F148:F211" si="3">E147</f>
        <v>8682.6470268779503</v>
      </c>
      <c r="G148" s="30">
        <f t="shared" ref="G148:G211" si="4">D148-F148</f>
        <v>4140.7278505880513</v>
      </c>
      <c r="H148" s="30">
        <f t="shared" si="1"/>
        <v>7842.7950109340427</v>
      </c>
      <c r="I148" s="30">
        <f t="shared" ref="I148:I211" si="5">B148-H148</f>
        <v>3740.2049890659573</v>
      </c>
    </row>
    <row r="149" spans="1:9" ht="15" customHeight="1" x14ac:dyDescent="0.25">
      <c r="A149" s="27" t="s">
        <v>94</v>
      </c>
      <c r="B149" s="30">
        <f xml:space="preserve"> 7958</f>
        <v>7958</v>
      </c>
      <c r="C149" s="30">
        <v>0.97853401683850749</v>
      </c>
      <c r="D149" s="30">
        <f t="shared" si="0"/>
        <v>8132.5736898867053</v>
      </c>
      <c r="E149" s="30">
        <f t="shared" si="2"/>
        <v>9300.426948273478</v>
      </c>
      <c r="F149" s="30">
        <f t="shared" si="3"/>
        <v>9662.4122486681481</v>
      </c>
      <c r="G149" s="30">
        <f t="shared" si="4"/>
        <v>-1529.8385587814428</v>
      </c>
      <c r="H149" s="30">
        <f t="shared" si="1"/>
        <v>9454.9990700388389</v>
      </c>
      <c r="I149" s="30">
        <f t="shared" si="5"/>
        <v>-1496.9990700388389</v>
      </c>
    </row>
    <row r="150" spans="1:9" ht="15" customHeight="1" x14ac:dyDescent="0.25">
      <c r="A150" s="27" t="s">
        <v>95</v>
      </c>
      <c r="B150" s="30">
        <f xml:space="preserve"> 11933</f>
        <v>11933</v>
      </c>
      <c r="C150" s="30">
        <v>1.0405515346828169</v>
      </c>
      <c r="D150" s="30">
        <f t="shared" si="0"/>
        <v>11467.956753951106</v>
      </c>
      <c r="E150" s="30">
        <f t="shared" si="2"/>
        <v>9813.3006259036101</v>
      </c>
      <c r="F150" s="30">
        <f t="shared" si="3"/>
        <v>9300.426948273478</v>
      </c>
      <c r="G150" s="30">
        <f t="shared" si="4"/>
        <v>2167.5298056776282</v>
      </c>
      <c r="H150" s="30">
        <f t="shared" si="1"/>
        <v>9677.5735342313947</v>
      </c>
      <c r="I150" s="30">
        <f t="shared" si="5"/>
        <v>2255.4264657686053</v>
      </c>
    </row>
    <row r="151" spans="1:9" ht="15" customHeight="1" x14ac:dyDescent="0.25">
      <c r="A151" s="27" t="s">
        <v>96</v>
      </c>
      <c r="B151" s="30">
        <f xml:space="preserve"> 11227</f>
        <v>11227</v>
      </c>
      <c r="C151" s="30">
        <v>1.0139715410282903</v>
      </c>
      <c r="D151" s="30">
        <f t="shared" si="0"/>
        <v>11072.302866226855</v>
      </c>
      <c r="E151" s="30">
        <f t="shared" si="2"/>
        <v>10111.20153939868</v>
      </c>
      <c r="F151" s="30">
        <f t="shared" si="3"/>
        <v>9813.3006259036101</v>
      </c>
      <c r="G151" s="30">
        <f t="shared" si="4"/>
        <v>1259.0022403232451</v>
      </c>
      <c r="H151" s="30">
        <f t="shared" si="1"/>
        <v>9950.40755822137</v>
      </c>
      <c r="I151" s="30">
        <f t="shared" si="5"/>
        <v>1276.59244177863</v>
      </c>
    </row>
    <row r="152" spans="1:9" ht="15" customHeight="1" x14ac:dyDescent="0.25">
      <c r="A152" s="27" t="s">
        <v>97</v>
      </c>
      <c r="B152" s="30">
        <f xml:space="preserve"> 11258</f>
        <v>11258</v>
      </c>
      <c r="C152" s="30">
        <v>1.1066401628839515</v>
      </c>
      <c r="D152" s="30">
        <f t="shared" si="0"/>
        <v>10173.135204727409</v>
      </c>
      <c r="E152" s="30">
        <f t="shared" si="2"/>
        <v>10125.856076846358</v>
      </c>
      <c r="F152" s="30">
        <f t="shared" si="3"/>
        <v>10111.20153939868</v>
      </c>
      <c r="G152" s="30">
        <f t="shared" si="4"/>
        <v>61.933665328728239</v>
      </c>
      <c r="H152" s="30">
        <f t="shared" si="1"/>
        <v>11189.461718512617</v>
      </c>
      <c r="I152" s="30">
        <f t="shared" si="5"/>
        <v>68.538281487382847</v>
      </c>
    </row>
    <row r="153" spans="1:9" ht="15" customHeight="1" x14ac:dyDescent="0.25">
      <c r="A153" s="27" t="s">
        <v>98</v>
      </c>
      <c r="B153" s="30">
        <f xml:space="preserve"> 15904</f>
        <v>15904</v>
      </c>
      <c r="C153" s="30">
        <v>1.2089882382274035</v>
      </c>
      <c r="D153" s="30">
        <f t="shared" si="0"/>
        <v>13154.801260364744</v>
      </c>
      <c r="E153" s="30">
        <f t="shared" si="2"/>
        <v>10842.554989840311</v>
      </c>
      <c r="F153" s="30">
        <f t="shared" si="3"/>
        <v>10125.856076846358</v>
      </c>
      <c r="G153" s="30">
        <f t="shared" si="4"/>
        <v>3028.9451835183863</v>
      </c>
      <c r="H153" s="30">
        <f t="shared" si="1"/>
        <v>12242.040898890726</v>
      </c>
      <c r="I153" s="30">
        <f t="shared" si="5"/>
        <v>3661.9591011092743</v>
      </c>
    </row>
    <row r="154" spans="1:9" ht="15" customHeight="1" x14ac:dyDescent="0.25">
      <c r="A154" s="27" t="s">
        <v>99</v>
      </c>
      <c r="B154" s="30">
        <f xml:space="preserve"> 14470</f>
        <v>14470</v>
      </c>
      <c r="C154" s="30">
        <v>1.1674732208152445</v>
      </c>
      <c r="D154" s="30">
        <f t="shared" si="0"/>
        <v>12394.288572970971</v>
      </c>
      <c r="E154" s="30">
        <f t="shared" si="2"/>
        <v>11209.721017914191</v>
      </c>
      <c r="F154" s="30">
        <f t="shared" si="3"/>
        <v>10842.554989840311</v>
      </c>
      <c r="G154" s="30">
        <f t="shared" si="4"/>
        <v>1551.7335831306591</v>
      </c>
      <c r="H154" s="30">
        <f t="shared" si="1"/>
        <v>12658.39259585527</v>
      </c>
      <c r="I154" s="30">
        <f t="shared" si="5"/>
        <v>1811.60740414473</v>
      </c>
    </row>
    <row r="155" spans="1:9" ht="15" customHeight="1" x14ac:dyDescent="0.25">
      <c r="A155" s="27" t="s">
        <v>100</v>
      </c>
      <c r="B155" s="30">
        <f xml:space="preserve"> 10916</f>
        <v>10916</v>
      </c>
      <c r="C155" s="30">
        <v>0.96087205630662098</v>
      </c>
      <c r="D155" s="30">
        <f t="shared" si="0"/>
        <v>11360.513533881589</v>
      </c>
      <c r="E155" s="30">
        <f t="shared" si="2"/>
        <v>11245.401040408333</v>
      </c>
      <c r="F155" s="30">
        <f t="shared" si="3"/>
        <v>11209.721017914191</v>
      </c>
      <c r="G155" s="30">
        <f t="shared" si="4"/>
        <v>150.79251596739778</v>
      </c>
      <c r="H155" s="30">
        <f t="shared" si="1"/>
        <v>10771.107685106757</v>
      </c>
      <c r="I155" s="30">
        <f t="shared" si="5"/>
        <v>144.89231489324266</v>
      </c>
    </row>
    <row r="156" spans="1:9" ht="15" customHeight="1" x14ac:dyDescent="0.25">
      <c r="A156" s="27" t="s">
        <v>101</v>
      </c>
      <c r="B156" s="30">
        <f xml:space="preserve"> 10391</f>
        <v>10391</v>
      </c>
      <c r="C156" s="30">
        <v>0.99213853165653609</v>
      </c>
      <c r="D156" s="30">
        <f t="shared" si="0"/>
        <v>10473.33579782507</v>
      </c>
      <c r="E156" s="30">
        <f t="shared" si="2"/>
        <v>11062.717536219892</v>
      </c>
      <c r="F156" s="30">
        <f t="shared" si="3"/>
        <v>11245.401040408333</v>
      </c>
      <c r="G156" s="30">
        <f t="shared" si="4"/>
        <v>-772.06524258326317</v>
      </c>
      <c r="H156" s="30">
        <f t="shared" si="1"/>
        <v>11156.995676119606</v>
      </c>
      <c r="I156" s="30">
        <f t="shared" si="5"/>
        <v>-765.99567611960629</v>
      </c>
    </row>
    <row r="157" spans="1:9" ht="15" customHeight="1" x14ac:dyDescent="0.25">
      <c r="A157" s="27" t="s">
        <v>102</v>
      </c>
      <c r="B157" s="30">
        <f xml:space="preserve"> 8481</f>
        <v>8481</v>
      </c>
      <c r="C157" s="30">
        <v>0.86959779497816025</v>
      </c>
      <c r="D157" s="30">
        <f t="shared" si="0"/>
        <v>9752.7846194837675</v>
      </c>
      <c r="E157" s="30">
        <f t="shared" si="2"/>
        <v>10752.765575838343</v>
      </c>
      <c r="F157" s="30">
        <f t="shared" si="3"/>
        <v>11062.717536219892</v>
      </c>
      <c r="G157" s="30">
        <f t="shared" si="4"/>
        <v>-1309.9329167361248</v>
      </c>
      <c r="H157" s="30">
        <f t="shared" si="1"/>
        <v>9620.1147759630439</v>
      </c>
      <c r="I157" s="30">
        <f t="shared" si="5"/>
        <v>-1139.1147759630439</v>
      </c>
    </row>
    <row r="158" spans="1:9" ht="15" customHeight="1" x14ac:dyDescent="0.25">
      <c r="A158" s="27" t="s">
        <v>103</v>
      </c>
      <c r="B158" s="30">
        <f xml:space="preserve"> 10120</f>
        <v>10120</v>
      </c>
      <c r="C158" s="30">
        <v>0.9108384700918547</v>
      </c>
      <c r="D158" s="30">
        <f t="shared" si="0"/>
        <v>11110.641823219692</v>
      </c>
      <c r="E158" s="30">
        <f t="shared" si="2"/>
        <v>10837.445060591062</v>
      </c>
      <c r="F158" s="30">
        <f t="shared" si="3"/>
        <v>10752.765575838343</v>
      </c>
      <c r="G158" s="30">
        <f t="shared" si="4"/>
        <v>357.87624738134946</v>
      </c>
      <c r="H158" s="30">
        <f t="shared" si="1"/>
        <v>9794.0325463529571</v>
      </c>
      <c r="I158" s="30">
        <f t="shared" si="5"/>
        <v>325.96745364704293</v>
      </c>
    </row>
    <row r="159" spans="1:9" ht="15" customHeight="1" x14ac:dyDescent="0.25">
      <c r="A159" s="27" t="s">
        <v>104</v>
      </c>
      <c r="B159" s="30">
        <f xml:space="preserve"> 8910</f>
        <v>8910</v>
      </c>
      <c r="C159" s="30">
        <v>0.84712190854138225</v>
      </c>
      <c r="D159" s="30">
        <f t="shared" si="0"/>
        <v>10517.966670631495</v>
      </c>
      <c r="E159" s="30">
        <f t="shared" si="2"/>
        <v>10761.851148870577</v>
      </c>
      <c r="F159" s="30">
        <f t="shared" si="3"/>
        <v>10837.445060591062</v>
      </c>
      <c r="G159" s="30">
        <f t="shared" si="4"/>
        <v>-319.47838995956772</v>
      </c>
      <c r="H159" s="30">
        <f t="shared" si="1"/>
        <v>9180.6371434402772</v>
      </c>
      <c r="I159" s="30">
        <f t="shared" si="5"/>
        <v>-270.63714344027721</v>
      </c>
    </row>
    <row r="160" spans="1:9" ht="15" customHeight="1" x14ac:dyDescent="0.25">
      <c r="A160" s="27" t="s">
        <v>105</v>
      </c>
      <c r="B160" s="30">
        <f xml:space="preserve"> 9375</f>
        <v>9375</v>
      </c>
      <c r="C160" s="30">
        <v>0.90327235308033749</v>
      </c>
      <c r="D160" s="30">
        <f t="shared" si="0"/>
        <v>10378.929420378467</v>
      </c>
      <c r="E160" s="30">
        <f t="shared" si="2"/>
        <v>10671.245485861096</v>
      </c>
      <c r="F160" s="30">
        <f t="shared" si="3"/>
        <v>10761.851148870577</v>
      </c>
      <c r="G160" s="30">
        <f t="shared" si="4"/>
        <v>-382.92172849211056</v>
      </c>
      <c r="H160" s="30">
        <f t="shared" si="1"/>
        <v>9720.8826107406603</v>
      </c>
      <c r="I160" s="30">
        <f t="shared" si="5"/>
        <v>-345.88261074066031</v>
      </c>
    </row>
    <row r="161" spans="1:9" ht="15" customHeight="1" x14ac:dyDescent="0.25">
      <c r="A161" s="27" t="s">
        <v>106</v>
      </c>
      <c r="B161" s="30">
        <f xml:space="preserve"> 12366</f>
        <v>12366</v>
      </c>
      <c r="C161" s="30">
        <v>0.97853401683850749</v>
      </c>
      <c r="D161" s="30">
        <f t="shared" si="0"/>
        <v>12637.271456287886</v>
      </c>
      <c r="E161" s="30">
        <f t="shared" si="2"/>
        <v>11136.439997663396</v>
      </c>
      <c r="F161" s="30">
        <f t="shared" si="3"/>
        <v>10671.245485861096</v>
      </c>
      <c r="G161" s="30">
        <f t="shared" si="4"/>
        <v>1966.0259704267901</v>
      </c>
      <c r="H161" s="30">
        <f t="shared" si="1"/>
        <v>10442.176709949448</v>
      </c>
      <c r="I161" s="30">
        <f t="shared" si="5"/>
        <v>1923.8232900505518</v>
      </c>
    </row>
    <row r="162" spans="1:9" ht="15" customHeight="1" x14ac:dyDescent="0.25">
      <c r="A162" s="27" t="s">
        <v>107</v>
      </c>
      <c r="B162" s="30">
        <f xml:space="preserve"> 10808</f>
        <v>10808</v>
      </c>
      <c r="C162" s="30">
        <v>1.0405515346828169</v>
      </c>
      <c r="D162" s="30">
        <f t="shared" si="0"/>
        <v>10386.799346074211</v>
      </c>
      <c r="E162" s="30">
        <f t="shared" si="2"/>
        <v>10959.062525448477</v>
      </c>
      <c r="F162" s="30">
        <f t="shared" si="3"/>
        <v>11136.439997663396</v>
      </c>
      <c r="G162" s="30">
        <f t="shared" si="4"/>
        <v>-749.64065158918493</v>
      </c>
      <c r="H162" s="30">
        <f t="shared" si="1"/>
        <v>11588.039730471752</v>
      </c>
      <c r="I162" s="30">
        <f t="shared" si="5"/>
        <v>-780.03973047175168</v>
      </c>
    </row>
    <row r="163" spans="1:9" ht="15" customHeight="1" x14ac:dyDescent="0.25">
      <c r="A163" s="27" t="s">
        <v>108</v>
      </c>
      <c r="B163" s="30">
        <f xml:space="preserve"> 11982</f>
        <v>11982</v>
      </c>
      <c r="C163" s="30">
        <v>1.0139715410282903</v>
      </c>
      <c r="D163" s="30">
        <f t="shared" si="0"/>
        <v>11816.899701000282</v>
      </c>
      <c r="E163" s="30">
        <f t="shared" si="2"/>
        <v>11162.041098513846</v>
      </c>
      <c r="F163" s="30">
        <f t="shared" si="3"/>
        <v>10959.062525448477</v>
      </c>
      <c r="G163" s="30">
        <f t="shared" si="4"/>
        <v>857.83717555180556</v>
      </c>
      <c r="H163" s="30">
        <f t="shared" si="1"/>
        <v>11112.17751715438</v>
      </c>
      <c r="I163" s="30">
        <f t="shared" si="5"/>
        <v>869.82248284562047</v>
      </c>
    </row>
    <row r="164" spans="1:9" ht="15" customHeight="1" x14ac:dyDescent="0.25">
      <c r="A164" s="27" t="s">
        <v>109</v>
      </c>
      <c r="B164" s="30">
        <f xml:space="preserve"> 13330</f>
        <v>13330</v>
      </c>
      <c r="C164" s="30">
        <v>1.1066401628839515</v>
      </c>
      <c r="D164" s="30">
        <f t="shared" si="0"/>
        <v>12045.469202257626</v>
      </c>
      <c r="E164" s="30">
        <f t="shared" si="2"/>
        <v>11371.074911706204</v>
      </c>
      <c r="F164" s="30">
        <f t="shared" si="3"/>
        <v>11162.041098513846</v>
      </c>
      <c r="G164" s="30">
        <f t="shared" si="4"/>
        <v>883.4281037437795</v>
      </c>
      <c r="H164" s="30">
        <f t="shared" si="1"/>
        <v>12352.362979376723</v>
      </c>
      <c r="I164" s="30">
        <f t="shared" si="5"/>
        <v>977.63702062327684</v>
      </c>
    </row>
    <row r="165" spans="1:9" ht="15" customHeight="1" x14ac:dyDescent="0.25">
      <c r="A165" s="27" t="s">
        <v>110</v>
      </c>
      <c r="B165" s="30">
        <f xml:space="preserve"> 12233</f>
        <v>12233</v>
      </c>
      <c r="C165" s="30">
        <v>1.2089882382274035</v>
      </c>
      <c r="D165" s="30">
        <f t="shared" si="0"/>
        <v>10118.378006667626</v>
      </c>
      <c r="E165" s="30">
        <f t="shared" si="2"/>
        <v>11074.665945628729</v>
      </c>
      <c r="F165" s="30">
        <f t="shared" si="3"/>
        <v>11371.074911706204</v>
      </c>
      <c r="G165" s="30">
        <f t="shared" si="4"/>
        <v>-1252.6969050385778</v>
      </c>
      <c r="H165" s="30">
        <f t="shared" si="1"/>
        <v>13747.495824255511</v>
      </c>
      <c r="I165" s="30">
        <f t="shared" si="5"/>
        <v>-1514.4958242555113</v>
      </c>
    </row>
    <row r="166" spans="1:9" ht="15" customHeight="1" x14ac:dyDescent="0.25">
      <c r="A166" s="27" t="s">
        <v>111</v>
      </c>
      <c r="B166" s="30">
        <f xml:space="preserve"> 12302</f>
        <v>12302</v>
      </c>
      <c r="C166" s="30">
        <v>1.1674732208152445</v>
      </c>
      <c r="D166" s="30">
        <f t="shared" si="0"/>
        <v>10537.286663765644</v>
      </c>
      <c r="E166" s="30">
        <f t="shared" si="2"/>
        <v>10947.513051191278</v>
      </c>
      <c r="F166" s="30">
        <f t="shared" si="3"/>
        <v>11074.665945628729</v>
      </c>
      <c r="G166" s="30">
        <f t="shared" si="4"/>
        <v>-537.37928186308454</v>
      </c>
      <c r="H166" s="30">
        <f t="shared" si="1"/>
        <v>12929.375920996077</v>
      </c>
      <c r="I166" s="30">
        <f t="shared" si="5"/>
        <v>-627.37592099607718</v>
      </c>
    </row>
    <row r="167" spans="1:9" ht="15" customHeight="1" x14ac:dyDescent="0.25">
      <c r="A167" s="27" t="s">
        <v>112</v>
      </c>
      <c r="B167" s="30">
        <f xml:space="preserve"> 7227</f>
        <v>7227</v>
      </c>
      <c r="C167" s="30">
        <v>0.96087205630662098</v>
      </c>
      <c r="D167" s="30">
        <f t="shared" si="0"/>
        <v>7521.2927179701583</v>
      </c>
      <c r="E167" s="30">
        <f t="shared" si="2"/>
        <v>10136.812216504994</v>
      </c>
      <c r="F167" s="30">
        <f t="shared" si="3"/>
        <v>10947.513051191278</v>
      </c>
      <c r="G167" s="30">
        <f t="shared" si="4"/>
        <v>-3426.2203332211193</v>
      </c>
      <c r="H167" s="30">
        <f t="shared" si="1"/>
        <v>10519.159376941734</v>
      </c>
      <c r="I167" s="30">
        <f t="shared" si="5"/>
        <v>-3292.1593769417341</v>
      </c>
    </row>
    <row r="168" spans="1:9" ht="15" customHeight="1" x14ac:dyDescent="0.25">
      <c r="A168" s="27" t="s">
        <v>113</v>
      </c>
      <c r="B168" s="30">
        <f xml:space="preserve"> 12660</f>
        <v>12660</v>
      </c>
      <c r="C168" s="30">
        <v>0.99213853165653609</v>
      </c>
      <c r="D168" s="30">
        <f t="shared" si="0"/>
        <v>12760.314810938829</v>
      </c>
      <c r="E168" s="30">
        <f t="shared" si="2"/>
        <v>10757.576655524474</v>
      </c>
      <c r="F168" s="30">
        <f t="shared" si="3"/>
        <v>10136.812216504994</v>
      </c>
      <c r="G168" s="30">
        <f t="shared" si="4"/>
        <v>2623.5025944338358</v>
      </c>
      <c r="H168" s="30">
        <f t="shared" si="1"/>
        <v>10057.121988161301</v>
      </c>
      <c r="I168" s="30">
        <f t="shared" si="5"/>
        <v>2602.8780118386985</v>
      </c>
    </row>
    <row r="169" spans="1:9" ht="15" customHeight="1" x14ac:dyDescent="0.25">
      <c r="A169" s="27" t="s">
        <v>114</v>
      </c>
      <c r="B169" s="30">
        <f xml:space="preserve"> 9800</f>
        <v>9800</v>
      </c>
      <c r="C169" s="30">
        <v>0.86959779497816025</v>
      </c>
      <c r="D169" s="30">
        <f t="shared" si="0"/>
        <v>11269.577794003175</v>
      </c>
      <c r="E169" s="30">
        <f t="shared" si="2"/>
        <v>10878.724658266838</v>
      </c>
      <c r="F169" s="30">
        <f t="shared" si="3"/>
        <v>10757.576655524474</v>
      </c>
      <c r="G169" s="30">
        <f t="shared" si="4"/>
        <v>512.00113847870125</v>
      </c>
      <c r="H169" s="30">
        <f t="shared" si="1"/>
        <v>9354.7649389526141</v>
      </c>
      <c r="I169" s="30">
        <f t="shared" si="5"/>
        <v>445.2350610473859</v>
      </c>
    </row>
    <row r="170" spans="1:9" ht="15" customHeight="1" x14ac:dyDescent="0.25">
      <c r="A170" s="27" t="s">
        <v>115</v>
      </c>
      <c r="B170" s="30">
        <f xml:space="preserve"> 12004</f>
        <v>12004</v>
      </c>
      <c r="C170" s="30">
        <v>0.9108384700918547</v>
      </c>
      <c r="D170" s="30">
        <f t="shared" si="0"/>
        <v>13179.065656712371</v>
      </c>
      <c r="E170" s="30">
        <f t="shared" si="2"/>
        <v>11423.023677632478</v>
      </c>
      <c r="F170" s="30">
        <f t="shared" si="3"/>
        <v>10878.724658266838</v>
      </c>
      <c r="G170" s="30">
        <f t="shared" si="4"/>
        <v>2300.3409984455338</v>
      </c>
      <c r="H170" s="30">
        <f t="shared" si="1"/>
        <v>9908.7609242863018</v>
      </c>
      <c r="I170" s="30">
        <f t="shared" si="5"/>
        <v>2095.2390757136982</v>
      </c>
    </row>
    <row r="171" spans="1:9" ht="15" customHeight="1" x14ac:dyDescent="0.25">
      <c r="A171" s="27" t="s">
        <v>116</v>
      </c>
      <c r="B171" s="30">
        <f xml:space="preserve"> 10006</f>
        <v>10006</v>
      </c>
      <c r="C171" s="30">
        <v>0.84712190854138225</v>
      </c>
      <c r="D171" s="30">
        <f t="shared" si="0"/>
        <v>11811.759203853955</v>
      </c>
      <c r="E171" s="30">
        <f t="shared" si="2"/>
        <v>11515.004982081653</v>
      </c>
      <c r="F171" s="30">
        <f t="shared" si="3"/>
        <v>11423.023677632478</v>
      </c>
      <c r="G171" s="30">
        <f t="shared" si="4"/>
        <v>388.7355262214769</v>
      </c>
      <c r="H171" s="30">
        <f t="shared" si="1"/>
        <v>9676.6936191094246</v>
      </c>
      <c r="I171" s="30">
        <f t="shared" si="5"/>
        <v>329.30638089057538</v>
      </c>
    </row>
    <row r="172" spans="1:9" ht="15" customHeight="1" x14ac:dyDescent="0.25">
      <c r="A172" s="27" t="s">
        <v>117</v>
      </c>
      <c r="B172" s="30">
        <f xml:space="preserve"> 8394</f>
        <v>8394</v>
      </c>
      <c r="C172" s="30">
        <v>0.90327235308033749</v>
      </c>
      <c r="D172" s="30">
        <f t="shared" si="0"/>
        <v>9292.878245830063</v>
      </c>
      <c r="E172" s="30">
        <f t="shared" si="2"/>
        <v>10989.212760726106</v>
      </c>
      <c r="F172" s="30">
        <f t="shared" si="3"/>
        <v>11515.004982081653</v>
      </c>
      <c r="G172" s="30">
        <f t="shared" si="4"/>
        <v>-2222.12673625159</v>
      </c>
      <c r="H172" s="30">
        <f t="shared" si="1"/>
        <v>10401.185645896705</v>
      </c>
      <c r="I172" s="30">
        <f t="shared" si="5"/>
        <v>-2007.185645896705</v>
      </c>
    </row>
    <row r="173" spans="1:9" ht="15" customHeight="1" x14ac:dyDescent="0.25">
      <c r="A173" s="27" t="s">
        <v>118</v>
      </c>
      <c r="B173" s="30">
        <f xml:space="preserve"> 9953</f>
        <v>9953</v>
      </c>
      <c r="C173" s="30">
        <v>0.97853401683850749</v>
      </c>
      <c r="D173" s="30">
        <f t="shared" si="0"/>
        <v>10171.337765197584</v>
      </c>
      <c r="E173" s="30">
        <f t="shared" si="2"/>
        <v>10795.689905492609</v>
      </c>
      <c r="F173" s="30">
        <f t="shared" si="3"/>
        <v>10989.212760726106</v>
      </c>
      <c r="G173" s="30">
        <f t="shared" si="4"/>
        <v>-817.87499552852205</v>
      </c>
      <c r="H173" s="30">
        <f t="shared" si="1"/>
        <v>10753.3185046463</v>
      </c>
      <c r="I173" s="30">
        <f t="shared" si="5"/>
        <v>-800.31850464630043</v>
      </c>
    </row>
    <row r="174" spans="1:9" ht="15" customHeight="1" x14ac:dyDescent="0.25">
      <c r="A174" s="27" t="s">
        <v>119</v>
      </c>
      <c r="B174" s="30">
        <f xml:space="preserve"> 10461</f>
        <v>10461</v>
      </c>
      <c r="C174" s="30">
        <v>1.0405515346828169</v>
      </c>
      <c r="D174" s="30">
        <f t="shared" si="0"/>
        <v>10053.322350044627</v>
      </c>
      <c r="E174" s="30">
        <f t="shared" si="2"/>
        <v>10620.033369043336</v>
      </c>
      <c r="F174" s="30">
        <f t="shared" si="3"/>
        <v>10795.689905492609</v>
      </c>
      <c r="G174" s="30">
        <f t="shared" si="4"/>
        <v>-742.36755544798143</v>
      </c>
      <c r="H174" s="30">
        <f t="shared" si="1"/>
        <v>11233.471699120129</v>
      </c>
      <c r="I174" s="30">
        <f t="shared" si="5"/>
        <v>-772.47169912012941</v>
      </c>
    </row>
    <row r="175" spans="1:9" ht="15" customHeight="1" x14ac:dyDescent="0.25">
      <c r="A175" s="27" t="s">
        <v>120</v>
      </c>
      <c r="B175" s="30">
        <f xml:space="preserve"> 10893</f>
        <v>10893</v>
      </c>
      <c r="C175" s="30">
        <v>1.0139715410282903</v>
      </c>
      <c r="D175" s="30">
        <f t="shared" si="0"/>
        <v>10742.905061174768</v>
      </c>
      <c r="E175" s="30">
        <f t="shared" si="2"/>
        <v>10649.106859269406</v>
      </c>
      <c r="F175" s="30">
        <f t="shared" si="3"/>
        <v>10620.033369043336</v>
      </c>
      <c r="G175" s="30">
        <f t="shared" si="4"/>
        <v>122.8716921314317</v>
      </c>
      <c r="H175" s="30">
        <f t="shared" si="1"/>
        <v>10768.411600980739</v>
      </c>
      <c r="I175" s="30">
        <f t="shared" si="5"/>
        <v>124.58839901926149</v>
      </c>
    </row>
    <row r="176" spans="1:9" ht="15" customHeight="1" x14ac:dyDescent="0.25">
      <c r="A176" s="27" t="s">
        <v>121</v>
      </c>
      <c r="B176" s="30">
        <f xml:space="preserve"> 9212</f>
        <v>9212</v>
      </c>
      <c r="C176" s="30">
        <v>1.1066401628839515</v>
      </c>
      <c r="D176" s="30">
        <f t="shared" si="0"/>
        <v>8324.2957457762368</v>
      </c>
      <c r="E176" s="30">
        <f t="shared" si="2"/>
        <v>10099.017802847002</v>
      </c>
      <c r="F176" s="30">
        <f t="shared" si="3"/>
        <v>10649.106859269406</v>
      </c>
      <c r="G176" s="30">
        <f t="shared" si="4"/>
        <v>-2324.8111134931696</v>
      </c>
      <c r="H176" s="30">
        <f t="shared" si="1"/>
        <v>11784.729349310501</v>
      </c>
      <c r="I176" s="30">
        <f t="shared" si="5"/>
        <v>-2572.7293493105008</v>
      </c>
    </row>
    <row r="177" spans="1:9" ht="15" customHeight="1" x14ac:dyDescent="0.25">
      <c r="A177" s="27" t="s">
        <v>122</v>
      </c>
      <c r="B177" s="30">
        <f xml:space="preserve"> 13209</f>
        <v>13209</v>
      </c>
      <c r="C177" s="30">
        <v>1.2089882382274035</v>
      </c>
      <c r="D177" s="30">
        <f t="shared" si="0"/>
        <v>10925.664603128642</v>
      </c>
      <c r="E177" s="30">
        <f t="shared" si="2"/>
        <v>10294.616213282277</v>
      </c>
      <c r="F177" s="30">
        <f t="shared" si="3"/>
        <v>10099.017802847002</v>
      </c>
      <c r="G177" s="30">
        <f t="shared" si="4"/>
        <v>826.64680028164003</v>
      </c>
      <c r="H177" s="30">
        <f t="shared" si="1"/>
        <v>12209.593741291181</v>
      </c>
      <c r="I177" s="30">
        <f t="shared" si="5"/>
        <v>999.40625870881922</v>
      </c>
    </row>
    <row r="178" spans="1:9" ht="15" customHeight="1" x14ac:dyDescent="0.25">
      <c r="A178" s="27" t="s">
        <v>123</v>
      </c>
      <c r="B178" s="30">
        <f xml:space="preserve"> 10294</f>
        <v>10294</v>
      </c>
      <c r="C178" s="30">
        <v>1.1674732208152445</v>
      </c>
      <c r="D178" s="30">
        <f t="shared" si="0"/>
        <v>8817.3328659407853</v>
      </c>
      <c r="E178" s="30">
        <f t="shared" si="2"/>
        <v>9945.0663518371584</v>
      </c>
      <c r="F178" s="30">
        <f t="shared" si="3"/>
        <v>10294.616213282277</v>
      </c>
      <c r="G178" s="30">
        <f t="shared" si="4"/>
        <v>-1477.2833473414921</v>
      </c>
      <c r="H178" s="30">
        <f t="shared" si="1"/>
        <v>12018.688747577497</v>
      </c>
      <c r="I178" s="30">
        <f t="shared" si="5"/>
        <v>-1724.6887475774965</v>
      </c>
    </row>
    <row r="179" spans="1:9" ht="15" customHeight="1" x14ac:dyDescent="0.25">
      <c r="A179" s="27" t="s">
        <v>124</v>
      </c>
      <c r="B179" s="30">
        <f xml:space="preserve"> 11540</f>
        <v>11540</v>
      </c>
      <c r="C179" s="30">
        <v>0.96087205630662098</v>
      </c>
      <c r="D179" s="30">
        <f t="shared" si="0"/>
        <v>12009.923614968262</v>
      </c>
      <c r="E179" s="30">
        <f t="shared" si="2"/>
        <v>10433.645994686529</v>
      </c>
      <c r="F179" s="30">
        <f t="shared" si="3"/>
        <v>9945.0663518371584</v>
      </c>
      <c r="G179" s="30">
        <f t="shared" si="4"/>
        <v>2064.8572631311035</v>
      </c>
      <c r="H179" s="30">
        <f t="shared" ref="H179:H210" si="6">F179*C179</f>
        <v>9555.9363555955551</v>
      </c>
      <c r="I179" s="30">
        <f t="shared" si="5"/>
        <v>1984.0636444044449</v>
      </c>
    </row>
    <row r="180" spans="1:9" ht="15" customHeight="1" x14ac:dyDescent="0.25">
      <c r="A180" s="27" t="s">
        <v>125</v>
      </c>
      <c r="B180" s="30">
        <f xml:space="preserve"> 10219</f>
        <v>10219</v>
      </c>
      <c r="C180" s="30">
        <v>0.99213853165653609</v>
      </c>
      <c r="D180" s="30">
        <f t="shared" si="0"/>
        <v>10299.972910978191</v>
      </c>
      <c r="E180" s="30">
        <f t="shared" si="2"/>
        <v>10402.01671518962</v>
      </c>
      <c r="F180" s="30">
        <f t="shared" si="3"/>
        <v>10433.645994686529</v>
      </c>
      <c r="G180" s="30">
        <f t="shared" si="4"/>
        <v>-133.6730837083378</v>
      </c>
      <c r="H180" s="30">
        <f t="shared" si="6"/>
        <v>10351.622216992391</v>
      </c>
      <c r="I180" s="30">
        <f t="shared" si="5"/>
        <v>-132.62221699239126</v>
      </c>
    </row>
    <row r="181" spans="1:9" ht="15" customHeight="1" x14ac:dyDescent="0.25">
      <c r="A181" s="27" t="s">
        <v>126</v>
      </c>
      <c r="B181" s="30">
        <f xml:space="preserve"> 10230</f>
        <v>10230</v>
      </c>
      <c r="C181" s="30">
        <v>0.86959779497816025</v>
      </c>
      <c r="D181" s="30">
        <f t="shared" si="0"/>
        <v>11764.059268638008</v>
      </c>
      <c r="E181" s="30">
        <f t="shared" si="2"/>
        <v>10724.298684113883</v>
      </c>
      <c r="F181" s="30">
        <f t="shared" si="3"/>
        <v>10402.01671518962</v>
      </c>
      <c r="G181" s="30">
        <f t="shared" si="4"/>
        <v>1362.0425534483875</v>
      </c>
      <c r="H181" s="30">
        <f t="shared" si="6"/>
        <v>9045.5707988548602</v>
      </c>
      <c r="I181" s="30">
        <f t="shared" si="5"/>
        <v>1184.4292011451398</v>
      </c>
    </row>
    <row r="182" spans="1:9" ht="15" customHeight="1" x14ac:dyDescent="0.25">
      <c r="A182" s="27" t="s">
        <v>127</v>
      </c>
      <c r="B182" s="30">
        <f xml:space="preserve"> 9985</f>
        <v>9985</v>
      </c>
      <c r="C182" s="30">
        <v>0.9108384700918547</v>
      </c>
      <c r="D182" s="30">
        <f t="shared" si="0"/>
        <v>10962.426739609549</v>
      </c>
      <c r="E182" s="30">
        <f t="shared" si="2"/>
        <v>10780.643750857173</v>
      </c>
      <c r="F182" s="30">
        <f t="shared" si="3"/>
        <v>10724.298684113883</v>
      </c>
      <c r="G182" s="30">
        <f t="shared" si="4"/>
        <v>238.12805549566656</v>
      </c>
      <c r="H182" s="30">
        <f t="shared" si="6"/>
        <v>9768.1038062463795</v>
      </c>
      <c r="I182" s="30">
        <f t="shared" si="5"/>
        <v>216.89619375362054</v>
      </c>
    </row>
    <row r="183" spans="1:9" ht="15" customHeight="1" x14ac:dyDescent="0.25">
      <c r="A183" s="27" t="s">
        <v>128</v>
      </c>
      <c r="B183" s="30">
        <f xml:space="preserve"> 6832</f>
        <v>6832</v>
      </c>
      <c r="C183" s="30">
        <v>0.84712190854138225</v>
      </c>
      <c r="D183" s="30">
        <f t="shared" si="0"/>
        <v>8064.954915123948</v>
      </c>
      <c r="E183" s="30">
        <f t="shared" si="2"/>
        <v>10138.066510704222</v>
      </c>
      <c r="F183" s="30">
        <f t="shared" si="3"/>
        <v>10780.643750857173</v>
      </c>
      <c r="G183" s="30">
        <f t="shared" si="4"/>
        <v>-2715.6888357332246</v>
      </c>
      <c r="H183" s="30">
        <f t="shared" si="6"/>
        <v>9132.5195095308536</v>
      </c>
      <c r="I183" s="30">
        <f t="shared" si="5"/>
        <v>-2300.5195095308536</v>
      </c>
    </row>
    <row r="184" spans="1:9" ht="15" customHeight="1" x14ac:dyDescent="0.25">
      <c r="A184" s="27" t="s">
        <v>129</v>
      </c>
      <c r="B184" s="30">
        <f xml:space="preserve"> 9050</f>
        <v>9050</v>
      </c>
      <c r="C184" s="30">
        <v>0.90327235308033749</v>
      </c>
      <c r="D184" s="30">
        <f t="shared" si="0"/>
        <v>10019.126533805345</v>
      </c>
      <c r="E184" s="30">
        <f t="shared" si="2"/>
        <v>10109.923329830961</v>
      </c>
      <c r="F184" s="30">
        <f t="shared" si="3"/>
        <v>10138.066510704222</v>
      </c>
      <c r="G184" s="30">
        <f t="shared" si="4"/>
        <v>-118.93997689887692</v>
      </c>
      <c r="H184" s="30">
        <f t="shared" si="6"/>
        <v>9157.435192808769</v>
      </c>
      <c r="I184" s="30">
        <f t="shared" si="5"/>
        <v>-107.43519280876899</v>
      </c>
    </row>
    <row r="185" spans="1:9" ht="15" customHeight="1" x14ac:dyDescent="0.25">
      <c r="A185" s="27" t="s">
        <v>130</v>
      </c>
      <c r="B185" s="30">
        <f xml:space="preserve"> 10082</f>
        <v>10082</v>
      </c>
      <c r="C185" s="30">
        <v>0.97853401683850749</v>
      </c>
      <c r="D185" s="30">
        <f t="shared" si="0"/>
        <v>10303.167622698889</v>
      </c>
      <c r="E185" s="30">
        <f t="shared" si="2"/>
        <v>10155.64815027154</v>
      </c>
      <c r="F185" s="30">
        <f t="shared" si="3"/>
        <v>10109.923329830961</v>
      </c>
      <c r="G185" s="30">
        <f t="shared" si="4"/>
        <v>193.24429286792838</v>
      </c>
      <c r="H185" s="30">
        <f t="shared" si="6"/>
        <v>9892.9038858688291</v>
      </c>
      <c r="I185" s="30">
        <f t="shared" si="5"/>
        <v>189.09611413117091</v>
      </c>
    </row>
    <row r="186" spans="1:9" ht="15" customHeight="1" x14ac:dyDescent="0.25">
      <c r="A186" s="27" t="s">
        <v>131</v>
      </c>
      <c r="B186" s="30">
        <f xml:space="preserve"> 10659</f>
        <v>10659</v>
      </c>
      <c r="C186" s="30">
        <v>1.0405515346828169</v>
      </c>
      <c r="D186" s="30">
        <f t="shared" si="0"/>
        <v>10243.606053830961</v>
      </c>
      <c r="E186" s="30">
        <f t="shared" si="2"/>
        <v>10176.460456223223</v>
      </c>
      <c r="F186" s="30">
        <f t="shared" si="3"/>
        <v>10155.64815027154</v>
      </c>
      <c r="G186" s="30">
        <f t="shared" si="4"/>
        <v>87.957903559421538</v>
      </c>
      <c r="H186" s="30">
        <f t="shared" si="6"/>
        <v>10567.475268463761</v>
      </c>
      <c r="I186" s="30">
        <f t="shared" si="5"/>
        <v>91.524731536239415</v>
      </c>
    </row>
    <row r="187" spans="1:9" ht="15" customHeight="1" x14ac:dyDescent="0.25">
      <c r="A187" s="27" t="s">
        <v>132</v>
      </c>
      <c r="B187" s="30">
        <f xml:space="preserve"> 11458</f>
        <v>11458</v>
      </c>
      <c r="C187" s="30">
        <v>1.0139715410282903</v>
      </c>
      <c r="D187" s="30">
        <f t="shared" si="0"/>
        <v>11300.119911038328</v>
      </c>
      <c r="E187" s="30">
        <f t="shared" si="2"/>
        <v>10442.337010947105</v>
      </c>
      <c r="F187" s="30">
        <f t="shared" si="3"/>
        <v>10176.460456223223</v>
      </c>
      <c r="G187" s="30">
        <f t="shared" si="4"/>
        <v>1123.6594548151043</v>
      </c>
      <c r="H187" s="30">
        <f t="shared" si="6"/>
        <v>10318.641291010121</v>
      </c>
      <c r="I187" s="30">
        <f t="shared" si="5"/>
        <v>1139.3587089898792</v>
      </c>
    </row>
    <row r="188" spans="1:9" ht="15" customHeight="1" x14ac:dyDescent="0.25">
      <c r="A188" s="27" t="s">
        <v>133</v>
      </c>
      <c r="B188" s="30">
        <f xml:space="preserve"> 10867</f>
        <v>10867</v>
      </c>
      <c r="C188" s="30">
        <v>1.1066401628839515</v>
      </c>
      <c r="D188" s="30">
        <f t="shared" si="0"/>
        <v>9819.8134899425077</v>
      </c>
      <c r="E188" s="30">
        <f t="shared" si="2"/>
        <v>10295.037570453796</v>
      </c>
      <c r="F188" s="30">
        <f t="shared" si="3"/>
        <v>10442.337010947105</v>
      </c>
      <c r="G188" s="30">
        <f t="shared" si="4"/>
        <v>-622.52352100459757</v>
      </c>
      <c r="H188" s="30">
        <f t="shared" si="6"/>
        <v>11555.909530683621</v>
      </c>
      <c r="I188" s="30">
        <f t="shared" si="5"/>
        <v>-688.90953068362069</v>
      </c>
    </row>
    <row r="189" spans="1:9" ht="15" customHeight="1" x14ac:dyDescent="0.25">
      <c r="A189" s="27" t="s">
        <v>134</v>
      </c>
      <c r="B189" s="30">
        <f xml:space="preserve"> 12409</f>
        <v>12409</v>
      </c>
      <c r="C189" s="30">
        <v>1.2089882382274035</v>
      </c>
      <c r="D189" s="30">
        <f t="shared" si="0"/>
        <v>10263.954278160596</v>
      </c>
      <c r="E189" s="30">
        <f t="shared" si="2"/>
        <v>10287.682745440776</v>
      </c>
      <c r="F189" s="30">
        <f t="shared" si="3"/>
        <v>10295.037570453796</v>
      </c>
      <c r="G189" s="30">
        <f t="shared" si="4"/>
        <v>-31.083292293200429</v>
      </c>
      <c r="H189" s="30">
        <f t="shared" si="6"/>
        <v>12446.579334787864</v>
      </c>
      <c r="I189" s="30">
        <f t="shared" si="5"/>
        <v>-37.579334787864354</v>
      </c>
    </row>
    <row r="190" spans="1:9" ht="15" customHeight="1" x14ac:dyDescent="0.25">
      <c r="A190" s="27" t="s">
        <v>135</v>
      </c>
      <c r="B190" s="30">
        <f xml:space="preserve"> 11869</f>
        <v>11869</v>
      </c>
      <c r="C190" s="30">
        <v>1.1674732208152445</v>
      </c>
      <c r="D190" s="30">
        <f t="shared" si="0"/>
        <v>10166.400212342256</v>
      </c>
      <c r="E190" s="30">
        <f t="shared" si="2"/>
        <v>10258.985276727957</v>
      </c>
      <c r="F190" s="30">
        <f t="shared" si="3"/>
        <v>10287.682745440776</v>
      </c>
      <c r="G190" s="30">
        <f t="shared" si="4"/>
        <v>-121.28253309851971</v>
      </c>
      <c r="H190" s="30">
        <f t="shared" si="6"/>
        <v>12010.59410954516</v>
      </c>
      <c r="I190" s="30">
        <f t="shared" si="5"/>
        <v>-141.59410954515988</v>
      </c>
    </row>
    <row r="191" spans="1:9" ht="15" customHeight="1" x14ac:dyDescent="0.25">
      <c r="A191" s="27" t="s">
        <v>136</v>
      </c>
      <c r="B191" s="30">
        <f xml:space="preserve"> 8729</f>
        <v>8729</v>
      </c>
      <c r="C191" s="30">
        <v>0.96087205630662098</v>
      </c>
      <c r="D191" s="30">
        <f t="shared" si="0"/>
        <v>9084.456086226859</v>
      </c>
      <c r="E191" s="30">
        <f t="shared" si="2"/>
        <v>9981.0720947092595</v>
      </c>
      <c r="F191" s="30">
        <f t="shared" si="3"/>
        <v>10258.985276727957</v>
      </c>
      <c r="G191" s="30">
        <f t="shared" si="4"/>
        <v>-1174.5291905010981</v>
      </c>
      <c r="H191" s="30">
        <f t="shared" si="6"/>
        <v>9857.5722784689406</v>
      </c>
      <c r="I191" s="30">
        <f t="shared" si="5"/>
        <v>-1128.5722784689406</v>
      </c>
    </row>
    <row r="192" spans="1:9" ht="15" customHeight="1" x14ac:dyDescent="0.25">
      <c r="A192" s="27" t="s">
        <v>137</v>
      </c>
      <c r="B192" s="30">
        <f xml:space="preserve"> 10665</f>
        <v>10665</v>
      </c>
      <c r="C192" s="30">
        <v>0.99213853165653609</v>
      </c>
      <c r="D192" s="30">
        <f t="shared" si="0"/>
        <v>10749.506908267189</v>
      </c>
      <c r="E192" s="30">
        <f t="shared" si="2"/>
        <v>10162.89657888297</v>
      </c>
      <c r="F192" s="30">
        <f t="shared" si="3"/>
        <v>9981.0720947092595</v>
      </c>
      <c r="G192" s="30">
        <f t="shared" si="4"/>
        <v>768.43481355792937</v>
      </c>
      <c r="H192" s="30">
        <f t="shared" si="6"/>
        <v>9902.6062124028722</v>
      </c>
      <c r="I192" s="30">
        <f t="shared" si="5"/>
        <v>762.39378759712781</v>
      </c>
    </row>
    <row r="193" spans="1:9" ht="15" customHeight="1" x14ac:dyDescent="0.25">
      <c r="A193" s="27" t="s">
        <v>138</v>
      </c>
      <c r="B193" s="30">
        <f xml:space="preserve"> 8003</f>
        <v>8003</v>
      </c>
      <c r="C193" s="30">
        <v>0.86959779497816025</v>
      </c>
      <c r="D193" s="30">
        <f t="shared" si="0"/>
        <v>9203.1052127966741</v>
      </c>
      <c r="E193" s="30">
        <f t="shared" si="2"/>
        <v>9935.7939450954582</v>
      </c>
      <c r="F193" s="30">
        <f t="shared" si="3"/>
        <v>10162.89657888297</v>
      </c>
      <c r="G193" s="30">
        <f t="shared" si="4"/>
        <v>-959.79136608629597</v>
      </c>
      <c r="H193" s="30">
        <f t="shared" si="6"/>
        <v>8837.63245558772</v>
      </c>
      <c r="I193" s="30">
        <f t="shared" si="5"/>
        <v>-834.63245558771996</v>
      </c>
    </row>
    <row r="194" spans="1:9" ht="15" customHeight="1" x14ac:dyDescent="0.25">
      <c r="A194" s="27" t="s">
        <v>139</v>
      </c>
      <c r="B194" s="30">
        <f xml:space="preserve"> 9224</f>
        <v>9224</v>
      </c>
      <c r="C194" s="30">
        <v>0.9108384700918547</v>
      </c>
      <c r="D194" s="30">
        <f t="shared" si="0"/>
        <v>10126.932823851625</v>
      </c>
      <c r="E194" s="30">
        <f t="shared" si="2"/>
        <v>9981.0205894668507</v>
      </c>
      <c r="F194" s="30">
        <f t="shared" si="3"/>
        <v>9935.7939450954582</v>
      </c>
      <c r="G194" s="30">
        <f t="shared" si="4"/>
        <v>191.13887875616638</v>
      </c>
      <c r="H194" s="30">
        <f t="shared" si="6"/>
        <v>9049.9033560986609</v>
      </c>
      <c r="I194" s="30">
        <f t="shared" si="5"/>
        <v>174.09664390133912</v>
      </c>
    </row>
    <row r="195" spans="1:9" ht="15" customHeight="1" x14ac:dyDescent="0.25">
      <c r="A195" s="27" t="s">
        <v>140</v>
      </c>
      <c r="B195" s="30">
        <f xml:space="preserve"> 9140</f>
        <v>9140</v>
      </c>
      <c r="C195" s="30">
        <v>0.84712190854138225</v>
      </c>
      <c r="D195" s="30">
        <f t="shared" si="0"/>
        <v>10789.474227785844</v>
      </c>
      <c r="E195" s="30">
        <f t="shared" si="2"/>
        <v>10172.314194561475</v>
      </c>
      <c r="F195" s="30">
        <f t="shared" si="3"/>
        <v>9981.0205894668507</v>
      </c>
      <c r="G195" s="30">
        <f t="shared" si="4"/>
        <v>808.4536383189934</v>
      </c>
      <c r="H195" s="30">
        <f t="shared" si="6"/>
        <v>8455.1412109399898</v>
      </c>
      <c r="I195" s="30">
        <f t="shared" si="5"/>
        <v>684.85878906001017</v>
      </c>
    </row>
    <row r="196" spans="1:9" ht="15" customHeight="1" x14ac:dyDescent="0.25">
      <c r="A196" s="27" t="s">
        <v>141</v>
      </c>
      <c r="B196" s="30">
        <f xml:space="preserve"> 11616</f>
        <v>11616</v>
      </c>
      <c r="C196" s="30">
        <v>0.90327235308033749</v>
      </c>
      <c r="D196" s="30">
        <f t="shared" si="0"/>
        <v>12859.908709025734</v>
      </c>
      <c r="E196" s="30">
        <f t="shared" si="2"/>
        <v>10808.243850062074</v>
      </c>
      <c r="F196" s="30">
        <f t="shared" si="3"/>
        <v>10172.314194561475</v>
      </c>
      <c r="G196" s="30">
        <f t="shared" si="4"/>
        <v>2687.5945144642592</v>
      </c>
      <c r="H196" s="30">
        <f t="shared" si="6"/>
        <v>9188.3701787940608</v>
      </c>
      <c r="I196" s="30">
        <f t="shared" si="5"/>
        <v>2427.6298212059392</v>
      </c>
    </row>
    <row r="197" spans="1:9" ht="15" customHeight="1" x14ac:dyDescent="0.25">
      <c r="A197" s="27" t="s">
        <v>142</v>
      </c>
      <c r="B197" s="30">
        <f xml:space="preserve"> 9428</f>
        <v>9428</v>
      </c>
      <c r="C197" s="30">
        <v>0.97853401683850749</v>
      </c>
      <c r="D197" s="30">
        <f t="shared" si="0"/>
        <v>9634.8209032736686</v>
      </c>
      <c r="E197" s="30">
        <f t="shared" si="2"/>
        <v>10530.59242374325</v>
      </c>
      <c r="F197" s="30">
        <f t="shared" si="3"/>
        <v>10808.243850062074</v>
      </c>
      <c r="G197" s="30">
        <f t="shared" si="4"/>
        <v>-1173.4229467884052</v>
      </c>
      <c r="H197" s="30">
        <f t="shared" si="6"/>
        <v>10576.234269571336</v>
      </c>
      <c r="I197" s="30">
        <f t="shared" si="5"/>
        <v>-1148.234269571336</v>
      </c>
    </row>
    <row r="198" spans="1:9" ht="15" customHeight="1" x14ac:dyDescent="0.25">
      <c r="A198" s="27" t="s">
        <v>143</v>
      </c>
      <c r="B198" s="30">
        <f xml:space="preserve"> 14249</f>
        <v>14249</v>
      </c>
      <c r="C198" s="30">
        <v>1.0405515346828169</v>
      </c>
      <c r="D198" s="30">
        <f t="shared" si="0"/>
        <v>13693.699470967009</v>
      </c>
      <c r="E198" s="30">
        <f t="shared" si="2"/>
        <v>11279.036269727767</v>
      </c>
      <c r="F198" s="30">
        <f t="shared" si="3"/>
        <v>10530.59242374325</v>
      </c>
      <c r="G198" s="30">
        <f t="shared" si="4"/>
        <v>3163.1070472237589</v>
      </c>
      <c r="H198" s="30">
        <f t="shared" si="6"/>
        <v>10957.624107645284</v>
      </c>
      <c r="I198" s="30">
        <f t="shared" si="5"/>
        <v>3291.3758923547157</v>
      </c>
    </row>
    <row r="199" spans="1:9" ht="15" customHeight="1" x14ac:dyDescent="0.25">
      <c r="A199" s="27" t="s">
        <v>144</v>
      </c>
      <c r="B199" s="30">
        <f xml:space="preserve"> 9511</f>
        <v>9511</v>
      </c>
      <c r="C199" s="30">
        <v>1.0139715410282903</v>
      </c>
      <c r="D199" s="30">
        <f t="shared" si="0"/>
        <v>9379.9476761987717</v>
      </c>
      <c r="E199" s="30">
        <f t="shared" si="2"/>
        <v>10829.680256925833</v>
      </c>
      <c r="F199" s="30">
        <f t="shared" si="3"/>
        <v>11279.036269727767</v>
      </c>
      <c r="G199" s="30">
        <f t="shared" si="4"/>
        <v>-1899.0885935289953</v>
      </c>
      <c r="H199" s="30">
        <f t="shared" si="6"/>
        <v>11436.621787729844</v>
      </c>
      <c r="I199" s="30">
        <f t="shared" si="5"/>
        <v>-1925.6217877298441</v>
      </c>
    </row>
    <row r="200" spans="1:9" ht="15" customHeight="1" x14ac:dyDescent="0.25">
      <c r="A200" s="27" t="s">
        <v>145</v>
      </c>
      <c r="B200" s="30">
        <f xml:space="preserve"> 12094</f>
        <v>12094</v>
      </c>
      <c r="C200" s="30">
        <v>1.1066401628839515</v>
      </c>
      <c r="D200" s="30">
        <f t="shared" si="0"/>
        <v>10928.574983653692</v>
      </c>
      <c r="E200" s="30">
        <f t="shared" si="2"/>
        <v>10853.080397520112</v>
      </c>
      <c r="F200" s="30">
        <f t="shared" si="3"/>
        <v>10829.680256925833</v>
      </c>
      <c r="G200" s="30">
        <f t="shared" si="4"/>
        <v>98.894726727859961</v>
      </c>
      <c r="H200" s="30">
        <f t="shared" si="6"/>
        <v>11984.559123505516</v>
      </c>
      <c r="I200" s="30">
        <f t="shared" si="5"/>
        <v>109.44087649448375</v>
      </c>
    </row>
    <row r="201" spans="1:9" ht="15" customHeight="1" x14ac:dyDescent="0.25">
      <c r="A201" s="27" t="s">
        <v>146</v>
      </c>
      <c r="B201" s="30">
        <f xml:space="preserve"> 13273</f>
        <v>13273</v>
      </c>
      <c r="C201" s="30">
        <v>1.2089882382274035</v>
      </c>
      <c r="D201" s="30">
        <f t="shared" si="0"/>
        <v>10978.601429126085</v>
      </c>
      <c r="E201" s="30">
        <f t="shared" si="2"/>
        <v>10882.780765621652</v>
      </c>
      <c r="F201" s="30">
        <f t="shared" si="3"/>
        <v>10853.080397520112</v>
      </c>
      <c r="G201" s="30">
        <f t="shared" si="4"/>
        <v>125.52103160597289</v>
      </c>
      <c r="H201" s="30">
        <f t="shared" si="6"/>
        <v>13121.24654913821</v>
      </c>
      <c r="I201" s="30">
        <f t="shared" si="5"/>
        <v>151.75345086179004</v>
      </c>
    </row>
    <row r="202" spans="1:9" ht="15" customHeight="1" x14ac:dyDescent="0.25">
      <c r="A202" s="27" t="s">
        <v>147</v>
      </c>
      <c r="B202" s="30">
        <f xml:space="preserve"> 11184</f>
        <v>11184</v>
      </c>
      <c r="C202" s="30">
        <v>1.1674732208152445</v>
      </c>
      <c r="D202" s="30">
        <f t="shared" si="0"/>
        <v>9579.6629854946332</v>
      </c>
      <c r="E202" s="30">
        <f t="shared" si="2"/>
        <v>10574.441380147771</v>
      </c>
      <c r="F202" s="30">
        <f t="shared" si="3"/>
        <v>10882.780765621652</v>
      </c>
      <c r="G202" s="30">
        <f t="shared" si="4"/>
        <v>-1303.1177801270187</v>
      </c>
      <c r="H202" s="30">
        <f t="shared" si="6"/>
        <v>12705.355111866502</v>
      </c>
      <c r="I202" s="30">
        <f t="shared" si="5"/>
        <v>-1521.3551118665018</v>
      </c>
    </row>
    <row r="203" spans="1:9" ht="15" customHeight="1" x14ac:dyDescent="0.25">
      <c r="A203" s="27" t="s">
        <v>148</v>
      </c>
      <c r="B203" s="30">
        <f xml:space="preserve"> 10793</f>
        <v>10793</v>
      </c>
      <c r="C203" s="30">
        <v>0.96087205630662098</v>
      </c>
      <c r="D203" s="30">
        <f t="shared" si="0"/>
        <v>11232.504815975082</v>
      </c>
      <c r="E203" s="30">
        <f t="shared" si="2"/>
        <v>10730.150156821852</v>
      </c>
      <c r="F203" s="30">
        <f t="shared" si="3"/>
        <v>10574.441380147771</v>
      </c>
      <c r="G203" s="30">
        <f t="shared" si="4"/>
        <v>658.06343582731097</v>
      </c>
      <c r="H203" s="30">
        <f t="shared" si="6"/>
        <v>10160.685233236412</v>
      </c>
      <c r="I203" s="30">
        <f t="shared" si="5"/>
        <v>632.31476676358761</v>
      </c>
    </row>
    <row r="204" spans="1:9" ht="15" customHeight="1" x14ac:dyDescent="0.25">
      <c r="A204" s="27" t="s">
        <v>149</v>
      </c>
      <c r="B204" s="30">
        <f xml:space="preserve"> 8693</f>
        <v>8693</v>
      </c>
      <c r="C204" s="30">
        <v>0.99213853165653609</v>
      </c>
      <c r="D204" s="30">
        <f t="shared" si="0"/>
        <v>8761.8812520925148</v>
      </c>
      <c r="E204" s="30">
        <f t="shared" si="2"/>
        <v>10264.424929381217</v>
      </c>
      <c r="F204" s="30">
        <f t="shared" si="3"/>
        <v>10730.150156821852</v>
      </c>
      <c r="G204" s="30">
        <f t="shared" si="4"/>
        <v>-1968.268904729337</v>
      </c>
      <c r="H204" s="30">
        <f t="shared" si="6"/>
        <v>10645.795421043382</v>
      </c>
      <c r="I204" s="30">
        <f t="shared" si="5"/>
        <v>-1952.7954210433818</v>
      </c>
    </row>
    <row r="205" spans="1:9" ht="15" customHeight="1" x14ac:dyDescent="0.25">
      <c r="A205" s="27" t="s">
        <v>150</v>
      </c>
      <c r="B205" s="30">
        <f xml:space="preserve"> 8479</f>
        <v>8479</v>
      </c>
      <c r="C205" s="30">
        <v>0.86959779497816025</v>
      </c>
      <c r="D205" s="30">
        <f t="shared" si="0"/>
        <v>9750.4847056482558</v>
      </c>
      <c r="E205" s="30">
        <f t="shared" si="2"/>
        <v>10142.818106749512</v>
      </c>
      <c r="F205" s="30">
        <f t="shared" si="3"/>
        <v>10264.424929381217</v>
      </c>
      <c r="G205" s="30">
        <f t="shared" si="4"/>
        <v>-513.94022373296139</v>
      </c>
      <c r="H205" s="30">
        <f t="shared" si="6"/>
        <v>8925.9212853087647</v>
      </c>
      <c r="I205" s="30">
        <f t="shared" si="5"/>
        <v>-446.92128530876471</v>
      </c>
    </row>
    <row r="206" spans="1:9" ht="15" customHeight="1" x14ac:dyDescent="0.25">
      <c r="A206" s="27" t="s">
        <v>151</v>
      </c>
      <c r="B206" s="30">
        <f xml:space="preserve"> 8120</f>
        <v>8120</v>
      </c>
      <c r="C206" s="30">
        <v>0.9108384700918547</v>
      </c>
      <c r="D206" s="30">
        <f t="shared" si="0"/>
        <v>8914.8628067731133</v>
      </c>
      <c r="E206" s="30">
        <f t="shared" si="2"/>
        <v>9852.2634167910874</v>
      </c>
      <c r="F206" s="30">
        <f t="shared" si="3"/>
        <v>10142.818106749512</v>
      </c>
      <c r="G206" s="30">
        <f t="shared" si="4"/>
        <v>-1227.9552999763982</v>
      </c>
      <c r="H206" s="30">
        <f t="shared" si="6"/>
        <v>9238.4689267716876</v>
      </c>
      <c r="I206" s="30">
        <f t="shared" si="5"/>
        <v>-1118.4689267716876</v>
      </c>
    </row>
    <row r="207" spans="1:9" ht="15" customHeight="1" x14ac:dyDescent="0.25">
      <c r="A207" s="27" t="s">
        <v>152</v>
      </c>
      <c r="B207" s="30">
        <f xml:space="preserve"> 9239</f>
        <v>9239</v>
      </c>
      <c r="C207" s="30">
        <v>0.84712190854138225</v>
      </c>
      <c r="D207" s="30">
        <f t="shared" si="0"/>
        <v>10906.340524126193</v>
      </c>
      <c r="E207" s="30">
        <f t="shared" si="2"/>
        <v>10101.675628391877</v>
      </c>
      <c r="F207" s="30">
        <f t="shared" si="3"/>
        <v>9852.2634167910874</v>
      </c>
      <c r="G207" s="30">
        <f t="shared" si="4"/>
        <v>1054.0771073351061</v>
      </c>
      <c r="H207" s="30">
        <f t="shared" si="6"/>
        <v>8346.0681890845062</v>
      </c>
      <c r="I207" s="30">
        <f t="shared" si="5"/>
        <v>892.93181091549377</v>
      </c>
    </row>
    <row r="208" spans="1:9" ht="15" customHeight="1" x14ac:dyDescent="0.25">
      <c r="A208" s="27" t="s">
        <v>153</v>
      </c>
      <c r="B208" s="30">
        <f xml:space="preserve"> 9266</f>
        <v>9266</v>
      </c>
      <c r="C208" s="30">
        <v>0.90327235308033749</v>
      </c>
      <c r="D208" s="30">
        <f t="shared" si="0"/>
        <v>10258.257067650866</v>
      </c>
      <c r="E208" s="30">
        <f t="shared" si="2"/>
        <v>10138.725406619158</v>
      </c>
      <c r="F208" s="30">
        <f t="shared" si="3"/>
        <v>10101.675628391877</v>
      </c>
      <c r="G208" s="30">
        <f t="shared" si="4"/>
        <v>156.58143925898912</v>
      </c>
      <c r="H208" s="30">
        <f t="shared" si="6"/>
        <v>9124.5643149118278</v>
      </c>
      <c r="I208" s="30">
        <f t="shared" si="5"/>
        <v>141.43568508817225</v>
      </c>
    </row>
    <row r="209" spans="1:9" ht="15" customHeight="1" x14ac:dyDescent="0.25">
      <c r="A209" s="27" t="s">
        <v>154</v>
      </c>
      <c r="B209" s="30">
        <f xml:space="preserve"> 8652</f>
        <v>8652</v>
      </c>
      <c r="C209" s="30">
        <v>0.97853401683850749</v>
      </c>
      <c r="D209" s="30">
        <f t="shared" si="0"/>
        <v>8841.797884506128</v>
      </c>
      <c r="E209" s="30">
        <f t="shared" si="2"/>
        <v>9831.8507393626696</v>
      </c>
      <c r="F209" s="30">
        <f t="shared" si="3"/>
        <v>10138.725406619158</v>
      </c>
      <c r="G209" s="30">
        <f t="shared" si="4"/>
        <v>-1296.9275221130301</v>
      </c>
      <c r="H209" s="30">
        <f t="shared" si="6"/>
        <v>9921.0876977616754</v>
      </c>
      <c r="I209" s="30">
        <f t="shared" si="5"/>
        <v>-1269.0876977616754</v>
      </c>
    </row>
    <row r="210" spans="1:9" ht="15" customHeight="1" x14ac:dyDescent="0.25">
      <c r="A210" s="27" t="s">
        <v>155</v>
      </c>
      <c r="B210" s="30">
        <f xml:space="preserve"> 12405</f>
        <v>12405</v>
      </c>
      <c r="C210" s="30">
        <v>1.0405515346828169</v>
      </c>
      <c r="D210" s="30">
        <f t="shared" si="0"/>
        <v>11921.562350855902</v>
      </c>
      <c r="E210" s="30">
        <f t="shared" si="2"/>
        <v>10326.311335274921</v>
      </c>
      <c r="F210" s="30">
        <f t="shared" si="3"/>
        <v>9831.8507393626696</v>
      </c>
      <c r="G210" s="30">
        <f t="shared" si="4"/>
        <v>2089.7116114932323</v>
      </c>
      <c r="H210" s="30">
        <f t="shared" si="6"/>
        <v>10230.547375616214</v>
      </c>
      <c r="I210" s="30">
        <f t="shared" si="5"/>
        <v>2174.4526243837863</v>
      </c>
    </row>
    <row r="211" spans="1:9" ht="15" customHeight="1" x14ac:dyDescent="0.25">
      <c r="A211" s="27" t="s">
        <v>156</v>
      </c>
      <c r="B211" s="30">
        <f xml:space="preserve"> 8964</f>
        <v>8964</v>
      </c>
      <c r="C211" s="30">
        <v>1.0139715410282903</v>
      </c>
      <c r="D211" s="30">
        <f t="shared" ref="D211:D262" si="7">B211/C211</f>
        <v>8840.4848038529908</v>
      </c>
      <c r="E211" s="30">
        <f t="shared" si="2"/>
        <v>9974.7400140895334</v>
      </c>
      <c r="F211" s="30">
        <f t="shared" si="3"/>
        <v>10326.311335274921</v>
      </c>
      <c r="G211" s="30">
        <f t="shared" si="4"/>
        <v>-1485.8265314219298</v>
      </c>
      <c r="H211" s="30">
        <f t="shared" ref="H211:H242" si="8">F211*C211</f>
        <v>10470.585817766614</v>
      </c>
      <c r="I211" s="30">
        <f t="shared" si="5"/>
        <v>-1506.5858177666141</v>
      </c>
    </row>
    <row r="212" spans="1:9" ht="15" customHeight="1" x14ac:dyDescent="0.25">
      <c r="A212" s="27" t="s">
        <v>157</v>
      </c>
      <c r="B212" s="30">
        <f xml:space="preserve"> 11521</f>
        <v>11521</v>
      </c>
      <c r="C212" s="30">
        <v>1.1066401628839515</v>
      </c>
      <c r="D212" s="30">
        <f t="shared" si="7"/>
        <v>10410.791498815461</v>
      </c>
      <c r="E212" s="30">
        <f t="shared" ref="E212:E262" si="9">$B$9*D212+(1-$B$9)*E211</f>
        <v>10077.91706292257</v>
      </c>
      <c r="F212" s="30">
        <f t="shared" ref="F212:F262" si="10">E211</f>
        <v>9974.7400140895334</v>
      </c>
      <c r="G212" s="30">
        <f t="shared" ref="G212:G262" si="11">D212-F212</f>
        <v>436.05148472592737</v>
      </c>
      <c r="H212" s="30">
        <f t="shared" si="8"/>
        <v>11038.447913917111</v>
      </c>
      <c r="I212" s="30">
        <f t="shared" ref="I212:I262" si="12">B212-H212</f>
        <v>482.55208608288922</v>
      </c>
    </row>
    <row r="213" spans="1:9" ht="15" customHeight="1" x14ac:dyDescent="0.25">
      <c r="A213" s="27" t="s">
        <v>158</v>
      </c>
      <c r="B213" s="30">
        <f xml:space="preserve"> 12368</f>
        <v>12368</v>
      </c>
      <c r="C213" s="30">
        <v>1.2089882382274035</v>
      </c>
      <c r="D213" s="30">
        <f t="shared" si="7"/>
        <v>10230.041624005984</v>
      </c>
      <c r="E213" s="30">
        <f t="shared" si="9"/>
        <v>10113.912269491981</v>
      </c>
      <c r="F213" s="30">
        <f t="shared" si="10"/>
        <v>10077.91706292257</v>
      </c>
      <c r="G213" s="30">
        <f t="shared" si="11"/>
        <v>152.12456108341394</v>
      </c>
      <c r="H213" s="30">
        <f t="shared" si="8"/>
        <v>12184.083194904648</v>
      </c>
      <c r="I213" s="30">
        <f t="shared" si="12"/>
        <v>183.91680509535217</v>
      </c>
    </row>
    <row r="214" spans="1:9" ht="15" customHeight="1" x14ac:dyDescent="0.25">
      <c r="A214" s="27" t="s">
        <v>159</v>
      </c>
      <c r="B214" s="30">
        <f xml:space="preserve"> 12729</f>
        <v>12729</v>
      </c>
      <c r="C214" s="30">
        <v>1.1674732208152445</v>
      </c>
      <c r="D214" s="30">
        <f t="shared" si="7"/>
        <v>10903.033811012267</v>
      </c>
      <c r="E214" s="30">
        <f t="shared" si="9"/>
        <v>10300.631578281436</v>
      </c>
      <c r="F214" s="30">
        <f t="shared" si="10"/>
        <v>10113.912269491981</v>
      </c>
      <c r="G214" s="30">
        <f t="shared" si="11"/>
        <v>789.12154152028597</v>
      </c>
      <c r="H214" s="30">
        <f t="shared" si="8"/>
        <v>11807.721732306622</v>
      </c>
      <c r="I214" s="30">
        <f t="shared" si="12"/>
        <v>921.27826769337844</v>
      </c>
    </row>
    <row r="215" spans="1:9" ht="15" customHeight="1" x14ac:dyDescent="0.25">
      <c r="A215" s="27" t="s">
        <v>160</v>
      </c>
      <c r="B215" s="30">
        <f xml:space="preserve"> 10956</f>
        <v>10956</v>
      </c>
      <c r="C215" s="30">
        <v>0.96087205630662098</v>
      </c>
      <c r="D215" s="30">
        <f t="shared" si="7"/>
        <v>11402.142385233299</v>
      </c>
      <c r="E215" s="30">
        <f t="shared" si="9"/>
        <v>10561.267393775619</v>
      </c>
      <c r="F215" s="30">
        <f t="shared" si="10"/>
        <v>10300.631578281436</v>
      </c>
      <c r="G215" s="30">
        <f t="shared" si="11"/>
        <v>1101.5108069518628</v>
      </c>
      <c r="H215" s="30">
        <f t="shared" si="8"/>
        <v>9897.5890458801987</v>
      </c>
      <c r="I215" s="30">
        <f t="shared" si="12"/>
        <v>1058.4109541198013</v>
      </c>
    </row>
    <row r="216" spans="1:9" ht="15" customHeight="1" x14ac:dyDescent="0.25">
      <c r="A216" s="27" t="s">
        <v>161</v>
      </c>
      <c r="B216" s="30">
        <f xml:space="preserve"> 12069</f>
        <v>12069</v>
      </c>
      <c r="C216" s="30">
        <v>0.99213853165653609</v>
      </c>
      <c r="D216" s="30">
        <f t="shared" si="7"/>
        <v>12164.631868342869</v>
      </c>
      <c r="E216" s="30">
        <f t="shared" si="9"/>
        <v>10940.650151280875</v>
      </c>
      <c r="F216" s="30">
        <f t="shared" si="10"/>
        <v>10561.267393775619</v>
      </c>
      <c r="G216" s="30">
        <f t="shared" si="11"/>
        <v>1603.36447456725</v>
      </c>
      <c r="H216" s="30">
        <f t="shared" si="8"/>
        <v>10478.240324492594</v>
      </c>
      <c r="I216" s="30">
        <f t="shared" si="12"/>
        <v>1590.7596755074064</v>
      </c>
    </row>
    <row r="217" spans="1:9" ht="15" customHeight="1" x14ac:dyDescent="0.25">
      <c r="A217" s="27" t="s">
        <v>162</v>
      </c>
      <c r="B217" s="30">
        <f xml:space="preserve"> 9902</f>
        <v>9902</v>
      </c>
      <c r="C217" s="30">
        <v>0.86959779497816025</v>
      </c>
      <c r="D217" s="30">
        <f t="shared" si="7"/>
        <v>11386.873399614227</v>
      </c>
      <c r="E217" s="30">
        <f t="shared" si="9"/>
        <v>11046.234008913339</v>
      </c>
      <c r="F217" s="30">
        <f t="shared" si="10"/>
        <v>10940.650151280875</v>
      </c>
      <c r="G217" s="30">
        <f t="shared" si="11"/>
        <v>446.22324833335188</v>
      </c>
      <c r="H217" s="30">
        <f t="shared" si="8"/>
        <v>9513.9652471813242</v>
      </c>
      <c r="I217" s="30">
        <f t="shared" si="12"/>
        <v>388.03475281867577</v>
      </c>
    </row>
    <row r="218" spans="1:9" ht="15" customHeight="1" x14ac:dyDescent="0.25">
      <c r="A218" s="27" t="s">
        <v>163</v>
      </c>
      <c r="B218" s="30">
        <f xml:space="preserve"> 10091</f>
        <v>10091</v>
      </c>
      <c r="C218" s="30">
        <v>0.9108384700918547</v>
      </c>
      <c r="D218" s="30">
        <f t="shared" si="7"/>
        <v>11078.803027481217</v>
      </c>
      <c r="E218" s="30">
        <f t="shared" si="9"/>
        <v>11053.94038152513</v>
      </c>
      <c r="F218" s="30">
        <f t="shared" si="10"/>
        <v>11046.234008913339</v>
      </c>
      <c r="G218" s="30">
        <f t="shared" si="11"/>
        <v>32.56901856787772</v>
      </c>
      <c r="H218" s="30">
        <f t="shared" si="8"/>
        <v>10061.33488495524</v>
      </c>
      <c r="I218" s="30">
        <f t="shared" si="12"/>
        <v>29.665115044759659</v>
      </c>
    </row>
    <row r="219" spans="1:9" ht="15" customHeight="1" x14ac:dyDescent="0.25">
      <c r="A219" s="27" t="s">
        <v>164</v>
      </c>
      <c r="B219" s="30">
        <f xml:space="preserve"> 9769</f>
        <v>9769</v>
      </c>
      <c r="C219" s="30">
        <v>0.84712190854138225</v>
      </c>
      <c r="D219" s="30">
        <f t="shared" si="7"/>
        <v>11531.988373220996</v>
      </c>
      <c r="E219" s="30">
        <f t="shared" si="9"/>
        <v>11167.05450385117</v>
      </c>
      <c r="F219" s="30">
        <f t="shared" si="10"/>
        <v>11053.94038152513</v>
      </c>
      <c r="G219" s="30">
        <f t="shared" si="11"/>
        <v>478.04799169586659</v>
      </c>
      <c r="H219" s="30">
        <f t="shared" si="8"/>
        <v>9364.0350729002239</v>
      </c>
      <c r="I219" s="30">
        <f t="shared" si="12"/>
        <v>404.96492709977611</v>
      </c>
    </row>
    <row r="220" spans="1:9" ht="15" customHeight="1" x14ac:dyDescent="0.25">
      <c r="A220" s="27" t="s">
        <v>165</v>
      </c>
      <c r="B220" s="30">
        <f xml:space="preserve"> 8578</f>
        <v>8578</v>
      </c>
      <c r="C220" s="30">
        <v>0.90327235308033749</v>
      </c>
      <c r="D220" s="30">
        <f t="shared" si="7"/>
        <v>9496.5820339206912</v>
      </c>
      <c r="E220" s="30">
        <f t="shared" si="9"/>
        <v>10771.792876172978</v>
      </c>
      <c r="F220" s="30">
        <f t="shared" si="10"/>
        <v>11167.05450385117</v>
      </c>
      <c r="G220" s="30">
        <f t="shared" si="11"/>
        <v>-1670.4724699304788</v>
      </c>
      <c r="H220" s="30">
        <f t="shared" si="8"/>
        <v>10086.891598670027</v>
      </c>
      <c r="I220" s="30">
        <f t="shared" si="12"/>
        <v>-1508.8915986700267</v>
      </c>
    </row>
    <row r="221" spans="1:9" ht="15" customHeight="1" x14ac:dyDescent="0.25">
      <c r="A221" s="27" t="s">
        <v>166</v>
      </c>
      <c r="B221" s="30">
        <f xml:space="preserve"> 9763</f>
        <v>9763</v>
      </c>
      <c r="C221" s="30">
        <v>0.97853401683850749</v>
      </c>
      <c r="D221" s="30">
        <f t="shared" si="7"/>
        <v>9977.1697580251202</v>
      </c>
      <c r="E221" s="30">
        <f t="shared" si="9"/>
        <v>10583.771802660216</v>
      </c>
      <c r="F221" s="30">
        <f t="shared" si="10"/>
        <v>10771.792876172978</v>
      </c>
      <c r="G221" s="30">
        <f t="shared" si="11"/>
        <v>-794.62311814785789</v>
      </c>
      <c r="H221" s="30">
        <f t="shared" si="8"/>
        <v>10540.565751673965</v>
      </c>
      <c r="I221" s="30">
        <f t="shared" si="12"/>
        <v>-777.56575167396477</v>
      </c>
    </row>
    <row r="222" spans="1:9" ht="15" customHeight="1" x14ac:dyDescent="0.25">
      <c r="A222" s="27" t="s">
        <v>167</v>
      </c>
      <c r="B222" s="30">
        <f xml:space="preserve"> 8348</f>
        <v>8348</v>
      </c>
      <c r="C222" s="30">
        <v>1.0405515346828169</v>
      </c>
      <c r="D222" s="30">
        <f t="shared" si="7"/>
        <v>8022.6684808500668</v>
      </c>
      <c r="E222" s="30">
        <f t="shared" si="9"/>
        <v>9977.7720715345458</v>
      </c>
      <c r="F222" s="30">
        <f t="shared" si="10"/>
        <v>10583.771802660216</v>
      </c>
      <c r="G222" s="30">
        <f t="shared" si="11"/>
        <v>-2561.1033218101493</v>
      </c>
      <c r="H222" s="30">
        <f t="shared" si="8"/>
        <v>11012.959991990812</v>
      </c>
      <c r="I222" s="30">
        <f t="shared" si="12"/>
        <v>-2664.9599919908123</v>
      </c>
    </row>
    <row r="223" spans="1:9" ht="15" customHeight="1" x14ac:dyDescent="0.25">
      <c r="A223" s="27" t="s">
        <v>168</v>
      </c>
      <c r="B223" s="30">
        <f xml:space="preserve"> 9237</f>
        <v>9237</v>
      </c>
      <c r="C223" s="30">
        <v>1.0139715410282903</v>
      </c>
      <c r="D223" s="30">
        <f t="shared" si="7"/>
        <v>9109.7231295392758</v>
      </c>
      <c r="E223" s="30">
        <f t="shared" si="9"/>
        <v>9772.3772243320273</v>
      </c>
      <c r="F223" s="30">
        <f t="shared" si="10"/>
        <v>9977.7720715345458</v>
      </c>
      <c r="G223" s="30">
        <f t="shared" si="11"/>
        <v>-868.04894199527007</v>
      </c>
      <c r="H223" s="30">
        <f t="shared" si="8"/>
        <v>10117.17692340292</v>
      </c>
      <c r="I223" s="30">
        <f t="shared" si="12"/>
        <v>-880.17692340291978</v>
      </c>
    </row>
    <row r="224" spans="1:9" ht="15" customHeight="1" x14ac:dyDescent="0.25">
      <c r="A224" s="27" t="s">
        <v>169</v>
      </c>
      <c r="B224" s="30">
        <f xml:space="preserve"> 11204</f>
        <v>11204</v>
      </c>
      <c r="C224" s="30">
        <v>1.1066401628839515</v>
      </c>
      <c r="D224" s="30">
        <f t="shared" si="7"/>
        <v>10124.338855370925</v>
      </c>
      <c r="E224" s="30">
        <f t="shared" si="9"/>
        <v>9855.657212280883</v>
      </c>
      <c r="F224" s="30">
        <f t="shared" si="10"/>
        <v>9772.3772243320273</v>
      </c>
      <c r="G224" s="30">
        <f t="shared" si="11"/>
        <v>351.96163103889739</v>
      </c>
      <c r="H224" s="30">
        <f t="shared" si="8"/>
        <v>10814.505123298213</v>
      </c>
      <c r="I224" s="30">
        <f t="shared" si="12"/>
        <v>389.49487670178678</v>
      </c>
    </row>
    <row r="225" spans="1:9" ht="15" customHeight="1" x14ac:dyDescent="0.25">
      <c r="A225" s="27" t="s">
        <v>170</v>
      </c>
      <c r="B225" s="30">
        <f xml:space="preserve"> 10737</f>
        <v>10737</v>
      </c>
      <c r="C225" s="30">
        <v>1.2089882382274035</v>
      </c>
      <c r="D225" s="30">
        <f t="shared" si="7"/>
        <v>8880.9796989773804</v>
      </c>
      <c r="E225" s="30">
        <f t="shared" si="9"/>
        <v>9625.0322679585697</v>
      </c>
      <c r="F225" s="30">
        <f t="shared" si="10"/>
        <v>9855.657212280883</v>
      </c>
      <c r="G225" s="30">
        <f t="shared" si="11"/>
        <v>-974.67751330350256</v>
      </c>
      <c r="H225" s="30">
        <f t="shared" si="8"/>
        <v>11915.373649648667</v>
      </c>
      <c r="I225" s="30">
        <f t="shared" si="12"/>
        <v>-1178.3736496486672</v>
      </c>
    </row>
    <row r="226" spans="1:9" ht="15" customHeight="1" x14ac:dyDescent="0.25">
      <c r="A226" s="27" t="s">
        <v>171</v>
      </c>
      <c r="B226" s="30">
        <f xml:space="preserve"> 12276</f>
        <v>12276</v>
      </c>
      <c r="C226" s="30">
        <v>1.1674732208152445</v>
      </c>
      <c r="D226" s="30">
        <f t="shared" si="7"/>
        <v>10515.016345666319</v>
      </c>
      <c r="E226" s="30">
        <f t="shared" si="9"/>
        <v>9835.6173338573681</v>
      </c>
      <c r="F226" s="30">
        <f t="shared" si="10"/>
        <v>9625.0322679585697</v>
      </c>
      <c r="G226" s="30">
        <f t="shared" si="11"/>
        <v>889.98407770774975</v>
      </c>
      <c r="H226" s="30">
        <f t="shared" si="8"/>
        <v>11236.967422324249</v>
      </c>
      <c r="I226" s="30">
        <f t="shared" si="12"/>
        <v>1039.0325776757509</v>
      </c>
    </row>
    <row r="227" spans="1:9" ht="15" customHeight="1" x14ac:dyDescent="0.25">
      <c r="A227" s="27" t="s">
        <v>172</v>
      </c>
      <c r="B227" s="30">
        <f xml:space="preserve"> 9230</f>
        <v>9230</v>
      </c>
      <c r="C227" s="30">
        <v>0.96087205630662098</v>
      </c>
      <c r="D227" s="30">
        <f t="shared" si="7"/>
        <v>9605.8574494070235</v>
      </c>
      <c r="E227" s="30">
        <f t="shared" si="9"/>
        <v>9781.252315853344</v>
      </c>
      <c r="F227" s="30">
        <f t="shared" si="10"/>
        <v>9835.6173338573681</v>
      </c>
      <c r="G227" s="30">
        <f t="shared" si="11"/>
        <v>-229.75988445034454</v>
      </c>
      <c r="H227" s="30">
        <f t="shared" si="8"/>
        <v>9450.7698526285749</v>
      </c>
      <c r="I227" s="30">
        <f t="shared" si="12"/>
        <v>-220.76985262857488</v>
      </c>
    </row>
    <row r="228" spans="1:9" ht="15" customHeight="1" x14ac:dyDescent="0.25">
      <c r="A228" s="27" t="s">
        <v>173</v>
      </c>
      <c r="B228" s="30">
        <f xml:space="preserve"> 9405</f>
        <v>9405</v>
      </c>
      <c r="C228" s="30">
        <v>0.99213853165653609</v>
      </c>
      <c r="D228" s="30">
        <f t="shared" si="7"/>
        <v>9479.5229697377326</v>
      </c>
      <c r="E228" s="30">
        <f t="shared" si="9"/>
        <v>9709.8581237246362</v>
      </c>
      <c r="F228" s="30">
        <f t="shared" si="10"/>
        <v>9781.252315853344</v>
      </c>
      <c r="G228" s="30">
        <f t="shared" si="11"/>
        <v>-301.72934611561141</v>
      </c>
      <c r="H228" s="30">
        <f t="shared" si="8"/>
        <v>9704.35731041283</v>
      </c>
      <c r="I228" s="30">
        <f t="shared" si="12"/>
        <v>-299.35731041282997</v>
      </c>
    </row>
    <row r="229" spans="1:9" ht="15" customHeight="1" x14ac:dyDescent="0.25">
      <c r="A229" s="27" t="s">
        <v>174</v>
      </c>
      <c r="B229" s="30">
        <f xml:space="preserve"> 10378</f>
        <v>10378</v>
      </c>
      <c r="C229" s="30">
        <v>0.86959779497816025</v>
      </c>
      <c r="D229" s="30">
        <f t="shared" si="7"/>
        <v>11934.252892465811</v>
      </c>
      <c r="E229" s="30">
        <f t="shared" si="9"/>
        <v>10236.186999367876</v>
      </c>
      <c r="F229" s="30">
        <f t="shared" si="10"/>
        <v>9709.8581237246362</v>
      </c>
      <c r="G229" s="30">
        <f t="shared" si="11"/>
        <v>2224.3947687411746</v>
      </c>
      <c r="H229" s="30">
        <f t="shared" si="8"/>
        <v>8443.6712139417195</v>
      </c>
      <c r="I229" s="30">
        <f t="shared" si="12"/>
        <v>1934.3287860582805</v>
      </c>
    </row>
    <row r="230" spans="1:9" ht="15" customHeight="1" x14ac:dyDescent="0.25">
      <c r="A230" s="27" t="s">
        <v>175</v>
      </c>
      <c r="B230" s="30">
        <f xml:space="preserve"> 8827</f>
        <v>8827</v>
      </c>
      <c r="C230" s="30">
        <v>0.9108384700918547</v>
      </c>
      <c r="D230" s="30">
        <f t="shared" si="7"/>
        <v>9691.0706890869787</v>
      </c>
      <c r="E230" s="30">
        <f t="shared" si="9"/>
        <v>10107.203395055902</v>
      </c>
      <c r="F230" s="30">
        <f t="shared" si="10"/>
        <v>10236.186999367876</v>
      </c>
      <c r="G230" s="30">
        <f t="shared" si="11"/>
        <v>-545.11631028089687</v>
      </c>
      <c r="H230" s="30">
        <f t="shared" si="8"/>
        <v>9323.5129060783693</v>
      </c>
      <c r="I230" s="30">
        <f t="shared" si="12"/>
        <v>-496.51290607836927</v>
      </c>
    </row>
    <row r="231" spans="1:9" ht="15" customHeight="1" x14ac:dyDescent="0.25">
      <c r="A231" s="27" t="s">
        <v>176</v>
      </c>
      <c r="B231" s="30">
        <f xml:space="preserve"> 8559</f>
        <v>8559</v>
      </c>
      <c r="C231" s="30">
        <v>0.84712190854138225</v>
      </c>
      <c r="D231" s="30">
        <f t="shared" si="7"/>
        <v>10103.622529061164</v>
      </c>
      <c r="E231" s="30">
        <f t="shared" si="9"/>
        <v>10106.356102480266</v>
      </c>
      <c r="F231" s="30">
        <f t="shared" si="10"/>
        <v>10107.203395055902</v>
      </c>
      <c r="G231" s="30">
        <f t="shared" si="11"/>
        <v>-3.5808659947379056</v>
      </c>
      <c r="H231" s="30">
        <f t="shared" si="8"/>
        <v>8562.0334300356935</v>
      </c>
      <c r="I231" s="30">
        <f t="shared" si="12"/>
        <v>-3.0334300356935273</v>
      </c>
    </row>
    <row r="232" spans="1:9" ht="15" customHeight="1" x14ac:dyDescent="0.25">
      <c r="A232" s="27" t="s">
        <v>177</v>
      </c>
      <c r="B232" s="30">
        <f xml:space="preserve"> 9143</f>
        <v>9143</v>
      </c>
      <c r="C232" s="30">
        <v>0.90327235308033749</v>
      </c>
      <c r="D232" s="30">
        <f t="shared" si="7"/>
        <v>10122.0855136555</v>
      </c>
      <c r="E232" s="30">
        <f t="shared" si="9"/>
        <v>10110.077943321978</v>
      </c>
      <c r="F232" s="30">
        <f t="shared" si="10"/>
        <v>10106.356102480266</v>
      </c>
      <c r="G232" s="30">
        <f t="shared" si="11"/>
        <v>15.729411175234418</v>
      </c>
      <c r="H232" s="30">
        <f t="shared" si="8"/>
        <v>9128.7920577551777</v>
      </c>
      <c r="I232" s="30">
        <f t="shared" si="12"/>
        <v>14.207942244822334</v>
      </c>
    </row>
    <row r="233" spans="1:9" ht="15" customHeight="1" x14ac:dyDescent="0.25">
      <c r="A233" s="27" t="s">
        <v>178</v>
      </c>
      <c r="B233" s="30">
        <f xml:space="preserve"> 9989</f>
        <v>9989</v>
      </c>
      <c r="C233" s="30">
        <v>0.97853401683850749</v>
      </c>
      <c r="D233" s="30">
        <f t="shared" si="7"/>
        <v>10208.127492872367</v>
      </c>
      <c r="E233" s="30">
        <f t="shared" si="9"/>
        <v>10133.278100909738</v>
      </c>
      <c r="F233" s="30">
        <f t="shared" si="10"/>
        <v>10110.077943321978</v>
      </c>
      <c r="G233" s="30">
        <f t="shared" si="11"/>
        <v>98.049549550389202</v>
      </c>
      <c r="H233" s="30">
        <f t="shared" si="8"/>
        <v>9893.0551804292518</v>
      </c>
      <c r="I233" s="30">
        <f t="shared" si="12"/>
        <v>95.944819570748223</v>
      </c>
    </row>
    <row r="234" spans="1:9" ht="15" customHeight="1" x14ac:dyDescent="0.25">
      <c r="A234" s="27" t="s">
        <v>179</v>
      </c>
      <c r="B234" s="30">
        <f xml:space="preserve"> 9299</f>
        <v>9299</v>
      </c>
      <c r="C234" s="30">
        <v>1.0405515346828169</v>
      </c>
      <c r="D234" s="30">
        <f t="shared" si="7"/>
        <v>8936.6068763086696</v>
      </c>
      <c r="E234" s="30">
        <f t="shared" si="9"/>
        <v>9850.1257445879601</v>
      </c>
      <c r="F234" s="30">
        <f t="shared" si="10"/>
        <v>10133.278100909738</v>
      </c>
      <c r="G234" s="30">
        <f t="shared" si="11"/>
        <v>-1196.6712246010684</v>
      </c>
      <c r="H234" s="30">
        <f t="shared" si="8"/>
        <v>10544.198079269408</v>
      </c>
      <c r="I234" s="30">
        <f t="shared" si="12"/>
        <v>-1245.1980792694085</v>
      </c>
    </row>
    <row r="235" spans="1:9" ht="15" customHeight="1" x14ac:dyDescent="0.25">
      <c r="A235" s="27" t="s">
        <v>180</v>
      </c>
      <c r="B235" s="30">
        <f xml:space="preserve"> 10524</f>
        <v>10524</v>
      </c>
      <c r="C235" s="30">
        <v>1.0139715410282903</v>
      </c>
      <c r="D235" s="30">
        <f t="shared" si="7"/>
        <v>10378.989522060338</v>
      </c>
      <c r="E235" s="30">
        <f t="shared" si="9"/>
        <v>9975.2637287610669</v>
      </c>
      <c r="F235" s="30">
        <f t="shared" si="10"/>
        <v>9850.1257445879601</v>
      </c>
      <c r="G235" s="30">
        <f t="shared" si="11"/>
        <v>528.86377747237748</v>
      </c>
      <c r="H235" s="30">
        <f t="shared" si="8"/>
        <v>9987.7471805622899</v>
      </c>
      <c r="I235" s="30">
        <f t="shared" si="12"/>
        <v>536.25281943771006</v>
      </c>
    </row>
    <row r="236" spans="1:9" ht="15" customHeight="1" x14ac:dyDescent="0.25">
      <c r="A236" s="27" t="s">
        <v>181</v>
      </c>
      <c r="B236" s="30">
        <f xml:space="preserve"> 12887</f>
        <v>12887</v>
      </c>
      <c r="C236" s="30">
        <v>1.1066401628839515</v>
      </c>
      <c r="D236" s="30">
        <f t="shared" si="7"/>
        <v>11645.158410314631</v>
      </c>
      <c r="E236" s="30">
        <f t="shared" si="9"/>
        <v>10370.388642079446</v>
      </c>
      <c r="F236" s="30">
        <f t="shared" si="10"/>
        <v>9975.2637287610669</v>
      </c>
      <c r="G236" s="30">
        <f t="shared" si="11"/>
        <v>1669.8946815535637</v>
      </c>
      <c r="H236" s="30">
        <f t="shared" si="8"/>
        <v>11039.02747760652</v>
      </c>
      <c r="I236" s="30">
        <f t="shared" si="12"/>
        <v>1847.9725223934802</v>
      </c>
    </row>
    <row r="237" spans="1:9" ht="15" customHeight="1" x14ac:dyDescent="0.25">
      <c r="A237" s="27" t="s">
        <v>182</v>
      </c>
      <c r="B237" s="30">
        <f xml:space="preserve"> 11145</f>
        <v>11145</v>
      </c>
      <c r="C237" s="30">
        <v>1.2089882382274035</v>
      </c>
      <c r="D237" s="30">
        <f t="shared" si="7"/>
        <v>9218.4519647110847</v>
      </c>
      <c r="E237" s="30">
        <f t="shared" si="9"/>
        <v>10097.821225210986</v>
      </c>
      <c r="F237" s="30">
        <f t="shared" si="10"/>
        <v>10370.388642079446</v>
      </c>
      <c r="G237" s="30">
        <f t="shared" si="11"/>
        <v>-1151.9366773683614</v>
      </c>
      <c r="H237" s="30">
        <f t="shared" si="8"/>
        <v>12537.677894121105</v>
      </c>
      <c r="I237" s="30">
        <f t="shared" si="12"/>
        <v>-1392.6778941211051</v>
      </c>
    </row>
    <row r="238" spans="1:9" ht="15" customHeight="1" x14ac:dyDescent="0.25">
      <c r="A238" s="27" t="s">
        <v>183</v>
      </c>
      <c r="B238" s="30">
        <f xml:space="preserve"> 11882</f>
        <v>11882</v>
      </c>
      <c r="C238" s="30">
        <v>1.1674732208152445</v>
      </c>
      <c r="D238" s="30">
        <f t="shared" si="7"/>
        <v>10177.535371391919</v>
      </c>
      <c r="E238" s="30">
        <f t="shared" si="9"/>
        <v>10116.682920770545</v>
      </c>
      <c r="F238" s="30">
        <f t="shared" si="10"/>
        <v>10097.821225210986</v>
      </c>
      <c r="G238" s="30">
        <f t="shared" si="11"/>
        <v>79.714146180933312</v>
      </c>
      <c r="H238" s="30">
        <f t="shared" si="8"/>
        <v>11788.935869013609</v>
      </c>
      <c r="I238" s="30">
        <f t="shared" si="12"/>
        <v>93.064130986391319</v>
      </c>
    </row>
    <row r="239" spans="1:9" ht="15" customHeight="1" x14ac:dyDescent="0.25">
      <c r="A239" s="27" t="s">
        <v>184</v>
      </c>
      <c r="B239" s="30">
        <f xml:space="preserve"> 9448</f>
        <v>9448</v>
      </c>
      <c r="C239" s="30">
        <v>0.96087205630662098</v>
      </c>
      <c r="D239" s="30">
        <f t="shared" si="7"/>
        <v>9832.7346892738424</v>
      </c>
      <c r="E239" s="30">
        <f t="shared" si="9"/>
        <v>10049.496036713485</v>
      </c>
      <c r="F239" s="30">
        <f t="shared" si="10"/>
        <v>10116.682920770545</v>
      </c>
      <c r="G239" s="30">
        <f t="shared" si="11"/>
        <v>-283.94823149670265</v>
      </c>
      <c r="H239" s="30">
        <f t="shared" si="8"/>
        <v>9720.8379210828662</v>
      </c>
      <c r="I239" s="30">
        <f t="shared" si="12"/>
        <v>-272.83792108286616</v>
      </c>
    </row>
    <row r="240" spans="1:9" ht="15" customHeight="1" x14ac:dyDescent="0.25">
      <c r="A240" s="27" t="s">
        <v>185</v>
      </c>
      <c r="B240" s="30">
        <f xml:space="preserve"> 7857</f>
        <v>7857</v>
      </c>
      <c r="C240" s="30">
        <v>0.99213853165653609</v>
      </c>
      <c r="D240" s="30">
        <f t="shared" si="7"/>
        <v>7919.2569881158279</v>
      </c>
      <c r="E240" s="30">
        <f t="shared" si="9"/>
        <v>9545.4459737229845</v>
      </c>
      <c r="F240" s="30">
        <f t="shared" si="10"/>
        <v>10049.496036713485</v>
      </c>
      <c r="G240" s="30">
        <f t="shared" si="11"/>
        <v>-2130.2390485976566</v>
      </c>
      <c r="H240" s="30">
        <f t="shared" si="8"/>
        <v>9970.4922417530961</v>
      </c>
      <c r="I240" s="30">
        <f t="shared" si="12"/>
        <v>-2113.4922417530961</v>
      </c>
    </row>
    <row r="241" spans="1:9" ht="15" customHeight="1" x14ac:dyDescent="0.25">
      <c r="A241" s="27" t="s">
        <v>186</v>
      </c>
      <c r="B241" s="30">
        <f xml:space="preserve"> 8482</f>
        <v>8482</v>
      </c>
      <c r="C241" s="30">
        <v>0.86959779497816025</v>
      </c>
      <c r="D241" s="30">
        <f t="shared" si="7"/>
        <v>9753.9345764015234</v>
      </c>
      <c r="E241" s="30">
        <f t="shared" si="9"/>
        <v>9594.7778519373569</v>
      </c>
      <c r="F241" s="30">
        <f t="shared" si="10"/>
        <v>9545.4459737229845</v>
      </c>
      <c r="G241" s="30">
        <f t="shared" si="11"/>
        <v>208.48860267853888</v>
      </c>
      <c r="H241" s="30">
        <f t="shared" si="8"/>
        <v>8300.6987708326651</v>
      </c>
      <c r="I241" s="30">
        <f t="shared" si="12"/>
        <v>181.3012291673349</v>
      </c>
    </row>
    <row r="242" spans="1:9" ht="15" customHeight="1" x14ac:dyDescent="0.25">
      <c r="A242" s="27" t="s">
        <v>187</v>
      </c>
      <c r="B242" s="30">
        <f xml:space="preserve"> 9064</f>
        <v>9064</v>
      </c>
      <c r="C242" s="30">
        <v>0.9108384700918547</v>
      </c>
      <c r="D242" s="30">
        <f t="shared" si="7"/>
        <v>9951.2705025358991</v>
      </c>
      <c r="E242" s="30">
        <f t="shared" si="9"/>
        <v>9679.1299546312475</v>
      </c>
      <c r="F242" s="30">
        <f t="shared" si="10"/>
        <v>9594.7778519373569</v>
      </c>
      <c r="G242" s="30">
        <f t="shared" si="11"/>
        <v>356.49265059854224</v>
      </c>
      <c r="H242" s="30">
        <f t="shared" si="8"/>
        <v>8739.2927795298347</v>
      </c>
      <c r="I242" s="30">
        <f t="shared" si="12"/>
        <v>324.70722047016534</v>
      </c>
    </row>
    <row r="243" spans="1:9" ht="15" customHeight="1" x14ac:dyDescent="0.25">
      <c r="A243" s="27" t="s">
        <v>188</v>
      </c>
      <c r="B243" s="30">
        <f xml:space="preserve"> 7591</f>
        <v>7591</v>
      </c>
      <c r="C243" s="30">
        <v>0.84712190854138225</v>
      </c>
      <c r="D243" s="30">
        <f t="shared" si="7"/>
        <v>8960.9298537332979</v>
      </c>
      <c r="E243" s="30">
        <f t="shared" si="9"/>
        <v>9509.1918407206485</v>
      </c>
      <c r="F243" s="30">
        <f t="shared" si="10"/>
        <v>9679.1299546312475</v>
      </c>
      <c r="G243" s="30">
        <f t="shared" si="11"/>
        <v>-718.2001008979496</v>
      </c>
      <c r="H243" s="30">
        <f t="shared" ref="H243:H270" si="13">F243*C243</f>
        <v>8199.4030401872842</v>
      </c>
      <c r="I243" s="30">
        <f t="shared" si="12"/>
        <v>-608.4030401872842</v>
      </c>
    </row>
    <row r="244" spans="1:9" ht="15" customHeight="1" x14ac:dyDescent="0.25">
      <c r="A244" s="27" t="s">
        <v>189</v>
      </c>
      <c r="B244" s="30">
        <f xml:space="preserve"> 8801</f>
        <v>8801</v>
      </c>
      <c r="C244" s="30">
        <v>0.90327235308033749</v>
      </c>
      <c r="D244" s="30">
        <f t="shared" si="7"/>
        <v>9743.462168400094</v>
      </c>
      <c r="E244" s="30">
        <f t="shared" si="9"/>
        <v>9564.624104766961</v>
      </c>
      <c r="F244" s="30">
        <f t="shared" si="10"/>
        <v>9509.1918407206485</v>
      </c>
      <c r="G244" s="30">
        <f t="shared" si="11"/>
        <v>234.27032767944547</v>
      </c>
      <c r="H244" s="30">
        <f t="shared" si="13"/>
        <v>8589.3900898600859</v>
      </c>
      <c r="I244" s="30">
        <f t="shared" si="12"/>
        <v>211.60991013991406</v>
      </c>
    </row>
    <row r="245" spans="1:9" ht="15" customHeight="1" x14ac:dyDescent="0.25">
      <c r="A245" s="27" t="s">
        <v>190</v>
      </c>
      <c r="B245" s="30">
        <f xml:space="preserve"> 10634</f>
        <v>10634</v>
      </c>
      <c r="C245" s="30">
        <v>0.97853401683850749</v>
      </c>
      <c r="D245" s="30">
        <f t="shared" si="7"/>
        <v>10867.276780378892</v>
      </c>
      <c r="E245" s="30">
        <f t="shared" si="9"/>
        <v>9872.8534387608051</v>
      </c>
      <c r="F245" s="30">
        <f t="shared" si="10"/>
        <v>9564.624104766961</v>
      </c>
      <c r="G245" s="30">
        <f t="shared" si="11"/>
        <v>1302.652675611931</v>
      </c>
      <c r="H245" s="30">
        <f t="shared" si="13"/>
        <v>9359.3100447880279</v>
      </c>
      <c r="I245" s="30">
        <f t="shared" si="12"/>
        <v>1274.6899552119721</v>
      </c>
    </row>
    <row r="246" spans="1:9" ht="15" customHeight="1" x14ac:dyDescent="0.25">
      <c r="A246" s="27" t="s">
        <v>191</v>
      </c>
      <c r="B246" s="30">
        <f xml:space="preserve"> 9951</f>
        <v>9951</v>
      </c>
      <c r="C246" s="30">
        <v>1.0405515346828169</v>
      </c>
      <c r="D246" s="30">
        <f t="shared" si="7"/>
        <v>9563.1976584737677</v>
      </c>
      <c r="E246" s="30">
        <f t="shared" si="9"/>
        <v>9799.5837201995</v>
      </c>
      <c r="F246" s="30">
        <f t="shared" si="10"/>
        <v>9872.8534387608051</v>
      </c>
      <c r="G246" s="30">
        <f t="shared" si="11"/>
        <v>-309.65578028703749</v>
      </c>
      <c r="H246" s="30">
        <f t="shared" si="13"/>
        <v>10273.212797401082</v>
      </c>
      <c r="I246" s="30">
        <f t="shared" si="12"/>
        <v>-322.21279740108184</v>
      </c>
    </row>
    <row r="247" spans="1:9" ht="15" customHeight="1" x14ac:dyDescent="0.25">
      <c r="A247" s="27" t="s">
        <v>192</v>
      </c>
      <c r="B247" s="30">
        <f xml:space="preserve"> 11214</f>
        <v>11214</v>
      </c>
      <c r="C247" s="30">
        <v>1.0139715410282903</v>
      </c>
      <c r="D247" s="30">
        <f t="shared" si="7"/>
        <v>11059.481993575127</v>
      </c>
      <c r="E247" s="30">
        <f t="shared" si="9"/>
        <v>10097.696650048694</v>
      </c>
      <c r="F247" s="30">
        <f t="shared" si="10"/>
        <v>9799.5837201995</v>
      </c>
      <c r="G247" s="30">
        <f t="shared" si="11"/>
        <v>1259.8982733756275</v>
      </c>
      <c r="H247" s="30">
        <f t="shared" si="13"/>
        <v>9936.4990062064335</v>
      </c>
      <c r="I247" s="30">
        <f t="shared" si="12"/>
        <v>1277.5009937935665</v>
      </c>
    </row>
    <row r="248" spans="1:9" ht="15" customHeight="1" x14ac:dyDescent="0.25">
      <c r="A248" s="27" t="s">
        <v>193</v>
      </c>
      <c r="B248" s="30">
        <f xml:space="preserve"> 10990</f>
        <v>10990</v>
      </c>
      <c r="C248" s="30">
        <v>1.1066401628839515</v>
      </c>
      <c r="D248" s="30">
        <f t="shared" si="7"/>
        <v>9930.9607301433844</v>
      </c>
      <c r="E248" s="30">
        <f t="shared" si="9"/>
        <v>10058.244152458636</v>
      </c>
      <c r="F248" s="30">
        <f t="shared" si="10"/>
        <v>10097.696650048694</v>
      </c>
      <c r="G248" s="30">
        <f t="shared" si="11"/>
        <v>-166.73591990530986</v>
      </c>
      <c r="H248" s="30">
        <f t="shared" si="13"/>
        <v>11174.516665562618</v>
      </c>
      <c r="I248" s="30">
        <f t="shared" si="12"/>
        <v>-184.51666556261807</v>
      </c>
    </row>
    <row r="249" spans="1:9" ht="15" customHeight="1" x14ac:dyDescent="0.25">
      <c r="A249" s="27" t="s">
        <v>194</v>
      </c>
      <c r="B249" s="30">
        <f xml:space="preserve"> 11975</f>
        <v>11975</v>
      </c>
      <c r="C249" s="30">
        <v>1.2089882382274035</v>
      </c>
      <c r="D249" s="30">
        <f t="shared" si="7"/>
        <v>9904.9764268654308</v>
      </c>
      <c r="E249" s="30">
        <f t="shared" si="9"/>
        <v>10021.97845411341</v>
      </c>
      <c r="F249" s="30">
        <f t="shared" si="10"/>
        <v>10058.244152458636</v>
      </c>
      <c r="G249" s="30">
        <f t="shared" si="11"/>
        <v>-153.26772559320489</v>
      </c>
      <c r="H249" s="30">
        <f t="shared" si="13"/>
        <v>12160.298877542049</v>
      </c>
      <c r="I249" s="30">
        <f t="shared" si="12"/>
        <v>-185.29887754204901</v>
      </c>
    </row>
    <row r="250" spans="1:9" ht="15" customHeight="1" x14ac:dyDescent="0.25">
      <c r="A250" s="27" t="s">
        <v>195</v>
      </c>
      <c r="B250" s="30">
        <f xml:space="preserve"> 12137</f>
        <v>12137</v>
      </c>
      <c r="C250" s="30">
        <v>1.1674732208152445</v>
      </c>
      <c r="D250" s="30">
        <f t="shared" si="7"/>
        <v>10395.955798904539</v>
      </c>
      <c r="E250" s="30">
        <f t="shared" si="9"/>
        <v>10110.467726865725</v>
      </c>
      <c r="F250" s="30">
        <f t="shared" si="10"/>
        <v>10021.97845411341</v>
      </c>
      <c r="G250" s="30">
        <f t="shared" si="11"/>
        <v>373.97734479112842</v>
      </c>
      <c r="H250" s="30">
        <f t="shared" si="13"/>
        <v>11700.391464764769</v>
      </c>
      <c r="I250" s="30">
        <f t="shared" si="12"/>
        <v>436.6085352352311</v>
      </c>
    </row>
    <row r="251" spans="1:9" ht="15" customHeight="1" x14ac:dyDescent="0.25">
      <c r="A251" s="27" t="s">
        <v>196</v>
      </c>
      <c r="B251" s="30">
        <f xml:space="preserve"> 10892</f>
        <v>10892</v>
      </c>
      <c r="C251" s="30">
        <v>0.96087205630662098</v>
      </c>
      <c r="D251" s="30">
        <f t="shared" si="7"/>
        <v>11335.536223070563</v>
      </c>
      <c r="E251" s="30">
        <f t="shared" si="9"/>
        <v>10400.339350938257</v>
      </c>
      <c r="F251" s="30">
        <f t="shared" si="10"/>
        <v>10110.467726865725</v>
      </c>
      <c r="G251" s="30">
        <f t="shared" si="11"/>
        <v>1225.0684962048381</v>
      </c>
      <c r="H251" s="30">
        <f t="shared" si="13"/>
        <v>9714.865914935197</v>
      </c>
      <c r="I251" s="30">
        <f t="shared" si="12"/>
        <v>1177.134085064803</v>
      </c>
    </row>
    <row r="252" spans="1:9" ht="15" customHeight="1" x14ac:dyDescent="0.25">
      <c r="A252" s="27" t="s">
        <v>197</v>
      </c>
      <c r="B252" s="30">
        <f xml:space="preserve"> 11249</f>
        <v>11249</v>
      </c>
      <c r="C252" s="30">
        <v>0.99213853165653609</v>
      </c>
      <c r="D252" s="30">
        <f t="shared" si="7"/>
        <v>11338.134384537985</v>
      </c>
      <c r="E252" s="30">
        <f t="shared" si="9"/>
        <v>10622.237285852791</v>
      </c>
      <c r="F252" s="30">
        <f t="shared" si="10"/>
        <v>10400.339350938257</v>
      </c>
      <c r="G252" s="30">
        <f t="shared" si="11"/>
        <v>937.79503359972841</v>
      </c>
      <c r="H252" s="30">
        <f t="shared" si="13"/>
        <v>10318.577412369574</v>
      </c>
      <c r="I252" s="30">
        <f t="shared" si="12"/>
        <v>930.42258763042628</v>
      </c>
    </row>
    <row r="253" spans="1:9" ht="15" customHeight="1" x14ac:dyDescent="0.25">
      <c r="A253" s="27" t="s">
        <v>198</v>
      </c>
      <c r="B253" s="30">
        <f xml:space="preserve"> 7531</f>
        <v>7531</v>
      </c>
      <c r="C253" s="30">
        <v>0.86959779497816025</v>
      </c>
      <c r="D253" s="30">
        <f t="shared" si="7"/>
        <v>8660.3255476161121</v>
      </c>
      <c r="E253" s="30">
        <f t="shared" si="9"/>
        <v>10158.016269957418</v>
      </c>
      <c r="F253" s="30">
        <f t="shared" si="10"/>
        <v>10622.237285852791</v>
      </c>
      <c r="G253" s="30">
        <f t="shared" si="11"/>
        <v>-1961.9117382366785</v>
      </c>
      <c r="H253" s="30">
        <f t="shared" si="13"/>
        <v>9237.0741215123853</v>
      </c>
      <c r="I253" s="30">
        <f t="shared" si="12"/>
        <v>-1706.0741215123853</v>
      </c>
    </row>
    <row r="254" spans="1:9" ht="15" customHeight="1" x14ac:dyDescent="0.25">
      <c r="A254" s="27" t="s">
        <v>199</v>
      </c>
      <c r="B254" s="30">
        <f xml:space="preserve"> 7992</f>
        <v>7992</v>
      </c>
      <c r="C254" s="30">
        <v>0.9108384700918547</v>
      </c>
      <c r="D254" s="30">
        <f t="shared" si="7"/>
        <v>8774.3329497205323</v>
      </c>
      <c r="E254" s="30">
        <f t="shared" si="9"/>
        <v>9830.6137349304518</v>
      </c>
      <c r="F254" s="30">
        <f t="shared" si="10"/>
        <v>10158.016269957418</v>
      </c>
      <c r="G254" s="30">
        <f t="shared" si="11"/>
        <v>-1383.6833202368853</v>
      </c>
      <c r="H254" s="30">
        <f t="shared" si="13"/>
        <v>9252.3119984961832</v>
      </c>
      <c r="I254" s="30">
        <f t="shared" si="12"/>
        <v>-1260.3119984961832</v>
      </c>
    </row>
    <row r="255" spans="1:9" ht="15" customHeight="1" x14ac:dyDescent="0.25">
      <c r="A255" s="27" t="s">
        <v>200</v>
      </c>
      <c r="B255" s="30">
        <f xml:space="preserve"> 9230</f>
        <v>9230</v>
      </c>
      <c r="C255" s="30">
        <v>0.84712190854138225</v>
      </c>
      <c r="D255" s="30">
        <f t="shared" si="7"/>
        <v>10895.716315367979</v>
      </c>
      <c r="E255" s="30">
        <f t="shared" si="9"/>
        <v>10082.63475722572</v>
      </c>
      <c r="F255" s="30">
        <f t="shared" si="10"/>
        <v>9830.6137349304518</v>
      </c>
      <c r="G255" s="30">
        <f t="shared" si="11"/>
        <v>1065.1025804375276</v>
      </c>
      <c r="H255" s="30">
        <f t="shared" si="13"/>
        <v>8327.7282692674107</v>
      </c>
      <c r="I255" s="30">
        <f t="shared" si="12"/>
        <v>902.27173073258928</v>
      </c>
    </row>
    <row r="256" spans="1:9" ht="15" customHeight="1" x14ac:dyDescent="0.25">
      <c r="A256" s="27" t="s">
        <v>201</v>
      </c>
      <c r="B256" s="30">
        <f xml:space="preserve"> 10123</f>
        <v>10123</v>
      </c>
      <c r="C256" s="30">
        <v>0.90327235308033749</v>
      </c>
      <c r="D256" s="30">
        <f t="shared" si="7"/>
        <v>11207.029602399063</v>
      </c>
      <c r="E256" s="30">
        <f t="shared" si="9"/>
        <v>10348.685317564905</v>
      </c>
      <c r="F256" s="30">
        <f t="shared" si="10"/>
        <v>10082.63475722572</v>
      </c>
      <c r="G256" s="30">
        <f t="shared" si="11"/>
        <v>1124.3948451733431</v>
      </c>
      <c r="H256" s="30">
        <f t="shared" si="13"/>
        <v>9107.3652224088728</v>
      </c>
      <c r="I256" s="30">
        <f t="shared" si="12"/>
        <v>1015.6347775911272</v>
      </c>
    </row>
    <row r="257" spans="1:9" ht="15" customHeight="1" x14ac:dyDescent="0.25">
      <c r="A257" s="27" t="s">
        <v>202</v>
      </c>
      <c r="B257" s="30">
        <f xml:space="preserve"> 11419</f>
        <v>11419</v>
      </c>
      <c r="C257" s="30">
        <v>0.97853401683850749</v>
      </c>
      <c r="D257" s="30">
        <f t="shared" si="7"/>
        <v>11669.497231065128</v>
      </c>
      <c r="E257" s="30">
        <f t="shared" si="9"/>
        <v>10661.211429898005</v>
      </c>
      <c r="F257" s="30">
        <f t="shared" si="10"/>
        <v>10348.685317564905</v>
      </c>
      <c r="G257" s="30">
        <f t="shared" si="11"/>
        <v>1320.8119135002235</v>
      </c>
      <c r="H257" s="30">
        <f t="shared" si="13"/>
        <v>10126.540612794472</v>
      </c>
      <c r="I257" s="30">
        <f t="shared" si="12"/>
        <v>1292.4593872055284</v>
      </c>
    </row>
    <row r="258" spans="1:9" ht="15" customHeight="1" x14ac:dyDescent="0.25">
      <c r="A258" s="27" t="s">
        <v>203</v>
      </c>
      <c r="B258" s="30">
        <f xml:space="preserve"> 12102</f>
        <v>12102</v>
      </c>
      <c r="C258" s="30">
        <v>1.0405515346828169</v>
      </c>
      <c r="D258" s="30">
        <f t="shared" si="7"/>
        <v>11630.370622334392</v>
      </c>
      <c r="E258" s="30">
        <f t="shared" si="9"/>
        <v>10890.530647530866</v>
      </c>
      <c r="F258" s="30">
        <f t="shared" si="10"/>
        <v>10661.211429898005</v>
      </c>
      <c r="G258" s="30">
        <f t="shared" si="11"/>
        <v>969.15919243638746</v>
      </c>
      <c r="H258" s="30">
        <f t="shared" si="13"/>
        <v>11093.539914958357</v>
      </c>
      <c r="I258" s="30">
        <f t="shared" si="12"/>
        <v>1008.4600850416427</v>
      </c>
    </row>
    <row r="259" spans="1:9" ht="15" customHeight="1" x14ac:dyDescent="0.25">
      <c r="A259" s="27" t="s">
        <v>204</v>
      </c>
      <c r="B259" s="30">
        <f xml:space="preserve"> 10903</f>
        <v>10903</v>
      </c>
      <c r="C259" s="30">
        <v>1.0139715410282903</v>
      </c>
      <c r="D259" s="30">
        <f t="shared" si="7"/>
        <v>10752.767270906867</v>
      </c>
      <c r="E259" s="30">
        <f t="shared" si="9"/>
        <v>10857.933536558357</v>
      </c>
      <c r="F259" s="30">
        <f t="shared" si="10"/>
        <v>10890.530647530866</v>
      </c>
      <c r="G259" s="30">
        <f t="shared" si="11"/>
        <v>-137.76337662399965</v>
      </c>
      <c r="H259" s="30">
        <f t="shared" si="13"/>
        <v>11042.688143292697</v>
      </c>
      <c r="I259" s="30">
        <f t="shared" si="12"/>
        <v>-139.68814329269662</v>
      </c>
    </row>
    <row r="260" spans="1:9" ht="15" customHeight="1" x14ac:dyDescent="0.25">
      <c r="A260" s="27" t="s">
        <v>205</v>
      </c>
      <c r="B260" s="30">
        <f xml:space="preserve"> 12513</f>
        <v>12513</v>
      </c>
      <c r="C260" s="30">
        <v>1.1066401628839515</v>
      </c>
      <c r="D260" s="30">
        <f t="shared" si="7"/>
        <v>11307.198509216028</v>
      </c>
      <c r="E260" s="30">
        <f t="shared" si="9"/>
        <v>10964.237116861515</v>
      </c>
      <c r="F260" s="30">
        <f t="shared" si="10"/>
        <v>10857.933536558357</v>
      </c>
      <c r="G260" s="30">
        <f t="shared" si="11"/>
        <v>449.26497265767102</v>
      </c>
      <c r="H260" s="30">
        <f t="shared" si="13"/>
        <v>12015.825337480061</v>
      </c>
      <c r="I260" s="30">
        <f t="shared" si="12"/>
        <v>497.17466251993937</v>
      </c>
    </row>
    <row r="261" spans="1:9" ht="15" customHeight="1" x14ac:dyDescent="0.25">
      <c r="A261" s="27" t="s">
        <v>206</v>
      </c>
      <c r="B261" s="30">
        <f xml:space="preserve"> 10696</f>
        <v>10696</v>
      </c>
      <c r="C261" s="30">
        <v>1.2089882382274035</v>
      </c>
      <c r="D261" s="30">
        <f t="shared" si="7"/>
        <v>8847.0670448227684</v>
      </c>
      <c r="E261" s="30">
        <f t="shared" si="9"/>
        <v>10463.279391541793</v>
      </c>
      <c r="F261" s="30">
        <f t="shared" si="10"/>
        <v>10964.237116861515</v>
      </c>
      <c r="G261" s="30">
        <f t="shared" si="11"/>
        <v>-2117.1700720387471</v>
      </c>
      <c r="H261" s="30">
        <f t="shared" si="13"/>
        <v>13255.633715421909</v>
      </c>
      <c r="I261" s="30">
        <f t="shared" si="12"/>
        <v>-2559.6337154219091</v>
      </c>
    </row>
    <row r="262" spans="1:9" ht="15" customHeight="1" x14ac:dyDescent="0.25">
      <c r="A262" s="31" t="s">
        <v>207</v>
      </c>
      <c r="B262" s="32">
        <f xml:space="preserve"> 13758</f>
        <v>13758</v>
      </c>
      <c r="C262" s="32">
        <v>1.1674732208152445</v>
      </c>
      <c r="D262" s="32">
        <f t="shared" si="7"/>
        <v>11784.424477327893</v>
      </c>
      <c r="E262" s="32">
        <f t="shared" si="9"/>
        <v>10775.884337990621</v>
      </c>
      <c r="F262" s="32">
        <f t="shared" si="10"/>
        <v>10463.279391541793</v>
      </c>
      <c r="G262" s="32">
        <f t="shared" si="11"/>
        <v>1321.1450857861</v>
      </c>
      <c r="H262" s="32">
        <f t="shared" si="13"/>
        <v>12215.59849153307</v>
      </c>
      <c r="I262" s="32">
        <f t="shared" si="12"/>
        <v>1542.40150846693</v>
      </c>
    </row>
    <row r="263" spans="1:9" ht="15" customHeight="1" x14ac:dyDescent="0.25">
      <c r="A263" s="27" t="s">
        <v>208</v>
      </c>
      <c r="B263" s="30"/>
      <c r="C263" s="30">
        <v>0.96087205630662098</v>
      </c>
      <c r="D263" s="30"/>
      <c r="E263" s="30"/>
      <c r="F263" s="30">
        <f>E262</f>
        <v>10775.884337990621</v>
      </c>
      <c r="G263" s="30"/>
      <c r="H263" s="30">
        <f t="shared" si="13"/>
        <v>10354.246142367359</v>
      </c>
      <c r="I263" s="30"/>
    </row>
    <row r="264" spans="1:9" ht="15" customHeight="1" x14ac:dyDescent="0.25">
      <c r="A264" s="27" t="s">
        <v>213</v>
      </c>
      <c r="B264" s="30"/>
      <c r="C264" s="30">
        <v>0.99213853165653609</v>
      </c>
      <c r="D264" s="30"/>
      <c r="E264" s="30"/>
      <c r="F264" s="30">
        <f>E262</f>
        <v>10775.884337990621</v>
      </c>
      <c r="G264" s="30"/>
      <c r="H264" s="30">
        <f t="shared" si="13"/>
        <v>10691.170064394679</v>
      </c>
      <c r="I264" s="30"/>
    </row>
    <row r="265" spans="1:9" ht="15" customHeight="1" x14ac:dyDescent="0.25">
      <c r="A265" s="27" t="s">
        <v>214</v>
      </c>
      <c r="B265" s="30"/>
      <c r="C265" s="30">
        <v>0.86959779497816025</v>
      </c>
      <c r="D265" s="30"/>
      <c r="E265" s="30"/>
      <c r="F265" s="30">
        <f>E262</f>
        <v>10775.884337990621</v>
      </c>
      <c r="G265" s="30"/>
      <c r="H265" s="30">
        <f t="shared" si="13"/>
        <v>9370.6852592563355</v>
      </c>
      <c r="I265" s="30"/>
    </row>
    <row r="266" spans="1:9" ht="15" customHeight="1" x14ac:dyDescent="0.25">
      <c r="A266" s="27" t="s">
        <v>215</v>
      </c>
      <c r="B266" s="30"/>
      <c r="C266" s="30">
        <v>0.9108384700918547</v>
      </c>
      <c r="D266" s="30"/>
      <c r="E266" s="30"/>
      <c r="F266" s="30">
        <f>E262</f>
        <v>10775.884337990621</v>
      </c>
      <c r="G266" s="30"/>
      <c r="H266" s="30">
        <f t="shared" si="13"/>
        <v>9815.0900043021556</v>
      </c>
      <c r="I266" s="30"/>
    </row>
    <row r="267" spans="1:9" ht="15" customHeight="1" x14ac:dyDescent="0.25">
      <c r="A267" s="27" t="s">
        <v>216</v>
      </c>
      <c r="B267" s="30"/>
      <c r="C267" s="30">
        <v>0.84712190854138225</v>
      </c>
      <c r="D267" s="30"/>
      <c r="E267" s="30"/>
      <c r="F267" s="30">
        <f>E262</f>
        <v>10775.884337990621</v>
      </c>
      <c r="G267" s="30"/>
      <c r="H267" s="30">
        <f t="shared" si="13"/>
        <v>9128.4877066198042</v>
      </c>
      <c r="I267" s="30"/>
    </row>
    <row r="268" spans="1:9" ht="15" customHeight="1" x14ac:dyDescent="0.25">
      <c r="A268" s="27" t="s">
        <v>217</v>
      </c>
      <c r="B268" s="30"/>
      <c r="C268" s="30">
        <v>0.90327235308033749</v>
      </c>
      <c r="D268" s="30"/>
      <c r="E268" s="30"/>
      <c r="F268" s="30">
        <f>E262</f>
        <v>10775.884337990621</v>
      </c>
      <c r="G268" s="30"/>
      <c r="H268" s="30">
        <f t="shared" si="13"/>
        <v>9733.5584024983436</v>
      </c>
      <c r="I268" s="30"/>
    </row>
    <row r="269" spans="1:9" ht="15" customHeight="1" x14ac:dyDescent="0.25">
      <c r="A269" s="27" t="s">
        <v>218</v>
      </c>
      <c r="B269" s="30"/>
      <c r="C269" s="30">
        <v>0.97853401683850749</v>
      </c>
      <c r="D269" s="30"/>
      <c r="E269" s="30"/>
      <c r="F269" s="30">
        <f>E262</f>
        <v>10775.884337990621</v>
      </c>
      <c r="G269" s="30"/>
      <c r="H269" s="30">
        <f t="shared" si="13"/>
        <v>10544.569386241124</v>
      </c>
      <c r="I269" s="30"/>
    </row>
    <row r="270" spans="1:9" ht="15" customHeight="1" x14ac:dyDescent="0.25">
      <c r="A270" s="27" t="s">
        <v>219</v>
      </c>
      <c r="B270" s="30"/>
      <c r="C270" s="30">
        <v>1.0405515346828169</v>
      </c>
      <c r="D270" s="30"/>
      <c r="E270" s="30"/>
      <c r="F270" s="30">
        <f>E262</f>
        <v>10775.884337990621</v>
      </c>
      <c r="G270" s="30"/>
      <c r="H270" s="30">
        <f t="shared" si="13"/>
        <v>11212.862985460672</v>
      </c>
      <c r="I270" s="30"/>
    </row>
  </sheetData>
  <pageMargins left="0.7" right="0.7" top="0.75" bottom="0.75" header="0.3" footer="0.3"/>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09"/>
  <sheetViews>
    <sheetView showGridLines="0" topLeftCell="A189" workbookViewId="0">
      <selection activeCell="F25" sqref="F25"/>
    </sheetView>
  </sheetViews>
  <sheetFormatPr defaultColWidth="12.7109375" defaultRowHeight="15" x14ac:dyDescent="0.25"/>
  <cols>
    <col min="1" max="1" width="35.28515625" bestFit="1" customWidth="1"/>
    <col min="2" max="7" width="12.7109375" customWidth="1"/>
  </cols>
  <sheetData>
    <row r="1" spans="1:2" s="16" customFormat="1" ht="18.75" x14ac:dyDescent="0.3">
      <c r="A1" s="22" t="s">
        <v>75</v>
      </c>
      <c r="B1" s="20"/>
    </row>
    <row r="2" spans="1:2" s="16" customFormat="1" ht="11.25" x14ac:dyDescent="0.2">
      <c r="A2" s="18" t="s">
        <v>76</v>
      </c>
      <c r="B2" s="20" t="s">
        <v>77</v>
      </c>
    </row>
    <row r="3" spans="1:2" s="16" customFormat="1" ht="11.25" x14ac:dyDescent="0.2">
      <c r="A3" s="18" t="s">
        <v>78</v>
      </c>
      <c r="B3" s="20" t="s">
        <v>79</v>
      </c>
    </row>
    <row r="4" spans="1:2" s="16" customFormat="1" ht="11.25" x14ac:dyDescent="0.2">
      <c r="A4" s="18" t="s">
        <v>80</v>
      </c>
      <c r="B4" s="23">
        <v>45067</v>
      </c>
    </row>
    <row r="5" spans="1:2" s="17" customFormat="1" ht="11.25" x14ac:dyDescent="0.2">
      <c r="A5" s="19" t="s">
        <v>81</v>
      </c>
      <c r="B5" s="21" t="s">
        <v>82</v>
      </c>
    </row>
    <row r="7" spans="1:2" ht="15" customHeight="1" x14ac:dyDescent="0.25">
      <c r="A7" s="28" t="s">
        <v>271</v>
      </c>
      <c r="B7" s="25"/>
    </row>
    <row r="8" spans="1:2" ht="15" customHeight="1" thickBot="1" x14ac:dyDescent="0.3">
      <c r="A8" s="39" t="s">
        <v>226</v>
      </c>
      <c r="B8" s="38"/>
    </row>
    <row r="9" spans="1:2" ht="15" customHeight="1" thickTop="1" x14ac:dyDescent="0.25">
      <c r="A9" s="27" t="s">
        <v>229</v>
      </c>
      <c r="B9" s="35">
        <v>0.23234472609826917</v>
      </c>
    </row>
    <row r="10" spans="1:2" ht="15" customHeight="1" x14ac:dyDescent="0.25">
      <c r="A10" s="27" t="s">
        <v>230</v>
      </c>
      <c r="B10" s="35">
        <v>0</v>
      </c>
    </row>
    <row r="11" spans="1:2" ht="15" customHeight="1" x14ac:dyDescent="0.25">
      <c r="A11" s="27" t="s">
        <v>231</v>
      </c>
      <c r="B11" s="35">
        <v>0</v>
      </c>
    </row>
    <row r="12" spans="1:2" ht="15" customHeight="1" x14ac:dyDescent="0.25"/>
    <row r="13" spans="1:2" ht="15" customHeight="1" x14ac:dyDescent="0.25">
      <c r="A13" s="28"/>
      <c r="B13" s="25"/>
    </row>
    <row r="14" spans="1:2" ht="15" customHeight="1" thickBot="1" x14ac:dyDescent="0.3">
      <c r="A14" s="39" t="s">
        <v>228</v>
      </c>
      <c r="B14" s="38"/>
    </row>
    <row r="15" spans="1:2" ht="15" customHeight="1" thickTop="1" x14ac:dyDescent="0.25">
      <c r="A15" s="27" t="s">
        <v>88</v>
      </c>
      <c r="B15" s="30">
        <f>_xll.StatMeanAbs(G86:G201)</f>
        <v>1022.0889752323799</v>
      </c>
    </row>
    <row r="16" spans="1:2" ht="15" customHeight="1" x14ac:dyDescent="0.25">
      <c r="A16" s="27" t="s">
        <v>89</v>
      </c>
      <c r="B16" s="30">
        <f>SQRT(SUMSQ(G86:G201)/_xll.StatCount(G86:G201))</f>
        <v>1334.9824166051551</v>
      </c>
    </row>
    <row r="17" spans="1:2" ht="15" customHeight="1" x14ac:dyDescent="0.25">
      <c r="A17" s="27" t="s">
        <v>90</v>
      </c>
      <c r="B17" s="33">
        <f>_xll.StatPairMeanAbsQuotient(G86:G201,B86:B201)</f>
        <v>0.10084884952955531</v>
      </c>
    </row>
    <row r="18" spans="1:2" ht="15" customHeight="1" x14ac:dyDescent="0.25"/>
    <row r="19" spans="1:2" ht="15" customHeight="1" x14ac:dyDescent="0.25"/>
    <row r="20" spans="1:2" ht="15" customHeight="1" x14ac:dyDescent="0.25"/>
    <row r="21" spans="1:2" ht="15" customHeight="1" x14ac:dyDescent="0.25"/>
    <row r="22" spans="1:2" ht="15" customHeight="1" x14ac:dyDescent="0.25"/>
    <row r="23" spans="1:2" ht="15" customHeight="1" x14ac:dyDescent="0.25"/>
    <row r="24" spans="1:2" ht="15" customHeight="1" x14ac:dyDescent="0.25"/>
    <row r="25" spans="1:2" ht="15" customHeight="1" x14ac:dyDescent="0.25"/>
    <row r="26" spans="1:2" ht="15" customHeight="1" x14ac:dyDescent="0.25"/>
    <row r="27" spans="1:2" ht="15" customHeight="1" x14ac:dyDescent="0.25"/>
    <row r="28" spans="1:2" ht="15" customHeight="1" x14ac:dyDescent="0.25"/>
    <row r="29" spans="1:2" ht="15" customHeight="1" x14ac:dyDescent="0.25"/>
    <row r="30" spans="1:2" ht="15" customHeight="1" x14ac:dyDescent="0.25"/>
    <row r="31" spans="1:2" ht="15" customHeight="1" x14ac:dyDescent="0.25"/>
    <row r="32" spans="1: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spans="1:7" ht="15" customHeight="1" x14ac:dyDescent="0.25"/>
    <row r="82" spans="1:7" ht="15" customHeight="1" x14ac:dyDescent="0.25"/>
    <row r="83" spans="1:7" ht="15" customHeight="1" x14ac:dyDescent="0.25">
      <c r="A83" s="28"/>
      <c r="B83" s="25"/>
      <c r="C83" s="25"/>
      <c r="D83" s="25"/>
      <c r="E83" s="25"/>
      <c r="F83" s="25"/>
      <c r="G83" s="25"/>
    </row>
    <row r="84" spans="1:7" ht="15" customHeight="1" thickBot="1" x14ac:dyDescent="0.3">
      <c r="A84" s="39" t="s">
        <v>86</v>
      </c>
      <c r="B84" s="38" t="s">
        <v>0</v>
      </c>
      <c r="C84" s="38" t="s">
        <v>232</v>
      </c>
      <c r="D84" s="38" t="s">
        <v>212</v>
      </c>
      <c r="E84" s="38" t="s">
        <v>222</v>
      </c>
      <c r="F84" s="38" t="s">
        <v>77</v>
      </c>
      <c r="G84" s="38" t="s">
        <v>209</v>
      </c>
    </row>
    <row r="85" spans="1:7" ht="15" customHeight="1" thickTop="1" x14ac:dyDescent="0.25">
      <c r="A85" s="27" t="s">
        <v>91</v>
      </c>
      <c r="B85" s="30">
        <f xml:space="preserve"> 7419</f>
        <v>7419</v>
      </c>
      <c r="C85" s="30">
        <f>B85/ 0.910838470091855</f>
        <v>8145.2422615085843</v>
      </c>
      <c r="D85" s="30">
        <f>(B201/ 1.16747322081524-B85/ 0.910838470091855)/ 117</f>
        <v>31.104121502729527</v>
      </c>
      <c r="E85" s="30">
        <f>$B$11*(B85/C85)+(1-$B$11)* 0.910838470091855</f>
        <v>0.91083847009185503</v>
      </c>
      <c r="F85" s="30"/>
      <c r="G85" s="30"/>
    </row>
    <row r="86" spans="1:7" ht="15" customHeight="1" x14ac:dyDescent="0.25">
      <c r="A86" s="27" t="s">
        <v>92</v>
      </c>
      <c r="B86" s="30">
        <f xml:space="preserve"> 8824</f>
        <v>8824</v>
      </c>
      <c r="C86" s="30">
        <f>$B$9*B86/ 0.847121908541382+(1-$B$9)*(C85+D85)</f>
        <v>8696.821820346946</v>
      </c>
      <c r="D86" s="30">
        <f>$B$10*(C86-C85)+(1-$B$10)*D85</f>
        <v>31.104121502729527</v>
      </c>
      <c r="E86" s="30">
        <f>$B$11*(B86/C86)+(1-$B$11)* 0.847121908541382</f>
        <v>0.84712190854138203</v>
      </c>
      <c r="F86" s="30">
        <f>(C85+D85)* 0.847121908541382</f>
        <v>6926.3621528719705</v>
      </c>
      <c r="G86" s="30">
        <f>B86-F86</f>
        <v>1897.6378471280295</v>
      </c>
    </row>
    <row r="87" spans="1:7" ht="15" customHeight="1" x14ac:dyDescent="0.25">
      <c r="A87" s="27" t="s">
        <v>93</v>
      </c>
      <c r="B87" s="30">
        <f xml:space="preserve"> 11583</f>
        <v>11583</v>
      </c>
      <c r="C87" s="30">
        <f>$B$9*B87/ 0.903272353080337+(1-$B$9)*(C86+D86)</f>
        <v>9679.4819030448998</v>
      </c>
      <c r="D87" s="30">
        <f t="shared" ref="D87:D150" si="0">$B$10*(C87-C86)+(1-$B$10)*D86</f>
        <v>31.104121502729527</v>
      </c>
      <c r="E87" s="30">
        <f>$B$11*(B87/C87)+(1-$B$11)* 0.903272353080337</f>
        <v>0.90327235308033704</v>
      </c>
      <c r="F87" s="30">
        <f>(C86+D86)* 0.903272353080337</f>
        <v>7883.6942030054724</v>
      </c>
      <c r="G87" s="30">
        <f t="shared" ref="G87:G150" si="1">B87-F87</f>
        <v>3699.3057969945276</v>
      </c>
    </row>
    <row r="88" spans="1:7" ht="15" customHeight="1" x14ac:dyDescent="0.25">
      <c r="A88" s="27" t="s">
        <v>94</v>
      </c>
      <c r="B88" s="30">
        <f xml:space="preserve"> 7958</f>
        <v>7958</v>
      </c>
      <c r="C88" s="30">
        <f>$B$9*B88/ 0.978534016838507+(1-$B$9)*(C87+D87)</f>
        <v>9343.943180871147</v>
      </c>
      <c r="D88" s="30">
        <f t="shared" si="0"/>
        <v>31.104121502729527</v>
      </c>
      <c r="E88" s="30">
        <f>$B$11*(B88/C88)+(1-$B$11)* 0.978534016838507</f>
        <v>0.97853401683850705</v>
      </c>
      <c r="F88" s="30">
        <f>(C87+D87)* 0.978534016838507</f>
        <v>9502.1387484564602</v>
      </c>
      <c r="G88" s="30">
        <f t="shared" si="1"/>
        <v>-1544.1387484564602</v>
      </c>
    </row>
    <row r="89" spans="1:7" ht="15" customHeight="1" x14ac:dyDescent="0.25">
      <c r="A89" s="27" t="s">
        <v>95</v>
      </c>
      <c r="B89" s="30">
        <f xml:space="preserve"> 11933</f>
        <v>11933</v>
      </c>
      <c r="C89" s="30">
        <f>$B$9*B89/ 1.04055153468282+(1-$B$9)*(C88+D88)</f>
        <v>9861.323775649058</v>
      </c>
      <c r="D89" s="30">
        <f t="shared" si="0"/>
        <v>31.104121502729527</v>
      </c>
      <c r="E89" s="30">
        <f>$B$11*(B89/C89)+(1-$B$11)* 1.04055153468282</f>
        <v>1.04055153468282</v>
      </c>
      <c r="F89" s="30">
        <f>(C88+D88)* 1.04055153468282</f>
        <v>9755.2198582091678</v>
      </c>
      <c r="G89" s="30">
        <f t="shared" si="1"/>
        <v>2177.7801417908322</v>
      </c>
    </row>
    <row r="90" spans="1:7" ht="15" customHeight="1" x14ac:dyDescent="0.25">
      <c r="A90" s="27" t="s">
        <v>96</v>
      </c>
      <c r="B90" s="30">
        <f xml:space="preserve"> 11227</f>
        <v>11227</v>
      </c>
      <c r="C90" s="30">
        <f>$B$9*B90/ 1.01397154102829+(1-$B$9)*(C89+D89)</f>
        <v>10166.565623671739</v>
      </c>
      <c r="D90" s="30">
        <f t="shared" si="0"/>
        <v>31.104121502729527</v>
      </c>
      <c r="E90" s="30">
        <f>$B$11*(B90/C90)+(1-$B$11)* 1.01397154102829</f>
        <v>1.0139715410282899</v>
      </c>
      <c r="F90" s="30">
        <f>(C89+D89)* 1.01397154102829</f>
        <v>10030.640359386243</v>
      </c>
      <c r="G90" s="30">
        <f t="shared" si="1"/>
        <v>1196.3596406137567</v>
      </c>
    </row>
    <row r="91" spans="1:7" ht="15" customHeight="1" x14ac:dyDescent="0.25">
      <c r="A91" s="27" t="s">
        <v>97</v>
      </c>
      <c r="B91" s="30">
        <f xml:space="preserve"> 11258</f>
        <v>11258</v>
      </c>
      <c r="C91" s="30">
        <f>$B$9*B91/ 1.10664016288395+(1-$B$9)*(C90+D90)</f>
        <v>10191.969274094352</v>
      </c>
      <c r="D91" s="30">
        <f t="shared" si="0"/>
        <v>31.104121502729527</v>
      </c>
      <c r="E91" s="30">
        <f>$B$11*(B91/C91)+(1-$B$11)* 1.10664016288395</f>
        <v>1.10664016288395</v>
      </c>
      <c r="F91" s="30">
        <f>(C90+D90)* 1.10664016288395</f>
        <v>11285.150907836602</v>
      </c>
      <c r="G91" s="30">
        <f t="shared" si="1"/>
        <v>-27.150907836601618</v>
      </c>
    </row>
    <row r="92" spans="1:7" ht="15" customHeight="1" x14ac:dyDescent="0.25">
      <c r="A92" s="27" t="s">
        <v>98</v>
      </c>
      <c r="B92" s="30">
        <f xml:space="preserve"> 15904</f>
        <v>15904</v>
      </c>
      <c r="C92" s="30">
        <f>$B$9*B92/ 1.2089882382274+(1-$B$9)*(C91+D91)</f>
        <v>10904.244903331197</v>
      </c>
      <c r="D92" s="30">
        <f t="shared" si="0"/>
        <v>31.104121502729527</v>
      </c>
      <c r="E92" s="30">
        <f>$B$11*(B92/C92)+(1-$B$11)* 1.2089882382274</f>
        <v>1.2089882382274</v>
      </c>
      <c r="F92" s="30">
        <f>(C91+D91)* 1.2089882382274</f>
        <v>12359.575493812319</v>
      </c>
      <c r="G92" s="30">
        <f t="shared" si="1"/>
        <v>3544.4245061876809</v>
      </c>
    </row>
    <row r="93" spans="1:7" ht="15" customHeight="1" x14ac:dyDescent="0.25">
      <c r="A93" s="27" t="s">
        <v>99</v>
      </c>
      <c r="B93" s="30">
        <f xml:space="preserve"> 14470</f>
        <v>14470</v>
      </c>
      <c r="C93" s="30">
        <f>$B$9*B93/ 1.16747322081524+(1-$B$9)*(C92+D92)</f>
        <v>11274.325934539771</v>
      </c>
      <c r="D93" s="30">
        <f t="shared" si="0"/>
        <v>31.104121502729527</v>
      </c>
      <c r="E93" s="30">
        <f>$B$11*(B93/C93)+(1-$B$11)* 1.16747322081524</f>
        <v>1.1674732208152401</v>
      </c>
      <c r="F93" s="30">
        <f>(C92+D92)* 1.16747322081524</f>
        <v>12766.727146761657</v>
      </c>
      <c r="G93" s="30">
        <f t="shared" si="1"/>
        <v>1703.2728532383426</v>
      </c>
    </row>
    <row r="94" spans="1:7" ht="15" customHeight="1" x14ac:dyDescent="0.25">
      <c r="A94" s="27" t="s">
        <v>100</v>
      </c>
      <c r="B94" s="30">
        <f xml:space="preserve"> 10916</f>
        <v>10916</v>
      </c>
      <c r="C94" s="30">
        <f>$B$9*B94/ 0.960872056306621+(1-$B$9)*(C93+D93)</f>
        <v>11318.228411613563</v>
      </c>
      <c r="D94" s="30">
        <f t="shared" si="0"/>
        <v>31.104121502729527</v>
      </c>
      <c r="E94" s="30">
        <f>$B$11*(B94/C94)+(1-$B$11)* 0.960872056306621</f>
        <v>0.96087205630662098</v>
      </c>
      <c r="F94" s="30">
        <f>(C93+D93)* 0.960872056306621</f>
        <v>10863.071825380233</v>
      </c>
      <c r="G94" s="30">
        <f t="shared" si="1"/>
        <v>52.928174619766651</v>
      </c>
    </row>
    <row r="95" spans="1:7" ht="15" customHeight="1" x14ac:dyDescent="0.25">
      <c r="A95" s="27" t="s">
        <v>101</v>
      </c>
      <c r="B95" s="30">
        <f xml:space="preserve"> 10391</f>
        <v>10391</v>
      </c>
      <c r="C95" s="30">
        <f>$B$9*B95/ 0.992138531656536+(1-$B$9)*(C94+D94)</f>
        <v>11145.799311592074</v>
      </c>
      <c r="D95" s="30">
        <f t="shared" si="0"/>
        <v>31.104121502729527</v>
      </c>
      <c r="E95" s="30">
        <f>$B$11*(B95/C95)+(1-$B$11)* 0.992138531656536</f>
        <v>0.99213853165653598</v>
      </c>
      <c r="F95" s="30">
        <f>(C94+D94)* 0.992138531656536</f>
        <v>11260.110114687752</v>
      </c>
      <c r="G95" s="30">
        <f t="shared" si="1"/>
        <v>-869.11011468775177</v>
      </c>
    </row>
    <row r="96" spans="1:7" ht="15" customHeight="1" x14ac:dyDescent="0.25">
      <c r="A96" s="27" t="s">
        <v>102</v>
      </c>
      <c r="B96" s="30">
        <f xml:space="preserve"> 8481</f>
        <v>8481</v>
      </c>
      <c r="C96" s="30">
        <f>$B$9*B96/ 0.86959779497816+(1-$B$9)*(C95+D95)</f>
        <v>10846.016937414955</v>
      </c>
      <c r="D96" s="30">
        <f t="shared" si="0"/>
        <v>31.104121502729527</v>
      </c>
      <c r="E96" s="30">
        <f>$B$11*(B96/C96)+(1-$B$11)* 0.86959779497816</f>
        <v>0.86959779497816003</v>
      </c>
      <c r="F96" s="30">
        <f>(C95+D95)* 0.86959779497816</f>
        <v>9719.4105801030673</v>
      </c>
      <c r="G96" s="30">
        <f t="shared" si="1"/>
        <v>-1238.4105801030673</v>
      </c>
    </row>
    <row r="97" spans="1:7" ht="15" customHeight="1" x14ac:dyDescent="0.25">
      <c r="A97" s="27" t="s">
        <v>103</v>
      </c>
      <c r="B97" s="30">
        <f xml:space="preserve"> 10120</f>
        <v>10120</v>
      </c>
      <c r="C97" s="30">
        <f>$B$9*B97/E85+(1-$B$9)*(C96+D96)</f>
        <v>10931.378376937693</v>
      </c>
      <c r="D97" s="30">
        <f t="shared" si="0"/>
        <v>31.104121502729527</v>
      </c>
      <c r="E97" s="30">
        <f>$B$11*(B97/C97)+(1-$B$11)*E85</f>
        <v>0.91083847009185503</v>
      </c>
      <c r="F97" s="30">
        <f>(C96+D96)*E85</f>
        <v>9907.3003043084827</v>
      </c>
      <c r="G97" s="30">
        <f t="shared" si="1"/>
        <v>212.69969569151726</v>
      </c>
    </row>
    <row r="98" spans="1:7" ht="15" customHeight="1" x14ac:dyDescent="0.25">
      <c r="A98" s="27" t="s">
        <v>104</v>
      </c>
      <c r="B98" s="30">
        <f xml:space="preserve"> 8910</f>
        <v>8910</v>
      </c>
      <c r="C98" s="30">
        <f t="shared" ref="C98:C161" si="2">$B$9*B98/E86+(1-$B$9)*(C97+D97)</f>
        <v>10859.201590181812</v>
      </c>
      <c r="D98" s="30">
        <f t="shared" si="0"/>
        <v>31.104121502729527</v>
      </c>
      <c r="E98" s="30">
        <f t="shared" ref="E98:E161" si="3">$B$11*(B98/C98)+(1-$B$11)*E86</f>
        <v>0.84712190854138203</v>
      </c>
      <c r="F98" s="30">
        <f t="shared" ref="F98:F161" si="4">(C97+D97)*E86</f>
        <v>9286.5590964303483</v>
      </c>
      <c r="G98" s="30">
        <f t="shared" si="1"/>
        <v>-376.55909643034829</v>
      </c>
    </row>
    <row r="99" spans="1:7" ht="15" customHeight="1" x14ac:dyDescent="0.25">
      <c r="A99" s="27" t="s">
        <v>105</v>
      </c>
      <c r="B99" s="30">
        <f xml:space="preserve"> 9375</f>
        <v>9375</v>
      </c>
      <c r="C99" s="30">
        <f t="shared" si="2"/>
        <v>10771.490127347883</v>
      </c>
      <c r="D99" s="30">
        <f t="shared" si="0"/>
        <v>31.104121502729527</v>
      </c>
      <c r="E99" s="30">
        <f t="shared" si="3"/>
        <v>0.90327235308033704</v>
      </c>
      <c r="F99" s="30">
        <f t="shared" si="4"/>
        <v>9836.9120659575292</v>
      </c>
      <c r="G99" s="30">
        <f t="shared" si="1"/>
        <v>-461.91206595752919</v>
      </c>
    </row>
    <row r="100" spans="1:7" ht="15" customHeight="1" x14ac:dyDescent="0.25">
      <c r="A100" s="27" t="s">
        <v>106</v>
      </c>
      <c r="B100" s="30">
        <f xml:space="preserve"> 12366</f>
        <v>12366</v>
      </c>
      <c r="C100" s="30">
        <f t="shared" si="2"/>
        <v>11228.871822091363</v>
      </c>
      <c r="D100" s="30">
        <f t="shared" si="0"/>
        <v>31.104121502729527</v>
      </c>
      <c r="E100" s="30">
        <f t="shared" si="3"/>
        <v>0.97853401683850705</v>
      </c>
      <c r="F100" s="30">
        <f t="shared" si="4"/>
        <v>10570.705942604343</v>
      </c>
      <c r="G100" s="30">
        <f t="shared" si="1"/>
        <v>1795.2940573956566</v>
      </c>
    </row>
    <row r="101" spans="1:7" ht="15" customHeight="1" x14ac:dyDescent="0.25">
      <c r="A101" s="27" t="s">
        <v>107</v>
      </c>
      <c r="B101" s="30">
        <f xml:space="preserve"> 10808</f>
        <v>10808</v>
      </c>
      <c r="C101" s="30">
        <f t="shared" si="2"/>
        <v>11057.09796620791</v>
      </c>
      <c r="D101" s="30">
        <f t="shared" si="0"/>
        <v>31.104121502729527</v>
      </c>
      <c r="E101" s="30">
        <f t="shared" si="3"/>
        <v>1.04055153468282</v>
      </c>
      <c r="F101" s="30">
        <f t="shared" si="4"/>
        <v>11716.585248598467</v>
      </c>
      <c r="G101" s="30">
        <f t="shared" si="1"/>
        <v>-908.58524859846693</v>
      </c>
    </row>
    <row r="102" spans="1:7" ht="15" customHeight="1" x14ac:dyDescent="0.25">
      <c r="A102" s="27" t="s">
        <v>108</v>
      </c>
      <c r="B102" s="30">
        <f xml:space="preserve"> 11982</f>
        <v>11982</v>
      </c>
      <c r="C102" s="30">
        <f t="shared" si="2"/>
        <v>11257.511135078885</v>
      </c>
      <c r="D102" s="30">
        <f t="shared" si="0"/>
        <v>31.104121502729527</v>
      </c>
      <c r="E102" s="30">
        <f t="shared" si="3"/>
        <v>1.0139715410282899</v>
      </c>
      <c r="F102" s="30">
        <f t="shared" si="4"/>
        <v>11243.121358109058</v>
      </c>
      <c r="G102" s="30">
        <f t="shared" si="1"/>
        <v>738.87864189094216</v>
      </c>
    </row>
    <row r="103" spans="1:7" ht="15" customHeight="1" x14ac:dyDescent="0.25">
      <c r="A103" s="27" t="s">
        <v>109</v>
      </c>
      <c r="B103" s="30">
        <f xml:space="preserve"> 13330</f>
        <v>13330</v>
      </c>
      <c r="C103" s="30">
        <f t="shared" si="2"/>
        <v>11464.466279286105</v>
      </c>
      <c r="D103" s="30">
        <f t="shared" si="0"/>
        <v>31.104121502729527</v>
      </c>
      <c r="E103" s="30">
        <f t="shared" si="3"/>
        <v>1.10664016288395</v>
      </c>
      <c r="F103" s="30">
        <f t="shared" si="4"/>
        <v>12492.435026277719</v>
      </c>
      <c r="G103" s="30">
        <f t="shared" si="1"/>
        <v>837.56497372228114</v>
      </c>
    </row>
    <row r="104" spans="1:7" ht="15" customHeight="1" x14ac:dyDescent="0.25">
      <c r="A104" s="27" t="s">
        <v>110</v>
      </c>
      <c r="B104" s="30">
        <f xml:space="preserve"> 12233</f>
        <v>12233</v>
      </c>
      <c r="C104" s="30">
        <f t="shared" si="2"/>
        <v>11175.587011192129</v>
      </c>
      <c r="D104" s="30">
        <f t="shared" si="0"/>
        <v>31.104121502729527</v>
      </c>
      <c r="E104" s="30">
        <f t="shared" si="3"/>
        <v>1.2089882382274</v>
      </c>
      <c r="F104" s="30">
        <f t="shared" si="4"/>
        <v>13898.009406268739</v>
      </c>
      <c r="G104" s="30">
        <f t="shared" si="1"/>
        <v>-1665.0094062687385</v>
      </c>
    </row>
    <row r="105" spans="1:7" ht="15" customHeight="1" x14ac:dyDescent="0.25">
      <c r="A105" s="27" t="s">
        <v>111</v>
      </c>
      <c r="B105" s="30">
        <f xml:space="preserve"> 12302</f>
        <v>12302</v>
      </c>
      <c r="C105" s="30">
        <f t="shared" si="2"/>
        <v>11051.158534712551</v>
      </c>
      <c r="D105" s="30">
        <f t="shared" si="0"/>
        <v>31.104121502729527</v>
      </c>
      <c r="E105" s="30">
        <f t="shared" si="3"/>
        <v>1.1674732208152401</v>
      </c>
      <c r="F105" s="30">
        <f t="shared" si="4"/>
        <v>13083.511791368855</v>
      </c>
      <c r="G105" s="30">
        <f t="shared" si="1"/>
        <v>-781.51179136885548</v>
      </c>
    </row>
    <row r="106" spans="1:7" ht="15" customHeight="1" x14ac:dyDescent="0.25">
      <c r="A106" s="27" t="s">
        <v>112</v>
      </c>
      <c r="B106" s="30">
        <f xml:space="preserve"> 7227</f>
        <v>7227</v>
      </c>
      <c r="C106" s="30">
        <f t="shared" si="2"/>
        <v>10254.890071269547</v>
      </c>
      <c r="D106" s="30">
        <f t="shared" si="0"/>
        <v>31.104121502729527</v>
      </c>
      <c r="E106" s="30">
        <f t="shared" si="3"/>
        <v>0.96087205630662098</v>
      </c>
      <c r="F106" s="30">
        <f t="shared" si="4"/>
        <v>10648.636507007652</v>
      </c>
      <c r="G106" s="30">
        <f t="shared" si="1"/>
        <v>-3421.6365070076517</v>
      </c>
    </row>
    <row r="107" spans="1:7" ht="15" customHeight="1" x14ac:dyDescent="0.25">
      <c r="A107" s="27" t="s">
        <v>113</v>
      </c>
      <c r="B107" s="30">
        <f xml:space="preserve"> 12660</f>
        <v>12660</v>
      </c>
      <c r="C107" s="30">
        <f t="shared" si="2"/>
        <v>10860.889539079484</v>
      </c>
      <c r="D107" s="30">
        <f t="shared" si="0"/>
        <v>31.104121502729527</v>
      </c>
      <c r="E107" s="30">
        <f t="shared" si="3"/>
        <v>0.99213853165653598</v>
      </c>
      <c r="F107" s="30">
        <f t="shared" si="4"/>
        <v>10205.131175044742</v>
      </c>
      <c r="G107" s="30">
        <f t="shared" si="1"/>
        <v>2454.8688249552579</v>
      </c>
    </row>
    <row r="108" spans="1:7" ht="15" customHeight="1" x14ac:dyDescent="0.25">
      <c r="A108" s="27" t="s">
        <v>114</v>
      </c>
      <c r="B108" s="30">
        <f xml:space="preserve"> 9800</f>
        <v>9800</v>
      </c>
      <c r="C108" s="30">
        <f t="shared" si="2"/>
        <v>10979.723342640958</v>
      </c>
      <c r="D108" s="30">
        <f t="shared" si="0"/>
        <v>31.104121502729527</v>
      </c>
      <c r="E108" s="30">
        <f t="shared" si="3"/>
        <v>0.86959779497816003</v>
      </c>
      <c r="F108" s="30">
        <f t="shared" si="4"/>
        <v>9471.65367015839</v>
      </c>
      <c r="G108" s="30">
        <f t="shared" si="1"/>
        <v>328.34632984160999</v>
      </c>
    </row>
    <row r="109" spans="1:7" ht="15" customHeight="1" x14ac:dyDescent="0.25">
      <c r="A109" s="27" t="s">
        <v>115</v>
      </c>
      <c r="B109" s="30">
        <f xml:space="preserve"> 12004</f>
        <v>12004</v>
      </c>
      <c r="C109" s="30">
        <f t="shared" si="2"/>
        <v>11514.606173111864</v>
      </c>
      <c r="D109" s="30">
        <f t="shared" si="0"/>
        <v>31.104121502729527</v>
      </c>
      <c r="E109" s="30">
        <f t="shared" si="3"/>
        <v>0.91083847009185503</v>
      </c>
      <c r="F109" s="30">
        <f t="shared" si="4"/>
        <v>10029.085241886016</v>
      </c>
      <c r="G109" s="30">
        <f t="shared" si="1"/>
        <v>1974.9147581139841</v>
      </c>
    </row>
    <row r="110" spans="1:7" ht="15" customHeight="1" x14ac:dyDescent="0.25">
      <c r="A110" s="27" t="s">
        <v>116</v>
      </c>
      <c r="B110" s="30">
        <f xml:space="preserve"> 10006</f>
        <v>10006</v>
      </c>
      <c r="C110" s="30">
        <f t="shared" si="2"/>
        <v>11607.525355560556</v>
      </c>
      <c r="D110" s="30">
        <f t="shared" si="0"/>
        <v>31.104121502729527</v>
      </c>
      <c r="E110" s="30">
        <f t="shared" si="3"/>
        <v>0.84712190854138203</v>
      </c>
      <c r="F110" s="30">
        <f t="shared" si="4"/>
        <v>9780.6241402397973</v>
      </c>
      <c r="G110" s="30">
        <f t="shared" si="1"/>
        <v>225.37585976020273</v>
      </c>
    </row>
    <row r="111" spans="1:7" ht="15" customHeight="1" x14ac:dyDescent="0.25">
      <c r="A111" s="27" t="s">
        <v>117</v>
      </c>
      <c r="B111" s="30">
        <f xml:space="preserve"> 8394</f>
        <v>8394</v>
      </c>
      <c r="C111" s="30">
        <f t="shared" si="2"/>
        <v>11093.606549747727</v>
      </c>
      <c r="D111" s="30">
        <f t="shared" si="0"/>
        <v>31.104121502729527</v>
      </c>
      <c r="E111" s="30">
        <f t="shared" si="3"/>
        <v>0.90327235308033704</v>
      </c>
      <c r="F111" s="30">
        <f t="shared" si="4"/>
        <v>10512.852234377126</v>
      </c>
      <c r="G111" s="30">
        <f t="shared" si="1"/>
        <v>-2118.8522343771256</v>
      </c>
    </row>
    <row r="112" spans="1:7" ht="15" customHeight="1" x14ac:dyDescent="0.25">
      <c r="A112" s="27" t="s">
        <v>118</v>
      </c>
      <c r="B112" s="30">
        <f xml:space="preserve"> 9953</f>
        <v>9953</v>
      </c>
      <c r="C112" s="30">
        <f t="shared" si="2"/>
        <v>10903.199504524091</v>
      </c>
      <c r="D112" s="30">
        <f t="shared" si="0"/>
        <v>31.104121502729527</v>
      </c>
      <c r="E112" s="30">
        <f t="shared" si="3"/>
        <v>0.97853401683850705</v>
      </c>
      <c r="F112" s="30">
        <f t="shared" si="4"/>
        <v>10885.907819304912</v>
      </c>
      <c r="G112" s="30">
        <f t="shared" si="1"/>
        <v>-932.90781930491175</v>
      </c>
    </row>
    <row r="113" spans="1:7" ht="15" customHeight="1" x14ac:dyDescent="0.25">
      <c r="A113" s="27" t="s">
        <v>119</v>
      </c>
      <c r="B113" s="30">
        <f xml:space="preserve"> 10461</f>
        <v>10461</v>
      </c>
      <c r="C113" s="30">
        <f t="shared" si="2"/>
        <v>10729.612272761027</v>
      </c>
      <c r="D113" s="30">
        <f t="shared" si="0"/>
        <v>31.104121502729527</v>
      </c>
      <c r="E113" s="30">
        <f t="shared" si="3"/>
        <v>1.04055153468282</v>
      </c>
      <c r="F113" s="30">
        <f t="shared" si="4"/>
        <v>11377.706418750131</v>
      </c>
      <c r="G113" s="30">
        <f t="shared" si="1"/>
        <v>-916.70641875013098</v>
      </c>
    </row>
    <row r="114" spans="1:7" ht="15" customHeight="1" x14ac:dyDescent="0.25">
      <c r="A114" s="27" t="s">
        <v>120</v>
      </c>
      <c r="B114" s="30">
        <f xml:space="preserve"> 10893</f>
        <v>10893</v>
      </c>
      <c r="C114" s="30">
        <f t="shared" si="2"/>
        <v>10756.578024955752</v>
      </c>
      <c r="D114" s="30">
        <f t="shared" si="0"/>
        <v>31.104121502729527</v>
      </c>
      <c r="E114" s="30">
        <f t="shared" si="3"/>
        <v>1.0139715410282899</v>
      </c>
      <c r="F114" s="30">
        <f t="shared" si="4"/>
        <v>10911.060184860004</v>
      </c>
      <c r="G114" s="30">
        <f t="shared" si="1"/>
        <v>-18.060184860003574</v>
      </c>
    </row>
    <row r="115" spans="1:7" ht="15" customHeight="1" x14ac:dyDescent="0.25">
      <c r="A115" s="27" t="s">
        <v>121</v>
      </c>
      <c r="B115" s="30">
        <f xml:space="preserve"> 9212</f>
        <v>9212</v>
      </c>
      <c r="C115" s="30">
        <f t="shared" si="2"/>
        <v>10215.327307917765</v>
      </c>
      <c r="D115" s="30">
        <f t="shared" si="0"/>
        <v>31.104121502729527</v>
      </c>
      <c r="E115" s="30">
        <f t="shared" si="3"/>
        <v>1.10664016288395</v>
      </c>
      <c r="F115" s="30">
        <f t="shared" si="4"/>
        <v>11938.082327697091</v>
      </c>
      <c r="G115" s="30">
        <f t="shared" si="1"/>
        <v>-2726.0823276970914</v>
      </c>
    </row>
    <row r="116" spans="1:7" ht="15" customHeight="1" x14ac:dyDescent="0.25">
      <c r="A116" s="27" t="s">
        <v>122</v>
      </c>
      <c r="B116" s="30">
        <f xml:space="preserve"> 13209</f>
        <v>13209</v>
      </c>
      <c r="C116" s="30">
        <f t="shared" si="2"/>
        <v>10404.24767512258</v>
      </c>
      <c r="D116" s="30">
        <f t="shared" si="0"/>
        <v>31.104121502729527</v>
      </c>
      <c r="E116" s="30">
        <f t="shared" si="3"/>
        <v>1.2089882382274</v>
      </c>
      <c r="F116" s="30">
        <f t="shared" si="4"/>
        <v>12387.815081972944</v>
      </c>
      <c r="G116" s="30">
        <f t="shared" si="1"/>
        <v>821.18491802705648</v>
      </c>
    </row>
    <row r="117" spans="1:7" ht="15" customHeight="1" x14ac:dyDescent="0.25">
      <c r="A117" s="27" t="s">
        <v>123</v>
      </c>
      <c r="B117" s="30">
        <f xml:space="preserve"> 10294</f>
        <v>10294</v>
      </c>
      <c r="C117" s="30">
        <f t="shared" si="2"/>
        <v>10059.413631353607</v>
      </c>
      <c r="D117" s="30">
        <f t="shared" si="0"/>
        <v>31.104121502729527</v>
      </c>
      <c r="E117" s="30">
        <f t="shared" si="3"/>
        <v>1.1674732208152401</v>
      </c>
      <c r="F117" s="30">
        <f t="shared" si="4"/>
        <v>12182.993772346252</v>
      </c>
      <c r="G117" s="30">
        <f t="shared" si="1"/>
        <v>-1888.9937723462517</v>
      </c>
    </row>
    <row r="118" spans="1:7" ht="15" customHeight="1" x14ac:dyDescent="0.25">
      <c r="A118" s="27" t="s">
        <v>124</v>
      </c>
      <c r="B118" s="30">
        <f xml:space="preserve"> 11540</f>
        <v>11540</v>
      </c>
      <c r="C118" s="30">
        <f t="shared" si="2"/>
        <v>10536.481582160144</v>
      </c>
      <c r="D118" s="30">
        <f t="shared" si="0"/>
        <v>31.104121502729527</v>
      </c>
      <c r="E118" s="30">
        <f t="shared" si="3"/>
        <v>0.96087205630662098</v>
      </c>
      <c r="F118" s="30">
        <f t="shared" si="4"/>
        <v>9695.6965423855327</v>
      </c>
      <c r="G118" s="30">
        <f t="shared" si="1"/>
        <v>1844.3034576144673</v>
      </c>
    </row>
    <row r="119" spans="1:7" ht="15" customHeight="1" x14ac:dyDescent="0.25">
      <c r="A119" s="27" t="s">
        <v>125</v>
      </c>
      <c r="B119" s="30">
        <f xml:space="preserve"> 10219</f>
        <v>10219</v>
      </c>
      <c r="C119" s="30">
        <f t="shared" si="2"/>
        <v>10505.407282646158</v>
      </c>
      <c r="D119" s="30">
        <f t="shared" si="0"/>
        <v>31.104121502729527</v>
      </c>
      <c r="E119" s="30">
        <f t="shared" si="3"/>
        <v>0.99213853165653598</v>
      </c>
      <c r="F119" s="30">
        <f t="shared" si="4"/>
        <v>10484.508963186685</v>
      </c>
      <c r="G119" s="30">
        <f t="shared" si="1"/>
        <v>-265.50896318668492</v>
      </c>
    </row>
    <row r="120" spans="1:7" ht="15" customHeight="1" x14ac:dyDescent="0.25">
      <c r="A120" s="27" t="s">
        <v>126</v>
      </c>
      <c r="B120" s="30">
        <f xml:space="preserve"> 10230</f>
        <v>10230</v>
      </c>
      <c r="C120" s="30">
        <f t="shared" si="2"/>
        <v>10821.725676496128</v>
      </c>
      <c r="D120" s="30">
        <f t="shared" si="0"/>
        <v>31.104121502729527</v>
      </c>
      <c r="E120" s="30">
        <f t="shared" si="3"/>
        <v>0.86959779497816003</v>
      </c>
      <c r="F120" s="30">
        <f t="shared" si="4"/>
        <v>9162.5270838101096</v>
      </c>
      <c r="G120" s="30">
        <f t="shared" si="1"/>
        <v>1067.4729161898904</v>
      </c>
    </row>
    <row r="121" spans="1:7" ht="15" customHeight="1" x14ac:dyDescent="0.25">
      <c r="A121" s="27" t="s">
        <v>127</v>
      </c>
      <c r="B121" s="30">
        <f xml:space="preserve"> 9985</f>
        <v>9985</v>
      </c>
      <c r="C121" s="30">
        <f t="shared" si="2"/>
        <v>10878.294069378599</v>
      </c>
      <c r="D121" s="30">
        <f t="shared" si="0"/>
        <v>31.104121502729527</v>
      </c>
      <c r="E121" s="30">
        <f t="shared" si="3"/>
        <v>0.91083847009185503</v>
      </c>
      <c r="F121" s="30">
        <f t="shared" si="4"/>
        <v>9885.1748893765744</v>
      </c>
      <c r="G121" s="30">
        <f t="shared" si="1"/>
        <v>99.825110623425644</v>
      </c>
    </row>
    <row r="122" spans="1:7" ht="15" customHeight="1" x14ac:dyDescent="0.25">
      <c r="A122" s="27" t="s">
        <v>128</v>
      </c>
      <c r="B122" s="30">
        <f xml:space="preserve"> 6832</f>
        <v>6832</v>
      </c>
      <c r="C122" s="30">
        <f t="shared" si="2"/>
        <v>10248.506797073416</v>
      </c>
      <c r="D122" s="30">
        <f t="shared" si="0"/>
        <v>31.104121502729527</v>
      </c>
      <c r="E122" s="30">
        <f t="shared" si="3"/>
        <v>0.84712190854138203</v>
      </c>
      <c r="F122" s="30">
        <f t="shared" si="4"/>
        <v>9241.5902164972904</v>
      </c>
      <c r="G122" s="30">
        <f t="shared" si="1"/>
        <v>-2409.5902164972904</v>
      </c>
    </row>
    <row r="123" spans="1:7" ht="15" customHeight="1" x14ac:dyDescent="0.25">
      <c r="A123" s="27" t="s">
        <v>129</v>
      </c>
      <c r="B123" s="30">
        <f xml:space="preserve"> 9050</f>
        <v>9050</v>
      </c>
      <c r="C123" s="30">
        <f t="shared" si="2"/>
        <v>10219.088745543699</v>
      </c>
      <c r="D123" s="30">
        <f t="shared" si="0"/>
        <v>31.104121502729527</v>
      </c>
      <c r="E123" s="30">
        <f t="shared" si="3"/>
        <v>0.90327235308033704</v>
      </c>
      <c r="F123" s="30">
        <f t="shared" si="4"/>
        <v>9285.2883431726004</v>
      </c>
      <c r="G123" s="30">
        <f t="shared" si="1"/>
        <v>-235.28834317260043</v>
      </c>
    </row>
    <row r="124" spans="1:7" ht="15" customHeight="1" x14ac:dyDescent="0.25">
      <c r="A124" s="27" t="s">
        <v>130</v>
      </c>
      <c r="B124" s="30">
        <f xml:space="preserve"> 10082</f>
        <v>10082</v>
      </c>
      <c r="C124" s="30">
        <f t="shared" si="2"/>
        <v>10262.501272138623</v>
      </c>
      <c r="D124" s="30">
        <f t="shared" si="0"/>
        <v>31.104121502729527</v>
      </c>
      <c r="E124" s="30">
        <f t="shared" si="3"/>
        <v>0.97853401683850705</v>
      </c>
      <c r="F124" s="30">
        <f t="shared" si="4"/>
        <v>10030.162399560353</v>
      </c>
      <c r="G124" s="30">
        <f t="shared" si="1"/>
        <v>51.837600439646849</v>
      </c>
    </row>
    <row r="125" spans="1:7" ht="15" customHeight="1" x14ac:dyDescent="0.25">
      <c r="A125" s="27" t="s">
        <v>131</v>
      </c>
      <c r="B125" s="30">
        <f xml:space="preserve"> 10659</f>
        <v>10659</v>
      </c>
      <c r="C125" s="30">
        <f t="shared" si="2"/>
        <v>10281.988310728006</v>
      </c>
      <c r="D125" s="30">
        <f t="shared" si="0"/>
        <v>31.104121502729527</v>
      </c>
      <c r="E125" s="30">
        <f t="shared" si="3"/>
        <v>1.04055153468282</v>
      </c>
      <c r="F125" s="30">
        <f t="shared" si="4"/>
        <v>10711.026889772862</v>
      </c>
      <c r="G125" s="30">
        <f t="shared" si="1"/>
        <v>-52.026889772861978</v>
      </c>
    </row>
    <row r="126" spans="1:7" ht="15" customHeight="1" x14ac:dyDescent="0.25">
      <c r="A126" s="27" t="s">
        <v>132</v>
      </c>
      <c r="B126" s="30">
        <f xml:space="preserve"> 11458</f>
        <v>11458</v>
      </c>
      <c r="C126" s="30">
        <f t="shared" si="2"/>
        <v>10542.423061445752</v>
      </c>
      <c r="D126" s="30">
        <f t="shared" si="0"/>
        <v>31.104121502729527</v>
      </c>
      <c r="E126" s="30">
        <f t="shared" si="3"/>
        <v>1.0139715410282899</v>
      </c>
      <c r="F126" s="30">
        <f t="shared" si="4"/>
        <v>10457.182226276193</v>
      </c>
      <c r="G126" s="30">
        <f t="shared" si="1"/>
        <v>1000.8177737238075</v>
      </c>
    </row>
    <row r="127" spans="1:7" ht="15" customHeight="1" x14ac:dyDescent="0.25">
      <c r="A127" s="27" t="s">
        <v>133</v>
      </c>
      <c r="B127" s="30">
        <f xml:space="preserve"> 10867</f>
        <v>10867</v>
      </c>
      <c r="C127" s="30">
        <f t="shared" si="2"/>
        <v>10398.405781390496</v>
      </c>
      <c r="D127" s="30">
        <f t="shared" si="0"/>
        <v>31.104121502729527</v>
      </c>
      <c r="E127" s="30">
        <f t="shared" si="3"/>
        <v>1.10664016288395</v>
      </c>
      <c r="F127" s="30">
        <f t="shared" si="4"/>
        <v>11701.08984399598</v>
      </c>
      <c r="G127" s="30">
        <f t="shared" si="1"/>
        <v>-834.08984399598012</v>
      </c>
    </row>
    <row r="128" spans="1:7" ht="15" customHeight="1" x14ac:dyDescent="0.25">
      <c r="A128" s="27" t="s">
        <v>134</v>
      </c>
      <c r="B128" s="30">
        <f xml:space="preserve"> 12409</f>
        <v>12409</v>
      </c>
      <c r="C128" s="30">
        <f t="shared" si="2"/>
        <v>10391.043926610702</v>
      </c>
      <c r="D128" s="30">
        <f t="shared" si="0"/>
        <v>31.104121502729527</v>
      </c>
      <c r="E128" s="30">
        <f t="shared" si="3"/>
        <v>1.2089882382274</v>
      </c>
      <c r="F128" s="30">
        <f t="shared" si="4"/>
        <v>12609.154803074101</v>
      </c>
      <c r="G128" s="30">
        <f t="shared" si="1"/>
        <v>-200.15480307410144</v>
      </c>
    </row>
    <row r="129" spans="1:7" ht="15" customHeight="1" x14ac:dyDescent="0.25">
      <c r="A129" s="27" t="s">
        <v>135</v>
      </c>
      <c r="B129" s="30">
        <f xml:space="preserve"> 11869</f>
        <v>11869</v>
      </c>
      <c r="C129" s="30">
        <f t="shared" si="2"/>
        <v>10362.726387260962</v>
      </c>
      <c r="D129" s="30">
        <f t="shared" si="0"/>
        <v>31.104121502729527</v>
      </c>
      <c r="E129" s="30">
        <f t="shared" si="3"/>
        <v>1.1674732208152401</v>
      </c>
      <c r="F129" s="30">
        <f t="shared" si="4"/>
        <v>12167.578749544255</v>
      </c>
      <c r="G129" s="30">
        <f t="shared" si="1"/>
        <v>-298.57874954425461</v>
      </c>
    </row>
    <row r="130" spans="1:7" ht="15" customHeight="1" x14ac:dyDescent="0.25">
      <c r="A130" s="27" t="s">
        <v>136</v>
      </c>
      <c r="B130" s="30">
        <f xml:space="preserve"> 8729</f>
        <v>8729</v>
      </c>
      <c r="C130" s="30">
        <f t="shared" si="2"/>
        <v>10089.604267199291</v>
      </c>
      <c r="D130" s="30">
        <f t="shared" si="0"/>
        <v>31.104121502729527</v>
      </c>
      <c r="E130" s="30">
        <f t="shared" si="3"/>
        <v>0.96087205630662098</v>
      </c>
      <c r="F130" s="30">
        <f t="shared" si="4"/>
        <v>9987.1412938582598</v>
      </c>
      <c r="G130" s="30">
        <f t="shared" si="1"/>
        <v>-1258.1412938582598</v>
      </c>
    </row>
    <row r="131" spans="1:7" ht="15" customHeight="1" x14ac:dyDescent="0.25">
      <c r="A131" s="27" t="s">
        <v>137</v>
      </c>
      <c r="B131" s="30">
        <f xml:space="preserve"> 10665</f>
        <v>10665</v>
      </c>
      <c r="C131" s="30">
        <f t="shared" si="2"/>
        <v>10266.806408501387</v>
      </c>
      <c r="D131" s="30">
        <f t="shared" si="0"/>
        <v>31.104121502729527</v>
      </c>
      <c r="E131" s="30">
        <f t="shared" si="3"/>
        <v>0.99213853165653598</v>
      </c>
      <c r="F131" s="30">
        <f t="shared" si="4"/>
        <v>10041.144760090809</v>
      </c>
      <c r="G131" s="30">
        <f t="shared" si="1"/>
        <v>623.85523990919137</v>
      </c>
    </row>
    <row r="132" spans="1:7" ht="15" customHeight="1" x14ac:dyDescent="0.25">
      <c r="A132" s="27" t="s">
        <v>138</v>
      </c>
      <c r="B132" s="30">
        <f xml:space="preserve"> 8003</f>
        <v>8003</v>
      </c>
      <c r="C132" s="30">
        <f t="shared" si="2"/>
        <v>10043.538288446623</v>
      </c>
      <c r="D132" s="30">
        <f t="shared" si="0"/>
        <v>31.104121502729527</v>
      </c>
      <c r="E132" s="30">
        <f t="shared" si="3"/>
        <v>0.86959779497816003</v>
      </c>
      <c r="F132" s="30">
        <f t="shared" si="4"/>
        <v>8955.040289773955</v>
      </c>
      <c r="G132" s="30">
        <f t="shared" si="1"/>
        <v>-952.04028977395501</v>
      </c>
    </row>
    <row r="133" spans="1:7" ht="15" customHeight="1" x14ac:dyDescent="0.25">
      <c r="A133" s="27" t="s">
        <v>139</v>
      </c>
      <c r="B133" s="30">
        <f xml:space="preserve"> 9224</f>
        <v>9224</v>
      </c>
      <c r="C133" s="30">
        <f t="shared" si="2"/>
        <v>10086.79181184504</v>
      </c>
      <c r="D133" s="30">
        <f t="shared" si="0"/>
        <v>31.104121502729527</v>
      </c>
      <c r="E133" s="30">
        <f t="shared" si="3"/>
        <v>0.91083847009185503</v>
      </c>
      <c r="F133" s="30">
        <f t="shared" si="4"/>
        <v>9176.3718794007873</v>
      </c>
      <c r="G133" s="30">
        <f t="shared" si="1"/>
        <v>47.628120599212707</v>
      </c>
    </row>
    <row r="134" spans="1:7" ht="15" customHeight="1" x14ac:dyDescent="0.25">
      <c r="A134" s="27" t="s">
        <v>140</v>
      </c>
      <c r="B134" s="30">
        <f xml:space="preserve"> 9140</f>
        <v>9140</v>
      </c>
      <c r="C134" s="30">
        <f t="shared" si="2"/>
        <v>10273.933608222527</v>
      </c>
      <c r="D134" s="30">
        <f t="shared" si="0"/>
        <v>31.104121502729527</v>
      </c>
      <c r="E134" s="30">
        <f t="shared" si="3"/>
        <v>0.84712190854138203</v>
      </c>
      <c r="F134" s="30">
        <f t="shared" si="4"/>
        <v>8571.0913134806506</v>
      </c>
      <c r="G134" s="30">
        <f t="shared" si="1"/>
        <v>568.90868651934943</v>
      </c>
    </row>
    <row r="135" spans="1:7" ht="15" customHeight="1" x14ac:dyDescent="0.25">
      <c r="A135" s="27" t="s">
        <v>141</v>
      </c>
      <c r="B135" s="30">
        <f xml:space="preserve"> 11616</f>
        <v>11616</v>
      </c>
      <c r="C135" s="30">
        <f t="shared" si="2"/>
        <v>10898.648527627243</v>
      </c>
      <c r="D135" s="30">
        <f t="shared" si="0"/>
        <v>31.104121502729527</v>
      </c>
      <c r="E135" s="30">
        <f t="shared" si="3"/>
        <v>0.90327235308033704</v>
      </c>
      <c r="F135" s="30">
        <f t="shared" si="4"/>
        <v>9308.2556787105859</v>
      </c>
      <c r="G135" s="30">
        <f t="shared" si="1"/>
        <v>2307.7443212894141</v>
      </c>
    </row>
    <row r="136" spans="1:7" ht="15" customHeight="1" x14ac:dyDescent="0.25">
      <c r="A136" s="27" t="s">
        <v>142</v>
      </c>
      <c r="B136" s="30">
        <f xml:space="preserve"> 9428</f>
        <v>9428</v>
      </c>
      <c r="C136" s="30">
        <f t="shared" si="2"/>
        <v>10628.882087323036</v>
      </c>
      <c r="D136" s="30">
        <f t="shared" si="0"/>
        <v>31.104121502729527</v>
      </c>
      <c r="E136" s="30">
        <f t="shared" si="3"/>
        <v>0.97853401683850705</v>
      </c>
      <c r="F136" s="30">
        <f t="shared" si="4"/>
        <v>10695.134762804466</v>
      </c>
      <c r="G136" s="30">
        <f t="shared" si="1"/>
        <v>-1267.1347628044659</v>
      </c>
    </row>
    <row r="137" spans="1:7" ht="15" customHeight="1" x14ac:dyDescent="0.25">
      <c r="A137" s="27" t="s">
        <v>143</v>
      </c>
      <c r="B137" s="30">
        <f xml:space="preserve"> 14249</f>
        <v>14249</v>
      </c>
      <c r="C137" s="30">
        <f t="shared" si="2"/>
        <v>11364.853485778649</v>
      </c>
      <c r="D137" s="30">
        <f t="shared" si="0"/>
        <v>31.104121502729527</v>
      </c>
      <c r="E137" s="30">
        <f t="shared" si="3"/>
        <v>1.04055153468282</v>
      </c>
      <c r="F137" s="30">
        <f t="shared" si="4"/>
        <v>11092.265009291346</v>
      </c>
      <c r="G137" s="30">
        <f t="shared" si="1"/>
        <v>3156.7349907086536</v>
      </c>
    </row>
    <row r="138" spans="1:7" ht="15" customHeight="1" x14ac:dyDescent="0.25">
      <c r="A138" s="27" t="s">
        <v>144</v>
      </c>
      <c r="B138" s="30">
        <f xml:space="preserve"> 9511</f>
        <v>9511</v>
      </c>
      <c r="C138" s="30">
        <f t="shared" si="2"/>
        <v>10927.5483320326</v>
      </c>
      <c r="D138" s="30">
        <f t="shared" si="0"/>
        <v>31.104121502729527</v>
      </c>
      <c r="E138" s="30">
        <f t="shared" si="3"/>
        <v>1.0139715410282899</v>
      </c>
      <c r="F138" s="30">
        <f t="shared" si="4"/>
        <v>11555.176696548162</v>
      </c>
      <c r="G138" s="30">
        <f t="shared" si="1"/>
        <v>-2044.176696548162</v>
      </c>
    </row>
    <row r="139" spans="1:7" ht="15" customHeight="1" x14ac:dyDescent="0.25">
      <c r="A139" s="27" t="s">
        <v>145</v>
      </c>
      <c r="B139" s="30">
        <f xml:space="preserve"> 12094</f>
        <v>12094</v>
      </c>
      <c r="C139" s="30">
        <f t="shared" si="2"/>
        <v>10951.664112033955</v>
      </c>
      <c r="D139" s="30">
        <f t="shared" si="0"/>
        <v>31.104121502729527</v>
      </c>
      <c r="E139" s="30">
        <f t="shared" si="3"/>
        <v>1.10664016288395</v>
      </c>
      <c r="F139" s="30">
        <f t="shared" si="4"/>
        <v>12127.284936168935</v>
      </c>
      <c r="G139" s="30">
        <f t="shared" si="1"/>
        <v>-33.284936168935019</v>
      </c>
    </row>
    <row r="140" spans="1:7" ht="15" customHeight="1" x14ac:dyDescent="0.25">
      <c r="A140" s="27" t="s">
        <v>146</v>
      </c>
      <c r="B140" s="30">
        <f xml:space="preserve"> 13273</f>
        <v>13273</v>
      </c>
      <c r="C140" s="30">
        <f t="shared" si="2"/>
        <v>10981.800098507205</v>
      </c>
      <c r="D140" s="30">
        <f t="shared" si="0"/>
        <v>31.104121502729527</v>
      </c>
      <c r="E140" s="30">
        <f t="shared" si="3"/>
        <v>1.2089882382274</v>
      </c>
      <c r="F140" s="30">
        <f t="shared" si="4"/>
        <v>13278.03761752337</v>
      </c>
      <c r="G140" s="30">
        <f t="shared" si="1"/>
        <v>-5.0376175233704998</v>
      </c>
    </row>
    <row r="141" spans="1:7" ht="15" customHeight="1" x14ac:dyDescent="0.25">
      <c r="A141" s="27" t="s">
        <v>147</v>
      </c>
      <c r="B141" s="30">
        <f xml:space="preserve"> 11184</f>
        <v>11184</v>
      </c>
      <c r="C141" s="30">
        <f t="shared" si="2"/>
        <v>10679.89817794374</v>
      </c>
      <c r="D141" s="30">
        <f t="shared" si="0"/>
        <v>31.104121502729527</v>
      </c>
      <c r="E141" s="30">
        <f t="shared" si="3"/>
        <v>1.1674732208152401</v>
      </c>
      <c r="F141" s="30">
        <f t="shared" si="4"/>
        <v>12857.270760264746</v>
      </c>
      <c r="G141" s="30">
        <f t="shared" si="1"/>
        <v>-1673.2707602647461</v>
      </c>
    </row>
    <row r="142" spans="1:7" ht="15" customHeight="1" x14ac:dyDescent="0.25">
      <c r="A142" s="27" t="s">
        <v>148</v>
      </c>
      <c r="B142" s="30">
        <f xml:space="preserve"> 10793</f>
        <v>10793</v>
      </c>
      <c r="C142" s="30">
        <f t="shared" si="2"/>
        <v>10832.170658808867</v>
      </c>
      <c r="D142" s="30">
        <f t="shared" si="0"/>
        <v>31.104121502729527</v>
      </c>
      <c r="E142" s="30">
        <f t="shared" si="3"/>
        <v>0.96087205630662098</v>
      </c>
      <c r="F142" s="30">
        <f t="shared" si="4"/>
        <v>10291.902804574074</v>
      </c>
      <c r="G142" s="30">
        <f t="shared" si="1"/>
        <v>501.09719542592575</v>
      </c>
    </row>
    <row r="143" spans="1:7" ht="15" customHeight="1" x14ac:dyDescent="0.25">
      <c r="A143" s="27" t="s">
        <v>149</v>
      </c>
      <c r="B143" s="30">
        <f xml:space="preserve"> 8693</f>
        <v>8693</v>
      </c>
      <c r="C143" s="30">
        <f t="shared" si="2"/>
        <v>10375.027076572858</v>
      </c>
      <c r="D143" s="30">
        <f t="shared" si="0"/>
        <v>31.104121502729527</v>
      </c>
      <c r="E143" s="30">
        <f t="shared" si="3"/>
        <v>0.99213853165653598</v>
      </c>
      <c r="F143" s="30">
        <f t="shared" si="4"/>
        <v>10777.873489519825</v>
      </c>
      <c r="G143" s="30">
        <f t="shared" si="1"/>
        <v>-2084.8734895198249</v>
      </c>
    </row>
    <row r="144" spans="1:7" ht="15" customHeight="1" x14ac:dyDescent="0.25">
      <c r="A144" s="27" t="s">
        <v>150</v>
      </c>
      <c r="B144" s="30">
        <f xml:space="preserve"> 8479</f>
        <v>8479</v>
      </c>
      <c r="C144" s="30">
        <f t="shared" si="2"/>
        <v>10253.79519337527</v>
      </c>
      <c r="D144" s="30">
        <f t="shared" si="0"/>
        <v>31.104121502729527</v>
      </c>
      <c r="E144" s="30">
        <f t="shared" si="3"/>
        <v>0.86959779497816003</v>
      </c>
      <c r="F144" s="30">
        <f t="shared" si="4"/>
        <v>9049.1487440999699</v>
      </c>
      <c r="G144" s="30">
        <f t="shared" si="1"/>
        <v>-570.14874409996992</v>
      </c>
    </row>
    <row r="145" spans="1:7" ht="15" customHeight="1" x14ac:dyDescent="0.25">
      <c r="A145" s="27" t="s">
        <v>151</v>
      </c>
      <c r="B145" s="30">
        <f xml:space="preserve"> 8120</f>
        <v>8120</v>
      </c>
      <c r="C145" s="30">
        <f t="shared" si="2"/>
        <v>9966.57855765774</v>
      </c>
      <c r="D145" s="30">
        <f t="shared" si="0"/>
        <v>31.104121502729527</v>
      </c>
      <c r="E145" s="30">
        <f t="shared" si="3"/>
        <v>0.91083847009185503</v>
      </c>
      <c r="F145" s="30">
        <f t="shared" si="4"/>
        <v>9367.881957012245</v>
      </c>
      <c r="G145" s="30">
        <f t="shared" si="1"/>
        <v>-1247.881957012245</v>
      </c>
    </row>
    <row r="146" spans="1:7" ht="15" customHeight="1" x14ac:dyDescent="0.25">
      <c r="A146" s="27" t="s">
        <v>152</v>
      </c>
      <c r="B146" s="30">
        <f xml:space="preserve"> 9239</f>
        <v>9239</v>
      </c>
      <c r="C146" s="30">
        <f t="shared" si="2"/>
        <v>10208.804537266074</v>
      </c>
      <c r="D146" s="30">
        <f t="shared" si="0"/>
        <v>31.104121502729527</v>
      </c>
      <c r="E146" s="30">
        <f t="shared" si="3"/>
        <v>0.84712190854138203</v>
      </c>
      <c r="F146" s="30">
        <f t="shared" si="4"/>
        <v>8469.2560321615347</v>
      </c>
      <c r="G146" s="30">
        <f t="shared" si="1"/>
        <v>769.74396783846532</v>
      </c>
    </row>
    <row r="147" spans="1:7" ht="15" customHeight="1" x14ac:dyDescent="0.25">
      <c r="A147" s="27" t="s">
        <v>153</v>
      </c>
      <c r="B147" s="30">
        <f xml:space="preserve"> 9266</f>
        <v>9266</v>
      </c>
      <c r="C147" s="30">
        <f t="shared" si="2"/>
        <v>10244.171814804846</v>
      </c>
      <c r="D147" s="30">
        <f t="shared" si="0"/>
        <v>31.104121502729527</v>
      </c>
      <c r="E147" s="30">
        <f t="shared" si="3"/>
        <v>0.90327235308033704</v>
      </c>
      <c r="F147" s="30">
        <f t="shared" si="4"/>
        <v>9249.4263895338154</v>
      </c>
      <c r="G147" s="30">
        <f t="shared" si="1"/>
        <v>16.573610466184618</v>
      </c>
    </row>
    <row r="148" spans="1:7" ht="15" customHeight="1" x14ac:dyDescent="0.25">
      <c r="A148" s="27" t="s">
        <v>154</v>
      </c>
      <c r="B148" s="30">
        <f xml:space="preserve"> 8652</f>
        <v>8652</v>
      </c>
      <c r="C148" s="30">
        <f t="shared" si="2"/>
        <v>9942.2148709938883</v>
      </c>
      <c r="D148" s="30">
        <f t="shared" si="0"/>
        <v>31.104121502729527</v>
      </c>
      <c r="E148" s="30">
        <f t="shared" si="3"/>
        <v>0.97853401683850705</v>
      </c>
      <c r="F148" s="30">
        <f t="shared" si="4"/>
        <v>10054.707036079102</v>
      </c>
      <c r="G148" s="30">
        <f t="shared" si="1"/>
        <v>-1402.7070360791022</v>
      </c>
    </row>
    <row r="149" spans="1:7" ht="15" customHeight="1" x14ac:dyDescent="0.25">
      <c r="A149" s="27" t="s">
        <v>155</v>
      </c>
      <c r="B149" s="30">
        <f xml:space="preserve"> 12405</f>
        <v>12405</v>
      </c>
      <c r="C149" s="30">
        <f t="shared" si="2"/>
        <v>10425.98306196737</v>
      </c>
      <c r="D149" s="30">
        <f t="shared" si="0"/>
        <v>31.104121502729527</v>
      </c>
      <c r="E149" s="30">
        <f t="shared" si="3"/>
        <v>1.04055153468282</v>
      </c>
      <c r="F149" s="30">
        <f t="shared" si="4"/>
        <v>10377.752383523672</v>
      </c>
      <c r="G149" s="30">
        <f t="shared" si="1"/>
        <v>2027.2476164763284</v>
      </c>
    </row>
    <row r="150" spans="1:7" ht="15" customHeight="1" x14ac:dyDescent="0.25">
      <c r="A150" s="27" t="s">
        <v>156</v>
      </c>
      <c r="B150" s="30">
        <f xml:space="preserve"> 8964</f>
        <v>8964</v>
      </c>
      <c r="C150" s="30">
        <f t="shared" si="2"/>
        <v>10081.478146368154</v>
      </c>
      <c r="D150" s="30">
        <f t="shared" si="0"/>
        <v>31.104121502729527</v>
      </c>
      <c r="E150" s="30">
        <f t="shared" si="3"/>
        <v>1.0139715410282899</v>
      </c>
      <c r="F150" s="30">
        <f t="shared" si="4"/>
        <v>10603.188806090357</v>
      </c>
      <c r="G150" s="30">
        <f t="shared" si="1"/>
        <v>-1639.1888060903566</v>
      </c>
    </row>
    <row r="151" spans="1:7" ht="15" customHeight="1" x14ac:dyDescent="0.25">
      <c r="A151" s="27" t="s">
        <v>157</v>
      </c>
      <c r="B151" s="30">
        <f xml:space="preserve"> 11521</f>
        <v>11521</v>
      </c>
      <c r="C151" s="30">
        <f t="shared" si="2"/>
        <v>10181.86960995468</v>
      </c>
      <c r="D151" s="30">
        <f t="shared" ref="D151:D201" si="5">$B$10*(C151-C150)+(1-$B$10)*D150</f>
        <v>31.104121502729527</v>
      </c>
      <c r="E151" s="30">
        <f t="shared" si="3"/>
        <v>1.10664016288395</v>
      </c>
      <c r="F151" s="30">
        <f t="shared" si="4"/>
        <v>11190.989688093978</v>
      </c>
      <c r="G151" s="30">
        <f t="shared" ref="G151:G201" si="6">B151-F151</f>
        <v>330.01031190602225</v>
      </c>
    </row>
    <row r="152" spans="1:7" ht="15" customHeight="1" x14ac:dyDescent="0.25">
      <c r="A152" s="27" t="s">
        <v>158</v>
      </c>
      <c r="B152" s="30">
        <f xml:space="preserve"> 12368</f>
        <v>12368</v>
      </c>
      <c r="C152" s="30">
        <f t="shared" si="2"/>
        <v>10216.939366276689</v>
      </c>
      <c r="D152" s="30">
        <f t="shared" si="5"/>
        <v>31.104121502729527</v>
      </c>
      <c r="E152" s="30">
        <f t="shared" si="3"/>
        <v>1.2089882382274</v>
      </c>
      <c r="F152" s="30">
        <f t="shared" si="4"/>
        <v>12347.365118657408</v>
      </c>
      <c r="G152" s="30">
        <f t="shared" si="6"/>
        <v>20.634881342592053</v>
      </c>
    </row>
    <row r="153" spans="1:7" ht="15" customHeight="1" x14ac:dyDescent="0.25">
      <c r="A153" s="27" t="s">
        <v>159</v>
      </c>
      <c r="B153" s="30">
        <f xml:space="preserve"> 12729</f>
        <v>12729</v>
      </c>
      <c r="C153" s="30">
        <f t="shared" si="2"/>
        <v>10400.22703502798</v>
      </c>
      <c r="D153" s="30">
        <f t="shared" si="5"/>
        <v>31.104121502729527</v>
      </c>
      <c r="E153" s="30">
        <f t="shared" si="3"/>
        <v>1.1674732208152401</v>
      </c>
      <c r="F153" s="30">
        <f t="shared" si="4"/>
        <v>11964.316337732484</v>
      </c>
      <c r="G153" s="30">
        <f t="shared" si="6"/>
        <v>764.68366226751641</v>
      </c>
    </row>
    <row r="154" spans="1:7" ht="15" customHeight="1" x14ac:dyDescent="0.25">
      <c r="A154" s="27" t="s">
        <v>160</v>
      </c>
      <c r="B154" s="30">
        <f xml:space="preserve"> 10956</f>
        <v>10956</v>
      </c>
      <c r="C154" s="30">
        <f t="shared" si="2"/>
        <v>10656.894025556736</v>
      </c>
      <c r="D154" s="30">
        <f t="shared" si="5"/>
        <v>31.104121502729527</v>
      </c>
      <c r="E154" s="30">
        <f t="shared" si="3"/>
        <v>0.96087205630662098</v>
      </c>
      <c r="F154" s="30">
        <f t="shared" si="4"/>
        <v>10023.174618390985</v>
      </c>
      <c r="G154" s="30">
        <f t="shared" si="6"/>
        <v>932.82538160901458</v>
      </c>
    </row>
    <row r="155" spans="1:7" ht="15" customHeight="1" x14ac:dyDescent="0.25">
      <c r="A155" s="27" t="s">
        <v>161</v>
      </c>
      <c r="B155" s="30">
        <f xml:space="preserve"> 12069</f>
        <v>12069</v>
      </c>
      <c r="C155" s="30">
        <f t="shared" si="2"/>
        <v>11031.086204578525</v>
      </c>
      <c r="D155" s="30">
        <f t="shared" si="5"/>
        <v>31.104121502729527</v>
      </c>
      <c r="E155" s="30">
        <f t="shared" si="3"/>
        <v>0.99213853165653598</v>
      </c>
      <c r="F155" s="30">
        <f t="shared" si="4"/>
        <v>10603.974787971354</v>
      </c>
      <c r="G155" s="30">
        <f t="shared" si="6"/>
        <v>1465.0252120286459</v>
      </c>
    </row>
    <row r="156" spans="1:7" ht="15" customHeight="1" x14ac:dyDescent="0.25">
      <c r="A156" s="27" t="s">
        <v>162</v>
      </c>
      <c r="B156" s="30">
        <f xml:space="preserve"> 9902</f>
        <v>9902</v>
      </c>
      <c r="C156" s="30">
        <f t="shared" si="2"/>
        <v>11137.628725870019</v>
      </c>
      <c r="D156" s="30">
        <f t="shared" si="5"/>
        <v>31.104121502729527</v>
      </c>
      <c r="E156" s="30">
        <f t="shared" si="3"/>
        <v>0.86959779497816003</v>
      </c>
      <c r="F156" s="30">
        <f t="shared" si="4"/>
        <v>9619.6563151889914</v>
      </c>
      <c r="G156" s="30">
        <f t="shared" si="6"/>
        <v>282.34368481100864</v>
      </c>
    </row>
    <row r="157" spans="1:7" ht="15" customHeight="1" x14ac:dyDescent="0.25">
      <c r="A157" s="27" t="s">
        <v>163</v>
      </c>
      <c r="B157" s="30">
        <f xml:space="preserve"> 10091</f>
        <v>10091</v>
      </c>
      <c r="C157" s="30">
        <f t="shared" si="2"/>
        <v>11147.838128001982</v>
      </c>
      <c r="D157" s="30">
        <f t="shared" si="5"/>
        <v>31.104121502729527</v>
      </c>
      <c r="E157" s="30">
        <f t="shared" si="3"/>
        <v>0.91083847009185503</v>
      </c>
      <c r="F157" s="30">
        <f t="shared" si="4"/>
        <v>10172.911539565643</v>
      </c>
      <c r="G157" s="30">
        <f t="shared" si="6"/>
        <v>-81.91153956564267</v>
      </c>
    </row>
    <row r="158" spans="1:7" ht="15" customHeight="1" x14ac:dyDescent="0.25">
      <c r="A158" s="27" t="s">
        <v>164</v>
      </c>
      <c r="B158" s="30">
        <f xml:space="preserve"> 9769</f>
        <v>9769</v>
      </c>
      <c r="C158" s="30">
        <f t="shared" si="2"/>
        <v>11260.970654419627</v>
      </c>
      <c r="D158" s="30">
        <f t="shared" si="5"/>
        <v>31.104121502729527</v>
      </c>
      <c r="E158" s="30">
        <f t="shared" si="3"/>
        <v>0.84712190854138203</v>
      </c>
      <c r="F158" s="30">
        <f t="shared" si="4"/>
        <v>9469.9268938743207</v>
      </c>
      <c r="G158" s="30">
        <f t="shared" si="6"/>
        <v>299.07310612567926</v>
      </c>
    </row>
    <row r="159" spans="1:7" ht="15" customHeight="1" x14ac:dyDescent="0.25">
      <c r="A159" s="27" t="s">
        <v>165</v>
      </c>
      <c r="B159" s="30">
        <f xml:space="preserve"> 8578</f>
        <v>8578</v>
      </c>
      <c r="C159" s="30">
        <f t="shared" si="2"/>
        <v>10874.90150657055</v>
      </c>
      <c r="D159" s="30">
        <f t="shared" si="5"/>
        <v>31.104121502729527</v>
      </c>
      <c r="E159" s="30">
        <f t="shared" si="3"/>
        <v>0.90327235308033704</v>
      </c>
      <c r="F159" s="30">
        <f t="shared" si="4"/>
        <v>10199.818954006507</v>
      </c>
      <c r="G159" s="30">
        <f t="shared" si="6"/>
        <v>-1621.8189540065068</v>
      </c>
    </row>
    <row r="160" spans="1:7" ht="15" customHeight="1" x14ac:dyDescent="0.25">
      <c r="A160" s="27" t="s">
        <v>166</v>
      </c>
      <c r="B160" s="30">
        <f xml:space="preserve"> 9763</f>
        <v>9763</v>
      </c>
      <c r="C160" s="30">
        <f t="shared" si="2"/>
        <v>10690.195512256692</v>
      </c>
      <c r="D160" s="30">
        <f t="shared" si="5"/>
        <v>31.104121502729527</v>
      </c>
      <c r="E160" s="30">
        <f t="shared" si="3"/>
        <v>0.97853401683850705</v>
      </c>
      <c r="F160" s="30">
        <f t="shared" si="4"/>
        <v>10671.89749490191</v>
      </c>
      <c r="G160" s="30">
        <f t="shared" si="6"/>
        <v>-908.89749490191025</v>
      </c>
    </row>
    <row r="161" spans="1:7" ht="15" customHeight="1" x14ac:dyDescent="0.25">
      <c r="A161" s="27" t="s">
        <v>167</v>
      </c>
      <c r="B161" s="30">
        <f xml:space="preserve"> 8348</f>
        <v>8348</v>
      </c>
      <c r="C161" s="30">
        <f t="shared" si="2"/>
        <v>10094.286917696436</v>
      </c>
      <c r="D161" s="30">
        <f t="shared" si="5"/>
        <v>31.104121502729527</v>
      </c>
      <c r="E161" s="30">
        <f t="shared" si="3"/>
        <v>1.04055153468282</v>
      </c>
      <c r="F161" s="30">
        <f t="shared" si="4"/>
        <v>11156.064787702722</v>
      </c>
      <c r="G161" s="30">
        <f t="shared" si="6"/>
        <v>-2808.0647877027222</v>
      </c>
    </row>
    <row r="162" spans="1:7" ht="15" customHeight="1" x14ac:dyDescent="0.25">
      <c r="A162" s="27" t="s">
        <v>168</v>
      </c>
      <c r="B162" s="30">
        <f xml:space="preserve"> 9237</f>
        <v>9237</v>
      </c>
      <c r="C162" s="30">
        <f t="shared" ref="C162:C201" si="7">$B$9*B162/E150+(1-$B$9)*(C161+D161)</f>
        <v>9889.4059569224373</v>
      </c>
      <c r="D162" s="30">
        <f t="shared" si="5"/>
        <v>31.104121502729527</v>
      </c>
      <c r="E162" s="30">
        <f t="shared" ref="E162:E201" si="8">$B$11*(B162/C162)+(1-$B$11)*E150</f>
        <v>1.0139715410282899</v>
      </c>
      <c r="F162" s="30">
        <f t="shared" ref="F162:F201" si="9">(C161+D161)*E150</f>
        <v>10266.858355530814</v>
      </c>
      <c r="G162" s="30">
        <f t="shared" si="6"/>
        <v>-1029.8583555308142</v>
      </c>
    </row>
    <row r="163" spans="1:7" ht="15" customHeight="1" x14ac:dyDescent="0.25">
      <c r="A163" s="27" t="s">
        <v>169</v>
      </c>
      <c r="B163" s="30">
        <f xml:space="preserve"> 11204</f>
        <v>11204</v>
      </c>
      <c r="C163" s="30">
        <f t="shared" si="7"/>
        <v>9967.8686197755778</v>
      </c>
      <c r="D163" s="30">
        <f t="shared" si="5"/>
        <v>31.104121502729527</v>
      </c>
      <c r="E163" s="30">
        <f t="shared" si="8"/>
        <v>1.10664016288395</v>
      </c>
      <c r="F163" s="30">
        <f t="shared" si="9"/>
        <v>10978.434889080294</v>
      </c>
      <c r="G163" s="30">
        <f t="shared" si="6"/>
        <v>225.56511091970606</v>
      </c>
    </row>
    <row r="164" spans="1:7" ht="15" customHeight="1" x14ac:dyDescent="0.25">
      <c r="A164" s="27" t="s">
        <v>170</v>
      </c>
      <c r="B164" s="30">
        <f xml:space="preserve"> 10737</f>
        <v>10737</v>
      </c>
      <c r="C164" s="30">
        <f t="shared" si="7"/>
        <v>9739.2129540851329</v>
      </c>
      <c r="D164" s="30">
        <f t="shared" si="5"/>
        <v>31.104121502729527</v>
      </c>
      <c r="E164" s="30">
        <f t="shared" si="8"/>
        <v>1.2089882382274</v>
      </c>
      <c r="F164" s="30">
        <f t="shared" si="9"/>
        <v>12088.640438561857</v>
      </c>
      <c r="G164" s="30">
        <f t="shared" si="6"/>
        <v>-1351.6404385618571</v>
      </c>
    </row>
    <row r="165" spans="1:7" ht="15" customHeight="1" x14ac:dyDescent="0.25">
      <c r="A165" s="27" t="s">
        <v>171</v>
      </c>
      <c r="B165" s="30">
        <f xml:space="preserve"> 12276</f>
        <v>12276</v>
      </c>
      <c r="C165" s="30">
        <f t="shared" si="7"/>
        <v>9943.3440235198323</v>
      </c>
      <c r="D165" s="30">
        <f t="shared" si="5"/>
        <v>31.104121502729527</v>
      </c>
      <c r="E165" s="30">
        <f t="shared" si="8"/>
        <v>1.1674732208152401</v>
      </c>
      <c r="F165" s="30">
        <f t="shared" si="9"/>
        <v>11406.583544622699</v>
      </c>
      <c r="G165" s="30">
        <f t="shared" si="6"/>
        <v>869.41645537730074</v>
      </c>
    </row>
    <row r="166" spans="1:7" ht="15" customHeight="1" x14ac:dyDescent="0.25">
      <c r="A166" s="27" t="s">
        <v>172</v>
      </c>
      <c r="B166" s="30">
        <f xml:space="preserve"> 9230</f>
        <v>9230</v>
      </c>
      <c r="C166" s="30">
        <f t="shared" si="7"/>
        <v>9888.8080408073984</v>
      </c>
      <c r="D166" s="30">
        <f t="shared" si="5"/>
        <v>31.104121502729527</v>
      </c>
      <c r="E166" s="30">
        <f t="shared" si="8"/>
        <v>0.96087205630662098</v>
      </c>
      <c r="F166" s="30">
        <f t="shared" si="9"/>
        <v>9584.1684996315889</v>
      </c>
      <c r="G166" s="30">
        <f t="shared" si="6"/>
        <v>-354.16849963158893</v>
      </c>
    </row>
    <row r="167" spans="1:7" ht="15" customHeight="1" x14ac:dyDescent="0.25">
      <c r="A167" s="27" t="s">
        <v>173</v>
      </c>
      <c r="B167" s="30">
        <f xml:space="preserve"> 9405</f>
        <v>9405</v>
      </c>
      <c r="C167" s="30">
        <f t="shared" si="7"/>
        <v>9817.5900559852562</v>
      </c>
      <c r="D167" s="30">
        <f t="shared" si="5"/>
        <v>31.104121502729527</v>
      </c>
      <c r="E167" s="30">
        <f t="shared" si="8"/>
        <v>0.99213853165653598</v>
      </c>
      <c r="F167" s="30">
        <f t="shared" si="9"/>
        <v>9841.9270868761832</v>
      </c>
      <c r="G167" s="30">
        <f t="shared" si="6"/>
        <v>-436.92708687618324</v>
      </c>
    </row>
    <row r="168" spans="1:7" ht="15" customHeight="1" x14ac:dyDescent="0.25">
      <c r="A168" s="27" t="s">
        <v>174</v>
      </c>
      <c r="B168" s="30">
        <f xml:space="preserve"> 10378</f>
        <v>10378</v>
      </c>
      <c r="C168" s="30">
        <f t="shared" si="7"/>
        <v>10333.262745881368</v>
      </c>
      <c r="D168" s="30">
        <f t="shared" si="5"/>
        <v>31.104121502729527</v>
      </c>
      <c r="E168" s="30">
        <f t="shared" si="8"/>
        <v>0.86959779497816003</v>
      </c>
      <c r="F168" s="30">
        <f t="shared" si="9"/>
        <v>8564.4027401577951</v>
      </c>
      <c r="G168" s="30">
        <f t="shared" si="6"/>
        <v>1813.5972598422049</v>
      </c>
    </row>
    <row r="169" spans="1:7" ht="15" customHeight="1" x14ac:dyDescent="0.25">
      <c r="A169" s="27" t="s">
        <v>175</v>
      </c>
      <c r="B169" s="30">
        <f xml:space="preserve"> 8827</f>
        <v>8827</v>
      </c>
      <c r="C169" s="30">
        <f t="shared" si="7"/>
        <v>10207.930051254642</v>
      </c>
      <c r="D169" s="30">
        <f t="shared" si="5"/>
        <v>31.104121502729527</v>
      </c>
      <c r="E169" s="30">
        <f t="shared" si="8"/>
        <v>0.91083847009185503</v>
      </c>
      <c r="F169" s="30">
        <f t="shared" si="9"/>
        <v>9440.2640609588434</v>
      </c>
      <c r="G169" s="30">
        <f t="shared" si="6"/>
        <v>-613.2640609588434</v>
      </c>
    </row>
    <row r="170" spans="1:7" ht="15" customHeight="1" x14ac:dyDescent="0.25">
      <c r="A170" s="27" t="s">
        <v>176</v>
      </c>
      <c r="B170" s="30">
        <f xml:space="preserve"> 8559</f>
        <v>8559</v>
      </c>
      <c r="C170" s="30">
        <f t="shared" si="7"/>
        <v>10207.571991492259</v>
      </c>
      <c r="D170" s="30">
        <f t="shared" si="5"/>
        <v>31.104121502729527</v>
      </c>
      <c r="E170" s="30">
        <f t="shared" si="8"/>
        <v>0.84712190854138203</v>
      </c>
      <c r="F170" s="30">
        <f t="shared" si="9"/>
        <v>8673.7101700466537</v>
      </c>
      <c r="G170" s="30">
        <f t="shared" si="6"/>
        <v>-114.71017004665373</v>
      </c>
    </row>
    <row r="171" spans="1:7" ht="15" customHeight="1" x14ac:dyDescent="0.25">
      <c r="A171" s="27" t="s">
        <v>177</v>
      </c>
      <c r="B171" s="30">
        <f xml:space="preserve"> 9143</f>
        <v>9143</v>
      </c>
      <c r="C171" s="30">
        <f t="shared" si="7"/>
        <v>10211.586902125822</v>
      </c>
      <c r="D171" s="30">
        <f t="shared" si="5"/>
        <v>31.104121502729527</v>
      </c>
      <c r="E171" s="30">
        <f t="shared" si="8"/>
        <v>0.90327235308033704</v>
      </c>
      <c r="F171" s="30">
        <f t="shared" si="9"/>
        <v>9248.3130650124222</v>
      </c>
      <c r="G171" s="30">
        <f t="shared" si="6"/>
        <v>-105.31306501242216</v>
      </c>
    </row>
    <row r="172" spans="1:7" ht="15" customHeight="1" x14ac:dyDescent="0.25">
      <c r="A172" s="27" t="s">
        <v>178</v>
      </c>
      <c r="B172" s="30">
        <f xml:space="preserve"> 9989</f>
        <v>9989</v>
      </c>
      <c r="C172" s="30">
        <f t="shared" si="7"/>
        <v>10234.660369542018</v>
      </c>
      <c r="D172" s="30">
        <f t="shared" si="5"/>
        <v>31.104121502729527</v>
      </c>
      <c r="E172" s="30">
        <f t="shared" si="8"/>
        <v>0.97853401683850705</v>
      </c>
      <c r="F172" s="30">
        <f t="shared" si="9"/>
        <v>10022.821590586966</v>
      </c>
      <c r="G172" s="30">
        <f t="shared" si="6"/>
        <v>-33.821590586965613</v>
      </c>
    </row>
    <row r="173" spans="1:7" ht="15" customHeight="1" x14ac:dyDescent="0.25">
      <c r="A173" s="27" t="s">
        <v>179</v>
      </c>
      <c r="B173" s="30">
        <f xml:space="preserve"> 9299</f>
        <v>9299</v>
      </c>
      <c r="C173" s="30">
        <f t="shared" si="7"/>
        <v>9956.9417291074587</v>
      </c>
      <c r="D173" s="30">
        <f t="shared" si="5"/>
        <v>31.104121502729527</v>
      </c>
      <c r="E173" s="30">
        <f t="shared" si="8"/>
        <v>1.04055153468282</v>
      </c>
      <c r="F173" s="30">
        <f t="shared" si="9"/>
        <v>10682.05699584901</v>
      </c>
      <c r="G173" s="30">
        <f t="shared" si="6"/>
        <v>-1383.0569958490105</v>
      </c>
    </row>
    <row r="174" spans="1:7" ht="15" customHeight="1" x14ac:dyDescent="0.25">
      <c r="A174" s="27" t="s">
        <v>180</v>
      </c>
      <c r="B174" s="30">
        <f xml:space="preserve"> 10524</f>
        <v>10524</v>
      </c>
      <c r="C174" s="30">
        <f t="shared" si="7"/>
        <v>10078.879550873125</v>
      </c>
      <c r="D174" s="30">
        <f t="shared" si="5"/>
        <v>31.104121502729527</v>
      </c>
      <c r="E174" s="30">
        <f t="shared" si="8"/>
        <v>1.0139715410282899</v>
      </c>
      <c r="F174" s="30">
        <f t="shared" si="9"/>
        <v>10127.594243004429</v>
      </c>
      <c r="G174" s="30">
        <f t="shared" si="6"/>
        <v>396.40575699557121</v>
      </c>
    </row>
    <row r="175" spans="1:7" ht="15" customHeight="1" x14ac:dyDescent="0.25">
      <c r="A175" s="27" t="s">
        <v>181</v>
      </c>
      <c r="B175" s="30">
        <f xml:space="preserve"> 12887</f>
        <v>12887</v>
      </c>
      <c r="C175" s="30">
        <f t="shared" si="7"/>
        <v>10466.673426375226</v>
      </c>
      <c r="D175" s="30">
        <f t="shared" si="5"/>
        <v>31.104121502729527</v>
      </c>
      <c r="E175" s="30">
        <f t="shared" si="8"/>
        <v>1.10664016288395</v>
      </c>
      <c r="F175" s="30">
        <f t="shared" si="9"/>
        <v>11188.113977952091</v>
      </c>
      <c r="G175" s="30">
        <f t="shared" si="6"/>
        <v>1698.8860220479091</v>
      </c>
    </row>
    <row r="176" spans="1:7" ht="15" customHeight="1" x14ac:dyDescent="0.25">
      <c r="A176" s="27" t="s">
        <v>182</v>
      </c>
      <c r="B176" s="30">
        <f xml:space="preserve"> 11145</f>
        <v>11145</v>
      </c>
      <c r="C176" s="30">
        <f t="shared" si="7"/>
        <v>10200.532995666546</v>
      </c>
      <c r="D176" s="30">
        <f t="shared" si="5"/>
        <v>31.104121502729527</v>
      </c>
      <c r="E176" s="30">
        <f t="shared" si="8"/>
        <v>1.2089882382274</v>
      </c>
      <c r="F176" s="30">
        <f t="shared" si="9"/>
        <v>12691.689582912124</v>
      </c>
      <c r="G176" s="30">
        <f t="shared" si="6"/>
        <v>-1546.689582912124</v>
      </c>
    </row>
    <row r="177" spans="1:7" ht="15" customHeight="1" x14ac:dyDescent="0.25">
      <c r="A177" s="27" t="s">
        <v>183</v>
      </c>
      <c r="B177" s="30">
        <f xml:space="preserve"> 11882</f>
        <v>11882</v>
      </c>
      <c r="C177" s="30">
        <f t="shared" si="7"/>
        <v>10219.066861865205</v>
      </c>
      <c r="D177" s="30">
        <f t="shared" si="5"/>
        <v>31.104121502729527</v>
      </c>
      <c r="E177" s="30">
        <f t="shared" si="8"/>
        <v>1.1674732208152401</v>
      </c>
      <c r="F177" s="30">
        <f t="shared" si="9"/>
        <v>11945.162339394372</v>
      </c>
      <c r="G177" s="30">
        <f t="shared" si="6"/>
        <v>-63.162339394371884</v>
      </c>
    </row>
    <row r="178" spans="1:7" ht="15" customHeight="1" x14ac:dyDescent="0.25">
      <c r="A178" s="27" t="s">
        <v>184</v>
      </c>
      <c r="B178" s="30">
        <f xml:space="preserve"> 9448</f>
        <v>9448</v>
      </c>
      <c r="C178" s="30">
        <f t="shared" si="7"/>
        <v>10153.181861953166</v>
      </c>
      <c r="D178" s="30">
        <f t="shared" si="5"/>
        <v>31.104121502729527</v>
      </c>
      <c r="E178" s="30">
        <f t="shared" si="8"/>
        <v>0.96087205630662098</v>
      </c>
      <c r="F178" s="30">
        <f t="shared" si="9"/>
        <v>9849.1028702832064</v>
      </c>
      <c r="G178" s="30">
        <f t="shared" si="6"/>
        <v>-401.10287028320636</v>
      </c>
    </row>
    <row r="179" spans="1:7" ht="15" customHeight="1" x14ac:dyDescent="0.25">
      <c r="A179" s="27" t="s">
        <v>185</v>
      </c>
      <c r="B179" s="30">
        <f xml:space="preserve"> 7857</f>
        <v>7857</v>
      </c>
      <c r="C179" s="30">
        <f t="shared" si="7"/>
        <v>9658.018441928969</v>
      </c>
      <c r="D179" s="30">
        <f t="shared" si="5"/>
        <v>31.104121502729527</v>
      </c>
      <c r="E179" s="30">
        <f t="shared" si="8"/>
        <v>0.99213853165653598</v>
      </c>
      <c r="F179" s="30">
        <f t="shared" si="9"/>
        <v>10104.222541596173</v>
      </c>
      <c r="G179" s="30">
        <f t="shared" si="6"/>
        <v>-2247.222541596173</v>
      </c>
    </row>
    <row r="180" spans="1:7" ht="15" customHeight="1" x14ac:dyDescent="0.25">
      <c r="A180" s="27" t="s">
        <v>186</v>
      </c>
      <c r="B180" s="30">
        <f xml:space="preserve"> 8482</f>
        <v>8482</v>
      </c>
      <c r="C180" s="30">
        <f t="shared" si="7"/>
        <v>9704.181292833051</v>
      </c>
      <c r="D180" s="30">
        <f t="shared" si="5"/>
        <v>31.104121502729527</v>
      </c>
      <c r="E180" s="30">
        <f t="shared" si="8"/>
        <v>0.86959779497816003</v>
      </c>
      <c r="F180" s="30">
        <f t="shared" si="9"/>
        <v>8425.6396164333419</v>
      </c>
      <c r="G180" s="30">
        <f t="shared" si="6"/>
        <v>56.360383566658129</v>
      </c>
    </row>
    <row r="181" spans="1:7" ht="15" customHeight="1" x14ac:dyDescent="0.25">
      <c r="A181" s="27" t="s">
        <v>187</v>
      </c>
      <c r="B181" s="30">
        <f xml:space="preserve"> 9064</f>
        <v>9064</v>
      </c>
      <c r="C181" s="30">
        <f t="shared" si="7"/>
        <v>9785.4684104949465</v>
      </c>
      <c r="D181" s="30">
        <f t="shared" si="5"/>
        <v>31.104121502729527</v>
      </c>
      <c r="E181" s="30">
        <f t="shared" si="8"/>
        <v>0.91083847009185503</v>
      </c>
      <c r="F181" s="30">
        <f t="shared" si="9"/>
        <v>8867.2724727011537</v>
      </c>
      <c r="G181" s="30">
        <f t="shared" si="6"/>
        <v>196.72752729884633</v>
      </c>
    </row>
    <row r="182" spans="1:7" ht="15" customHeight="1" x14ac:dyDescent="0.25">
      <c r="A182" s="27" t="s">
        <v>188</v>
      </c>
      <c r="B182" s="30">
        <f xml:space="preserve"> 7591</f>
        <v>7591</v>
      </c>
      <c r="C182" s="30">
        <f t="shared" si="7"/>
        <v>9617.7684682783511</v>
      </c>
      <c r="D182" s="30">
        <f t="shared" si="5"/>
        <v>31.104121502729527</v>
      </c>
      <c r="E182" s="30">
        <f t="shared" si="8"/>
        <v>0.84712190854138203</v>
      </c>
      <c r="F182" s="30">
        <f t="shared" si="9"/>
        <v>8315.8336586407786</v>
      </c>
      <c r="G182" s="30">
        <f t="shared" si="6"/>
        <v>-724.83365864077859</v>
      </c>
    </row>
    <row r="183" spans="1:7" ht="15" customHeight="1" x14ac:dyDescent="0.25">
      <c r="A183" s="27" t="s">
        <v>189</v>
      </c>
      <c r="B183" s="30">
        <f xml:space="preserve"> 8801</f>
        <v>8801</v>
      </c>
      <c r="C183" s="30">
        <f t="shared" si="7"/>
        <v>9670.8499795170665</v>
      </c>
      <c r="D183" s="30">
        <f t="shared" si="5"/>
        <v>31.104121502729527</v>
      </c>
      <c r="E183" s="30">
        <f t="shared" si="8"/>
        <v>0.90327235308033704</v>
      </c>
      <c r="F183" s="30">
        <f t="shared" si="9"/>
        <v>8715.559848743922</v>
      </c>
      <c r="G183" s="30">
        <f t="shared" si="6"/>
        <v>85.440151256078025</v>
      </c>
    </row>
    <row r="184" spans="1:7" ht="15" customHeight="1" x14ac:dyDescent="0.25">
      <c r="A184" s="27" t="s">
        <v>190</v>
      </c>
      <c r="B184" s="30">
        <f xml:space="preserve"> 10634</f>
        <v>10634</v>
      </c>
      <c r="C184" s="30">
        <f t="shared" si="7"/>
        <v>9972.710679771586</v>
      </c>
      <c r="D184" s="30">
        <f t="shared" si="5"/>
        <v>31.104121502729527</v>
      </c>
      <c r="E184" s="30">
        <f t="shared" si="8"/>
        <v>0.97853401683850705</v>
      </c>
      <c r="F184" s="30">
        <f t="shared" si="9"/>
        <v>9493.6921176537271</v>
      </c>
      <c r="G184" s="30">
        <f t="shared" si="6"/>
        <v>1140.3078823462729</v>
      </c>
    </row>
    <row r="185" spans="1:7" ht="15" customHeight="1" x14ac:dyDescent="0.25">
      <c r="A185" s="27" t="s">
        <v>191</v>
      </c>
      <c r="B185" s="30">
        <f xml:space="preserve"> 9951</f>
        <v>9951</v>
      </c>
      <c r="C185" s="30">
        <f t="shared" si="7"/>
        <v>9901.4397319161126</v>
      </c>
      <c r="D185" s="30">
        <f t="shared" si="5"/>
        <v>31.104121502729527</v>
      </c>
      <c r="E185" s="30">
        <f t="shared" si="8"/>
        <v>1.04055153468282</v>
      </c>
      <c r="F185" s="30">
        <f t="shared" si="9"/>
        <v>10409.484844148699</v>
      </c>
      <c r="G185" s="30">
        <f t="shared" si="6"/>
        <v>-458.48484414869927</v>
      </c>
    </row>
    <row r="186" spans="1:7" ht="15" customHeight="1" x14ac:dyDescent="0.25">
      <c r="A186" s="27" t="s">
        <v>192</v>
      </c>
      <c r="B186" s="30">
        <f xml:space="preserve"> 11214</f>
        <v>11214</v>
      </c>
      <c r="C186" s="30">
        <f t="shared" si="7"/>
        <v>10194.381986923148</v>
      </c>
      <c r="D186" s="30">
        <f t="shared" si="5"/>
        <v>31.104121502729527</v>
      </c>
      <c r="E186" s="30">
        <f t="shared" si="8"/>
        <v>1.0139715410282899</v>
      </c>
      <c r="F186" s="30">
        <f t="shared" si="9"/>
        <v>10071.316797382171</v>
      </c>
      <c r="G186" s="30">
        <f t="shared" si="6"/>
        <v>1142.683202617829</v>
      </c>
    </row>
    <row r="187" spans="1:7" ht="15" customHeight="1" x14ac:dyDescent="0.25">
      <c r="A187" s="27" t="s">
        <v>193</v>
      </c>
      <c r="B187" s="30">
        <f xml:space="preserve"> 10990</f>
        <v>10990</v>
      </c>
      <c r="C187" s="30">
        <f t="shared" si="7"/>
        <v>10157.054690079845</v>
      </c>
      <c r="D187" s="30">
        <f t="shared" si="5"/>
        <v>31.104121502729527</v>
      </c>
      <c r="E187" s="30">
        <f t="shared" si="8"/>
        <v>1.10664016288395</v>
      </c>
      <c r="F187" s="30">
        <f t="shared" si="9"/>
        <v>11315.93361259598</v>
      </c>
      <c r="G187" s="30">
        <f t="shared" si="6"/>
        <v>-325.93361259597987</v>
      </c>
    </row>
    <row r="188" spans="1:7" ht="15" customHeight="1" x14ac:dyDescent="0.25">
      <c r="A188" s="27" t="s">
        <v>194</v>
      </c>
      <c r="B188" s="30">
        <f xml:space="preserve"> 11975</f>
        <v>11975</v>
      </c>
      <c r="C188" s="30">
        <f t="shared" si="7"/>
        <v>10122.362877969623</v>
      </c>
      <c r="D188" s="30">
        <f t="shared" si="5"/>
        <v>31.104121502729527</v>
      </c>
      <c r="E188" s="30">
        <f t="shared" si="8"/>
        <v>1.2089882382274</v>
      </c>
      <c r="F188" s="30">
        <f t="shared" si="9"/>
        <v>12317.364172396177</v>
      </c>
      <c r="G188" s="30">
        <f t="shared" si="6"/>
        <v>-342.36417239617731</v>
      </c>
    </row>
    <row r="189" spans="1:7" ht="15" customHeight="1" x14ac:dyDescent="0.25">
      <c r="A189" s="27" t="s">
        <v>195</v>
      </c>
      <c r="B189" s="30">
        <f xml:space="preserve"> 12137</f>
        <v>12137</v>
      </c>
      <c r="C189" s="30">
        <f t="shared" si="7"/>
        <v>10209.807993158331</v>
      </c>
      <c r="D189" s="30">
        <f t="shared" si="5"/>
        <v>31.104121502729527</v>
      </c>
      <c r="E189" s="30">
        <f t="shared" si="8"/>
        <v>1.1674732208152401</v>
      </c>
      <c r="F189" s="30">
        <f t="shared" si="9"/>
        <v>11853.900820315239</v>
      </c>
      <c r="G189" s="30">
        <f t="shared" si="6"/>
        <v>283.09917968476111</v>
      </c>
    </row>
    <row r="190" spans="1:7" ht="15" customHeight="1" x14ac:dyDescent="0.25">
      <c r="A190" s="27" t="s">
        <v>196</v>
      </c>
      <c r="B190" s="30">
        <f xml:space="preserve"> 10892</f>
        <v>10892</v>
      </c>
      <c r="C190" s="30">
        <f t="shared" si="7"/>
        <v>10495.242253310029</v>
      </c>
      <c r="D190" s="30">
        <f t="shared" si="5"/>
        <v>31.104121502729527</v>
      </c>
      <c r="E190" s="30">
        <f t="shared" si="8"/>
        <v>0.96087205630662098</v>
      </c>
      <c r="F190" s="30">
        <f t="shared" si="9"/>
        <v>9840.2062820697593</v>
      </c>
      <c r="G190" s="30">
        <f t="shared" si="6"/>
        <v>1051.7937179302407</v>
      </c>
    </row>
    <row r="191" spans="1:7" ht="15" customHeight="1" x14ac:dyDescent="0.25">
      <c r="A191" s="27" t="s">
        <v>197</v>
      </c>
      <c r="B191" s="30">
        <f xml:space="preserve"> 11249</f>
        <v>11249</v>
      </c>
      <c r="C191" s="30">
        <f t="shared" si="7"/>
        <v>10714.961037582225</v>
      </c>
      <c r="D191" s="30">
        <f t="shared" si="5"/>
        <v>31.104121502729527</v>
      </c>
      <c r="E191" s="30">
        <f t="shared" si="8"/>
        <v>0.99213853165653598</v>
      </c>
      <c r="F191" s="30">
        <f t="shared" si="9"/>
        <v>10443.59383601483</v>
      </c>
      <c r="G191" s="30">
        <f t="shared" si="6"/>
        <v>805.40616398516977</v>
      </c>
    </row>
    <row r="192" spans="1:7" ht="15" customHeight="1" x14ac:dyDescent="0.25">
      <c r="A192" s="27" t="s">
        <v>198</v>
      </c>
      <c r="B192" s="30">
        <f xml:space="preserve"> 7531</f>
        <v>7531</v>
      </c>
      <c r="C192" s="30">
        <f t="shared" si="7"/>
        <v>10261.454560345916</v>
      </c>
      <c r="D192" s="30">
        <f t="shared" si="5"/>
        <v>31.104121502729527</v>
      </c>
      <c r="E192" s="30">
        <f t="shared" si="8"/>
        <v>0.86959779497816003</v>
      </c>
      <c r="F192" s="30">
        <f t="shared" si="9"/>
        <v>9344.7545670319068</v>
      </c>
      <c r="G192" s="30">
        <f t="shared" si="6"/>
        <v>-1813.7545670319068</v>
      </c>
    </row>
    <row r="193" spans="1:7" ht="15" customHeight="1" x14ac:dyDescent="0.25">
      <c r="A193" s="27" t="s">
        <v>199</v>
      </c>
      <c r="B193" s="30">
        <f xml:space="preserve"> 7992</f>
        <v>7992</v>
      </c>
      <c r="C193" s="30">
        <f t="shared" si="7"/>
        <v>9939.8069399619926</v>
      </c>
      <c r="D193" s="30">
        <f t="shared" si="5"/>
        <v>31.104121502729527</v>
      </c>
      <c r="E193" s="30">
        <f t="shared" si="8"/>
        <v>0.91083847009185503</v>
      </c>
      <c r="F193" s="30">
        <f t="shared" si="9"/>
        <v>9374.8584031056598</v>
      </c>
      <c r="G193" s="30">
        <f t="shared" si="6"/>
        <v>-1382.8584031056598</v>
      </c>
    </row>
    <row r="194" spans="1:7" ht="15" customHeight="1" x14ac:dyDescent="0.25">
      <c r="A194" s="27" t="s">
        <v>200</v>
      </c>
      <c r="B194" s="30">
        <f xml:space="preserve"> 9230</f>
        <v>9230</v>
      </c>
      <c r="C194" s="30">
        <f t="shared" si="7"/>
        <v>10185.784684877115</v>
      </c>
      <c r="D194" s="30">
        <f t="shared" si="5"/>
        <v>31.104121502729527</v>
      </c>
      <c r="E194" s="30">
        <f t="shared" si="8"/>
        <v>0.84712190854138203</v>
      </c>
      <c r="F194" s="30">
        <f t="shared" si="9"/>
        <v>8446.5772082843723</v>
      </c>
      <c r="G194" s="30">
        <f t="shared" si="6"/>
        <v>783.42279171562768</v>
      </c>
    </row>
    <row r="195" spans="1:7" ht="15" customHeight="1" x14ac:dyDescent="0.25">
      <c r="A195" s="27" t="s">
        <v>201</v>
      </c>
      <c r="B195" s="30">
        <f xml:space="preserve"> 10123</f>
        <v>10123</v>
      </c>
      <c r="C195" s="30">
        <f t="shared" si="7"/>
        <v>10446.942798429653</v>
      </c>
      <c r="D195" s="30">
        <f t="shared" si="5"/>
        <v>31.104121502729527</v>
      </c>
      <c r="E195" s="30">
        <f t="shared" si="8"/>
        <v>0.90327235308033704</v>
      </c>
      <c r="F195" s="30">
        <f t="shared" si="9"/>
        <v>9228.6331932988778</v>
      </c>
      <c r="G195" s="30">
        <f t="shared" si="6"/>
        <v>894.36680670112219</v>
      </c>
    </row>
    <row r="196" spans="1:7" ht="15" customHeight="1" x14ac:dyDescent="0.25">
      <c r="A196" s="27" t="s">
        <v>202</v>
      </c>
      <c r="B196" s="30">
        <f xml:space="preserve"> 11419</f>
        <v>11419</v>
      </c>
      <c r="C196" s="30">
        <f t="shared" si="7"/>
        <v>10754.874116132218</v>
      </c>
      <c r="D196" s="30">
        <f t="shared" si="5"/>
        <v>31.104121502729527</v>
      </c>
      <c r="E196" s="30">
        <f t="shared" si="8"/>
        <v>0.97853401683850705</v>
      </c>
      <c r="F196" s="30">
        <f t="shared" si="9"/>
        <v>10253.125341183781</v>
      </c>
      <c r="G196" s="30">
        <f t="shared" si="6"/>
        <v>1165.8746588162194</v>
      </c>
    </row>
    <row r="197" spans="1:7" ht="15" customHeight="1" x14ac:dyDescent="0.25">
      <c r="A197" s="27" t="s">
        <v>203</v>
      </c>
      <c r="B197" s="30">
        <f xml:space="preserve"> 12102</f>
        <v>12102</v>
      </c>
      <c r="C197" s="30">
        <f t="shared" si="7"/>
        <v>10982.168354977395</v>
      </c>
      <c r="D197" s="30">
        <f t="shared" si="5"/>
        <v>31.104121502729527</v>
      </c>
      <c r="E197" s="30">
        <f t="shared" si="8"/>
        <v>1.04055153468282</v>
      </c>
      <c r="F197" s="30">
        <f t="shared" si="9"/>
        <v>11223.366208226542</v>
      </c>
      <c r="G197" s="30">
        <f t="shared" si="6"/>
        <v>878.63379177345814</v>
      </c>
    </row>
    <row r="198" spans="1:7" ht="15" customHeight="1" x14ac:dyDescent="0.25">
      <c r="A198" s="27" t="s">
        <v>204</v>
      </c>
      <c r="B198" s="30">
        <f xml:space="preserve"> 10903</f>
        <v>10903</v>
      </c>
      <c r="C198" s="30">
        <f t="shared" si="7"/>
        <v>10952.745465844033</v>
      </c>
      <c r="D198" s="30">
        <f t="shared" si="5"/>
        <v>31.104121502729527</v>
      </c>
      <c r="E198" s="30">
        <f t="shared" si="8"/>
        <v>1.0139715410282899</v>
      </c>
      <c r="F198" s="30">
        <f t="shared" si="9"/>
        <v>11167.144864741002</v>
      </c>
      <c r="G198" s="30">
        <f t="shared" si="6"/>
        <v>-264.14486474100158</v>
      </c>
    </row>
    <row r="199" spans="1:7" ht="15" customHeight="1" x14ac:dyDescent="0.25">
      <c r="A199" s="27" t="s">
        <v>205</v>
      </c>
      <c r="B199" s="30">
        <f xml:space="preserve"> 12513</f>
        <v>12513</v>
      </c>
      <c r="C199" s="30">
        <f t="shared" si="7"/>
        <v>11058.978004032651</v>
      </c>
      <c r="D199" s="30">
        <f t="shared" si="5"/>
        <v>31.104121502729527</v>
      </c>
      <c r="E199" s="30">
        <f t="shared" si="8"/>
        <v>1.10664016288395</v>
      </c>
      <c r="F199" s="30">
        <f t="shared" si="9"/>
        <v>12155.169096434227</v>
      </c>
      <c r="G199" s="30">
        <f t="shared" si="6"/>
        <v>357.83090356577304</v>
      </c>
    </row>
    <row r="200" spans="1:7" ht="15" customHeight="1" x14ac:dyDescent="0.25">
      <c r="A200" s="27" t="s">
        <v>206</v>
      </c>
      <c r="B200" s="30">
        <f xml:space="preserve"> 10696</f>
        <v>10696</v>
      </c>
      <c r="C200" s="30">
        <f t="shared" si="7"/>
        <v>10568.929400972927</v>
      </c>
      <c r="D200" s="30">
        <f t="shared" si="5"/>
        <v>31.104121502729527</v>
      </c>
      <c r="E200" s="30">
        <f t="shared" si="8"/>
        <v>1.2089882382274</v>
      </c>
      <c r="F200" s="30">
        <f t="shared" si="9"/>
        <v>13407.778850748198</v>
      </c>
      <c r="G200" s="30">
        <f t="shared" si="6"/>
        <v>-2711.7788507481982</v>
      </c>
    </row>
    <row r="201" spans="1:7" ht="15" customHeight="1" x14ac:dyDescent="0.25">
      <c r="A201" s="40" t="s">
        <v>207</v>
      </c>
      <c r="B201" s="41">
        <f xml:space="preserve"> 13758</f>
        <v>13758</v>
      </c>
      <c r="C201" s="41">
        <f t="shared" si="7"/>
        <v>10875.220514474076</v>
      </c>
      <c r="D201" s="41">
        <f t="shared" si="5"/>
        <v>31.104121502729527</v>
      </c>
      <c r="E201" s="41">
        <f t="shared" si="8"/>
        <v>1.1674732208152401</v>
      </c>
      <c r="F201" s="41">
        <f t="shared" si="9"/>
        <v>12375.25527723417</v>
      </c>
      <c r="G201" s="41">
        <f t="shared" si="6"/>
        <v>1382.7447227658304</v>
      </c>
    </row>
    <row r="202" spans="1:7" ht="15" customHeight="1" x14ac:dyDescent="0.25">
      <c r="A202" s="27" t="s">
        <v>208</v>
      </c>
      <c r="B202" s="30"/>
      <c r="C202" s="30"/>
      <c r="D202" s="30"/>
      <c r="E202" s="30"/>
      <c r="F202" s="30">
        <f>(C201+(1*D201))*E190</f>
        <v>10479.582579718592</v>
      </c>
      <c r="G202" s="30"/>
    </row>
    <row r="203" spans="1:7" ht="15" customHeight="1" x14ac:dyDescent="0.25">
      <c r="A203" s="27" t="s">
        <v>213</v>
      </c>
      <c r="B203" s="30"/>
      <c r="C203" s="30"/>
      <c r="D203" s="30"/>
      <c r="E203" s="30"/>
      <c r="F203" s="30">
        <f>(C201+(2*D201))*E191</f>
        <v>10851.444507543718</v>
      </c>
      <c r="G203" s="30"/>
    </row>
    <row r="204" spans="1:7" ht="15" customHeight="1" x14ac:dyDescent="0.25">
      <c r="A204" s="27" t="s">
        <v>214</v>
      </c>
      <c r="B204" s="30"/>
      <c r="C204" s="30"/>
      <c r="D204" s="30"/>
      <c r="E204" s="30"/>
      <c r="F204" s="30">
        <f>(C201+(3*D201))*E192</f>
        <v>9538.2120057084267</v>
      </c>
      <c r="G204" s="30"/>
    </row>
    <row r="205" spans="1:7" ht="15" customHeight="1" x14ac:dyDescent="0.25">
      <c r="A205" s="27" t="s">
        <v>215</v>
      </c>
      <c r="B205" s="30"/>
      <c r="C205" s="30"/>
      <c r="D205" s="30"/>
      <c r="E205" s="30"/>
      <c r="F205" s="30">
        <f>(C201+(4*D201))*E193</f>
        <v>10018.892537087513</v>
      </c>
      <c r="G205" s="30"/>
    </row>
    <row r="206" spans="1:7" ht="15" customHeight="1" x14ac:dyDescent="0.25">
      <c r="A206" s="27" t="s">
        <v>216</v>
      </c>
      <c r="B206" s="30"/>
      <c r="C206" s="30"/>
      <c r="D206" s="30"/>
      <c r="E206" s="30"/>
      <c r="F206" s="30">
        <f>(C201+(5*D201))*E194</f>
        <v>9344.3824718841479</v>
      </c>
      <c r="G206" s="30"/>
    </row>
    <row r="207" spans="1:7" ht="15" customHeight="1" x14ac:dyDescent="0.25">
      <c r="A207" s="27" t="s">
        <v>217</v>
      </c>
      <c r="B207" s="30"/>
      <c r="C207" s="30"/>
      <c r="D207" s="30"/>
      <c r="E207" s="30"/>
      <c r="F207" s="30">
        <f>(C201+(6*D201))*E195</f>
        <v>9991.8589824981555</v>
      </c>
      <c r="G207" s="30"/>
    </row>
    <row r="208" spans="1:7" ht="15" customHeight="1" x14ac:dyDescent="0.25">
      <c r="A208" s="27" t="s">
        <v>218</v>
      </c>
      <c r="B208" s="30"/>
      <c r="C208" s="30"/>
      <c r="D208" s="30"/>
      <c r="E208" s="30"/>
      <c r="F208" s="30">
        <f>(C201+(7*D201))*E196</f>
        <v>10854.828300712945</v>
      </c>
      <c r="G208" s="30"/>
    </row>
    <row r="209" spans="1:7" ht="15" customHeight="1" x14ac:dyDescent="0.25">
      <c r="A209" s="27" t="s">
        <v>219</v>
      </c>
      <c r="B209" s="30"/>
      <c r="C209" s="30"/>
      <c r="D209" s="30"/>
      <c r="E209" s="30"/>
      <c r="F209" s="30">
        <f>(C201+(8*D201))*E197</f>
        <v>11575.150927267096</v>
      </c>
      <c r="G209" s="30"/>
    </row>
  </sheetData>
  <pageMargins left="0.7" right="0.7" top="0.75" bottom="0.75" header="0.3" footer="0.3"/>
  <pageSetup paperSize="9" orientation="portrait" horizontalDpi="1200" verticalDpi="120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07"/>
  <sheetViews>
    <sheetView showGridLines="0" workbookViewId="0">
      <selection activeCell="I29" sqref="I29"/>
    </sheetView>
  </sheetViews>
  <sheetFormatPr defaultColWidth="12.7109375" defaultRowHeight="15" x14ac:dyDescent="0.25"/>
  <cols>
    <col min="1" max="1" width="25" bestFit="1" customWidth="1"/>
    <col min="2" max="4" width="12.7109375" customWidth="1"/>
  </cols>
  <sheetData>
    <row r="1" spans="1:2" s="16" customFormat="1" ht="18.75" x14ac:dyDescent="0.3">
      <c r="A1" s="22" t="s">
        <v>75</v>
      </c>
      <c r="B1" s="20"/>
    </row>
    <row r="2" spans="1:2" s="16" customFormat="1" ht="11.25" x14ac:dyDescent="0.2">
      <c r="A2" s="18" t="s">
        <v>76</v>
      </c>
      <c r="B2" s="20" t="s">
        <v>77</v>
      </c>
    </row>
    <row r="3" spans="1:2" s="16" customFormat="1" ht="11.25" x14ac:dyDescent="0.2">
      <c r="A3" s="18" t="s">
        <v>78</v>
      </c>
      <c r="B3" s="20" t="s">
        <v>79</v>
      </c>
    </row>
    <row r="4" spans="1:2" s="16" customFormat="1" ht="11.25" x14ac:dyDescent="0.2">
      <c r="A4" s="18" t="s">
        <v>80</v>
      </c>
      <c r="B4" s="23">
        <v>45067</v>
      </c>
    </row>
    <row r="5" spans="1:2" s="17" customFormat="1" ht="11.25" x14ac:dyDescent="0.2">
      <c r="A5" s="19" t="s">
        <v>81</v>
      </c>
      <c r="B5" s="21" t="s">
        <v>82</v>
      </c>
    </row>
    <row r="7" spans="1:2" ht="15" customHeight="1" x14ac:dyDescent="0.25">
      <c r="A7" s="28" t="s">
        <v>84</v>
      </c>
      <c r="B7" s="25"/>
    </row>
    <row r="8" spans="1:2" ht="15" customHeight="1" thickBot="1" x14ac:dyDescent="0.3">
      <c r="A8" s="39" t="s">
        <v>83</v>
      </c>
      <c r="B8" s="38"/>
    </row>
    <row r="9" spans="1:2" ht="15" customHeight="1" thickTop="1" x14ac:dyDescent="0.25">
      <c r="A9" s="27" t="s">
        <v>87</v>
      </c>
      <c r="B9" s="24">
        <v>4</v>
      </c>
    </row>
    <row r="10" spans="1:2" ht="15" customHeight="1" x14ac:dyDescent="0.25"/>
    <row r="11" spans="1:2" ht="15" customHeight="1" x14ac:dyDescent="0.25">
      <c r="A11" s="28"/>
      <c r="B11" s="25"/>
    </row>
    <row r="12" spans="1:2" ht="15" customHeight="1" thickBot="1" x14ac:dyDescent="0.3">
      <c r="A12" s="39" t="s">
        <v>85</v>
      </c>
      <c r="B12" s="38"/>
    </row>
    <row r="13" spans="1:2" ht="15" customHeight="1" thickTop="1" x14ac:dyDescent="0.25">
      <c r="A13" s="27" t="s">
        <v>88</v>
      </c>
      <c r="B13" s="30">
        <f>_xll.StatMeanAbs(D87:D199)</f>
        <v>1463.891592920354</v>
      </c>
    </row>
    <row r="14" spans="1:2" ht="15" customHeight="1" x14ac:dyDescent="0.25">
      <c r="A14" s="27" t="s">
        <v>89</v>
      </c>
      <c r="B14" s="30">
        <f>SQRT(SUMSQ(D87:D199)/_xll.StatCount(D87:D199))</f>
        <v>1867.1019094779231</v>
      </c>
    </row>
    <row r="15" spans="1:2" ht="15" customHeight="1" x14ac:dyDescent="0.25">
      <c r="A15" s="27" t="s">
        <v>90</v>
      </c>
      <c r="B15" s="33">
        <f>_xll.StatPairMeanAbsQuotient(D87:D199,B87:B199)</f>
        <v>0.14383033265969616</v>
      </c>
    </row>
    <row r="16" spans="1:2"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spans="1:4" ht="15" customHeight="1" x14ac:dyDescent="0.25">
      <c r="A81" s="28"/>
      <c r="B81" s="25"/>
      <c r="C81" s="25"/>
      <c r="D81" s="25"/>
    </row>
    <row r="82" spans="1:4" ht="15" customHeight="1" thickBot="1" x14ac:dyDescent="0.3">
      <c r="A82" s="39" t="s">
        <v>86</v>
      </c>
      <c r="B82" s="38" t="s">
        <v>0</v>
      </c>
      <c r="C82" s="38" t="s">
        <v>77</v>
      </c>
      <c r="D82" s="38" t="s">
        <v>209</v>
      </c>
    </row>
    <row r="83" spans="1:4" ht="15" customHeight="1" thickTop="1" x14ac:dyDescent="0.25">
      <c r="A83" s="27" t="s">
        <v>91</v>
      </c>
      <c r="B83" s="30">
        <f xml:space="preserve"> 7419</f>
        <v>7419</v>
      </c>
      <c r="C83" s="30"/>
      <c r="D83" s="30"/>
    </row>
    <row r="84" spans="1:4" ht="15" customHeight="1" x14ac:dyDescent="0.25">
      <c r="A84" s="27" t="s">
        <v>92</v>
      </c>
      <c r="B84" s="30">
        <f xml:space="preserve"> 8824</f>
        <v>8824</v>
      </c>
      <c r="C84" s="30"/>
      <c r="D84" s="30"/>
    </row>
    <row r="85" spans="1:4" ht="15" customHeight="1" x14ac:dyDescent="0.25">
      <c r="A85" s="27" t="s">
        <v>93</v>
      </c>
      <c r="B85" s="30">
        <f xml:space="preserve"> 11583</f>
        <v>11583</v>
      </c>
      <c r="C85" s="30"/>
      <c r="D85" s="30"/>
    </row>
    <row r="86" spans="1:4" ht="15" customHeight="1" x14ac:dyDescent="0.25">
      <c r="A86" s="27" t="s">
        <v>94</v>
      </c>
      <c r="B86" s="30">
        <f xml:space="preserve"> 7958</f>
        <v>7958</v>
      </c>
      <c r="C86" s="30"/>
      <c r="D86" s="30"/>
    </row>
    <row r="87" spans="1:4" ht="15" customHeight="1" x14ac:dyDescent="0.25">
      <c r="A87" s="27" t="s">
        <v>95</v>
      </c>
      <c r="B87" s="30">
        <f xml:space="preserve"> 11933</f>
        <v>11933</v>
      </c>
      <c r="C87" s="30">
        <f>_xll.StatMean(B83:B86)</f>
        <v>8946</v>
      </c>
      <c r="D87" s="30">
        <f>B87-C87</f>
        <v>2987</v>
      </c>
    </row>
    <row r="88" spans="1:4" ht="15" customHeight="1" x14ac:dyDescent="0.25">
      <c r="A88" s="27" t="s">
        <v>96</v>
      </c>
      <c r="B88" s="30">
        <f xml:space="preserve"> 11227</f>
        <v>11227</v>
      </c>
      <c r="C88" s="30">
        <f>_xll.StatMean(B84:B87)</f>
        <v>10074.5</v>
      </c>
      <c r="D88" s="30">
        <f t="shared" ref="D88:D151" si="0">B88-C88</f>
        <v>1152.5</v>
      </c>
    </row>
    <row r="89" spans="1:4" ht="15" customHeight="1" x14ac:dyDescent="0.25">
      <c r="A89" s="27" t="s">
        <v>97</v>
      </c>
      <c r="B89" s="30">
        <f xml:space="preserve"> 11258</f>
        <v>11258</v>
      </c>
      <c r="C89" s="30">
        <f>_xll.StatMean(B85:B88)</f>
        <v>10675.25</v>
      </c>
      <c r="D89" s="30">
        <f t="shared" si="0"/>
        <v>582.75</v>
      </c>
    </row>
    <row r="90" spans="1:4" ht="15" customHeight="1" x14ac:dyDescent="0.25">
      <c r="A90" s="27" t="s">
        <v>98</v>
      </c>
      <c r="B90" s="30">
        <f xml:space="preserve"> 15904</f>
        <v>15904</v>
      </c>
      <c r="C90" s="30">
        <f>_xll.StatMean(B86:B89)</f>
        <v>10594</v>
      </c>
      <c r="D90" s="30">
        <f t="shared" si="0"/>
        <v>5310</v>
      </c>
    </row>
    <row r="91" spans="1:4" ht="15" customHeight="1" x14ac:dyDescent="0.25">
      <c r="A91" s="27" t="s">
        <v>99</v>
      </c>
      <c r="B91" s="30">
        <f xml:space="preserve"> 14470</f>
        <v>14470</v>
      </c>
      <c r="C91" s="30">
        <f>_xll.StatMean(B87:B90)</f>
        <v>12580.5</v>
      </c>
      <c r="D91" s="30">
        <f t="shared" si="0"/>
        <v>1889.5</v>
      </c>
    </row>
    <row r="92" spans="1:4" ht="15" customHeight="1" x14ac:dyDescent="0.25">
      <c r="A92" s="27" t="s">
        <v>100</v>
      </c>
      <c r="B92" s="30">
        <f xml:space="preserve"> 10916</f>
        <v>10916</v>
      </c>
      <c r="C92" s="30">
        <f>_xll.StatMean(B88:B91)</f>
        <v>13214.75</v>
      </c>
      <c r="D92" s="30">
        <f t="shared" si="0"/>
        <v>-2298.75</v>
      </c>
    </row>
    <row r="93" spans="1:4" ht="15" customHeight="1" x14ac:dyDescent="0.25">
      <c r="A93" s="27" t="s">
        <v>101</v>
      </c>
      <c r="B93" s="30">
        <f xml:space="preserve"> 10391</f>
        <v>10391</v>
      </c>
      <c r="C93" s="30">
        <f>_xll.StatMean(B89:B92)</f>
        <v>13137</v>
      </c>
      <c r="D93" s="30">
        <f t="shared" si="0"/>
        <v>-2746</v>
      </c>
    </row>
    <row r="94" spans="1:4" ht="15" customHeight="1" x14ac:dyDescent="0.25">
      <c r="A94" s="27" t="s">
        <v>102</v>
      </c>
      <c r="B94" s="30">
        <f xml:space="preserve"> 8481</f>
        <v>8481</v>
      </c>
      <c r="C94" s="30">
        <f>_xll.StatMean(B90:B93)</f>
        <v>12920.25</v>
      </c>
      <c r="D94" s="30">
        <f t="shared" si="0"/>
        <v>-4439.25</v>
      </c>
    </row>
    <row r="95" spans="1:4" ht="15" customHeight="1" x14ac:dyDescent="0.25">
      <c r="A95" s="27" t="s">
        <v>103</v>
      </c>
      <c r="B95" s="30">
        <f xml:space="preserve"> 10120</f>
        <v>10120</v>
      </c>
      <c r="C95" s="30">
        <f>_xll.StatMean(B91:B94)</f>
        <v>11064.5</v>
      </c>
      <c r="D95" s="30">
        <f t="shared" si="0"/>
        <v>-944.5</v>
      </c>
    </row>
    <row r="96" spans="1:4" ht="15" customHeight="1" x14ac:dyDescent="0.25">
      <c r="A96" s="27" t="s">
        <v>104</v>
      </c>
      <c r="B96" s="30">
        <f xml:space="preserve"> 8910</f>
        <v>8910</v>
      </c>
      <c r="C96" s="30">
        <f>_xll.StatMean(B92:B95)</f>
        <v>9977</v>
      </c>
      <c r="D96" s="30">
        <f t="shared" si="0"/>
        <v>-1067</v>
      </c>
    </row>
    <row r="97" spans="1:4" ht="15" customHeight="1" x14ac:dyDescent="0.25">
      <c r="A97" s="27" t="s">
        <v>105</v>
      </c>
      <c r="B97" s="30">
        <f xml:space="preserve"> 9375</f>
        <v>9375</v>
      </c>
      <c r="C97" s="30">
        <f>_xll.StatMean(B93:B96)</f>
        <v>9475.5</v>
      </c>
      <c r="D97" s="30">
        <f t="shared" si="0"/>
        <v>-100.5</v>
      </c>
    </row>
    <row r="98" spans="1:4" ht="15" customHeight="1" x14ac:dyDescent="0.25">
      <c r="A98" s="27" t="s">
        <v>106</v>
      </c>
      <c r="B98" s="30">
        <f xml:space="preserve"> 12366</f>
        <v>12366</v>
      </c>
      <c r="C98" s="30">
        <f>_xll.StatMean(B94:B97)</f>
        <v>9221.5</v>
      </c>
      <c r="D98" s="30">
        <f t="shared" si="0"/>
        <v>3144.5</v>
      </c>
    </row>
    <row r="99" spans="1:4" ht="15" customHeight="1" x14ac:dyDescent="0.25">
      <c r="A99" s="27" t="s">
        <v>107</v>
      </c>
      <c r="B99" s="30">
        <f xml:space="preserve"> 10808</f>
        <v>10808</v>
      </c>
      <c r="C99" s="30">
        <f>_xll.StatMean(B95:B98)</f>
        <v>10192.75</v>
      </c>
      <c r="D99" s="30">
        <f t="shared" si="0"/>
        <v>615.25</v>
      </c>
    </row>
    <row r="100" spans="1:4" ht="15" customHeight="1" x14ac:dyDescent="0.25">
      <c r="A100" s="27" t="s">
        <v>108</v>
      </c>
      <c r="B100" s="30">
        <f xml:space="preserve"> 11982</f>
        <v>11982</v>
      </c>
      <c r="C100" s="30">
        <f>_xll.StatMean(B96:B99)</f>
        <v>10364.75</v>
      </c>
      <c r="D100" s="30">
        <f t="shared" si="0"/>
        <v>1617.25</v>
      </c>
    </row>
    <row r="101" spans="1:4" ht="15" customHeight="1" x14ac:dyDescent="0.25">
      <c r="A101" s="27" t="s">
        <v>109</v>
      </c>
      <c r="B101" s="30">
        <f xml:space="preserve"> 13330</f>
        <v>13330</v>
      </c>
      <c r="C101" s="30">
        <f>_xll.StatMean(B97:B100)</f>
        <v>11132.75</v>
      </c>
      <c r="D101" s="30">
        <f t="shared" si="0"/>
        <v>2197.25</v>
      </c>
    </row>
    <row r="102" spans="1:4" ht="15" customHeight="1" x14ac:dyDescent="0.25">
      <c r="A102" s="27" t="s">
        <v>110</v>
      </c>
      <c r="B102" s="30">
        <f xml:space="preserve"> 12233</f>
        <v>12233</v>
      </c>
      <c r="C102" s="30">
        <f>_xll.StatMean(B98:B101)</f>
        <v>12121.5</v>
      </c>
      <c r="D102" s="30">
        <f t="shared" si="0"/>
        <v>111.5</v>
      </c>
    </row>
    <row r="103" spans="1:4" ht="15" customHeight="1" x14ac:dyDescent="0.25">
      <c r="A103" s="27" t="s">
        <v>111</v>
      </c>
      <c r="B103" s="30">
        <f xml:space="preserve"> 12302</f>
        <v>12302</v>
      </c>
      <c r="C103" s="30">
        <f>_xll.StatMean(B99:B102)</f>
        <v>12088.25</v>
      </c>
      <c r="D103" s="30">
        <f t="shared" si="0"/>
        <v>213.75</v>
      </c>
    </row>
    <row r="104" spans="1:4" ht="15" customHeight="1" x14ac:dyDescent="0.25">
      <c r="A104" s="27" t="s">
        <v>112</v>
      </c>
      <c r="B104" s="30">
        <f xml:space="preserve"> 7227</f>
        <v>7227</v>
      </c>
      <c r="C104" s="30">
        <f>_xll.StatMean(B100:B103)</f>
        <v>12461.75</v>
      </c>
      <c r="D104" s="30">
        <f t="shared" si="0"/>
        <v>-5234.75</v>
      </c>
    </row>
    <row r="105" spans="1:4" ht="15" customHeight="1" x14ac:dyDescent="0.25">
      <c r="A105" s="27" t="s">
        <v>113</v>
      </c>
      <c r="B105" s="30">
        <f xml:space="preserve"> 12660</f>
        <v>12660</v>
      </c>
      <c r="C105" s="30">
        <f>_xll.StatMean(B101:B104)</f>
        <v>11273</v>
      </c>
      <c r="D105" s="30">
        <f t="shared" si="0"/>
        <v>1387</v>
      </c>
    </row>
    <row r="106" spans="1:4" ht="15" customHeight="1" x14ac:dyDescent="0.25">
      <c r="A106" s="27" t="s">
        <v>114</v>
      </c>
      <c r="B106" s="30">
        <f xml:space="preserve"> 9800</f>
        <v>9800</v>
      </c>
      <c r="C106" s="30">
        <f>_xll.StatMean(B102:B105)</f>
        <v>11105.5</v>
      </c>
      <c r="D106" s="30">
        <f t="shared" si="0"/>
        <v>-1305.5</v>
      </c>
    </row>
    <row r="107" spans="1:4" ht="15" customHeight="1" x14ac:dyDescent="0.25">
      <c r="A107" s="27" t="s">
        <v>115</v>
      </c>
      <c r="B107" s="30">
        <f xml:space="preserve"> 12004</f>
        <v>12004</v>
      </c>
      <c r="C107" s="30">
        <f>_xll.StatMean(B103:B106)</f>
        <v>10497.25</v>
      </c>
      <c r="D107" s="30">
        <f t="shared" si="0"/>
        <v>1506.75</v>
      </c>
    </row>
    <row r="108" spans="1:4" ht="15" customHeight="1" x14ac:dyDescent="0.25">
      <c r="A108" s="27" t="s">
        <v>116</v>
      </c>
      <c r="B108" s="30">
        <f xml:space="preserve"> 10006</f>
        <v>10006</v>
      </c>
      <c r="C108" s="30">
        <f>_xll.StatMean(B104:B107)</f>
        <v>10422.75</v>
      </c>
      <c r="D108" s="30">
        <f t="shared" si="0"/>
        <v>-416.75</v>
      </c>
    </row>
    <row r="109" spans="1:4" ht="15" customHeight="1" x14ac:dyDescent="0.25">
      <c r="A109" s="27" t="s">
        <v>117</v>
      </c>
      <c r="B109" s="30">
        <f xml:space="preserve"> 8394</f>
        <v>8394</v>
      </c>
      <c r="C109" s="30">
        <f>_xll.StatMean(B105:B108)</f>
        <v>11117.5</v>
      </c>
      <c r="D109" s="30">
        <f t="shared" si="0"/>
        <v>-2723.5</v>
      </c>
    </row>
    <row r="110" spans="1:4" ht="15" customHeight="1" x14ac:dyDescent="0.25">
      <c r="A110" s="27" t="s">
        <v>118</v>
      </c>
      <c r="B110" s="30">
        <f xml:space="preserve"> 9953</f>
        <v>9953</v>
      </c>
      <c r="C110" s="30">
        <f>_xll.StatMean(B106:B109)</f>
        <v>10051</v>
      </c>
      <c r="D110" s="30">
        <f t="shared" si="0"/>
        <v>-98</v>
      </c>
    </row>
    <row r="111" spans="1:4" ht="15" customHeight="1" x14ac:dyDescent="0.25">
      <c r="A111" s="27" t="s">
        <v>119</v>
      </c>
      <c r="B111" s="30">
        <f xml:space="preserve"> 10461</f>
        <v>10461</v>
      </c>
      <c r="C111" s="30">
        <f>_xll.StatMean(B107:B110)</f>
        <v>10089.25</v>
      </c>
      <c r="D111" s="30">
        <f t="shared" si="0"/>
        <v>371.75</v>
      </c>
    </row>
    <row r="112" spans="1:4" ht="15" customHeight="1" x14ac:dyDescent="0.25">
      <c r="A112" s="27" t="s">
        <v>120</v>
      </c>
      <c r="B112" s="30">
        <f xml:space="preserve"> 10893</f>
        <v>10893</v>
      </c>
      <c r="C112" s="30">
        <f>_xll.StatMean(B108:B111)</f>
        <v>9703.5</v>
      </c>
      <c r="D112" s="30">
        <f t="shared" si="0"/>
        <v>1189.5</v>
      </c>
    </row>
    <row r="113" spans="1:4" ht="15" customHeight="1" x14ac:dyDescent="0.25">
      <c r="A113" s="27" t="s">
        <v>121</v>
      </c>
      <c r="B113" s="30">
        <f xml:space="preserve"> 9212</f>
        <v>9212</v>
      </c>
      <c r="C113" s="30">
        <f>_xll.StatMean(B109:B112)</f>
        <v>9925.25</v>
      </c>
      <c r="D113" s="30">
        <f t="shared" si="0"/>
        <v>-713.25</v>
      </c>
    </row>
    <row r="114" spans="1:4" ht="15" customHeight="1" x14ac:dyDescent="0.25">
      <c r="A114" s="27" t="s">
        <v>122</v>
      </c>
      <c r="B114" s="30">
        <f xml:space="preserve"> 13209</f>
        <v>13209</v>
      </c>
      <c r="C114" s="30">
        <f>_xll.StatMean(B110:B113)</f>
        <v>10129.75</v>
      </c>
      <c r="D114" s="30">
        <f t="shared" si="0"/>
        <v>3079.25</v>
      </c>
    </row>
    <row r="115" spans="1:4" ht="15" customHeight="1" x14ac:dyDescent="0.25">
      <c r="A115" s="27" t="s">
        <v>123</v>
      </c>
      <c r="B115" s="30">
        <f xml:space="preserve"> 10294</f>
        <v>10294</v>
      </c>
      <c r="C115" s="30">
        <f>_xll.StatMean(B111:B114)</f>
        <v>10943.75</v>
      </c>
      <c r="D115" s="30">
        <f t="shared" si="0"/>
        <v>-649.75</v>
      </c>
    </row>
    <row r="116" spans="1:4" ht="15" customHeight="1" x14ac:dyDescent="0.25">
      <c r="A116" s="27" t="s">
        <v>124</v>
      </c>
      <c r="B116" s="30">
        <f xml:space="preserve"> 11540</f>
        <v>11540</v>
      </c>
      <c r="C116" s="30">
        <f>_xll.StatMean(B112:B115)</f>
        <v>10902</v>
      </c>
      <c r="D116" s="30">
        <f t="shared" si="0"/>
        <v>638</v>
      </c>
    </row>
    <row r="117" spans="1:4" ht="15" customHeight="1" x14ac:dyDescent="0.25">
      <c r="A117" s="27" t="s">
        <v>125</v>
      </c>
      <c r="B117" s="30">
        <f xml:space="preserve"> 10219</f>
        <v>10219</v>
      </c>
      <c r="C117" s="30">
        <f>_xll.StatMean(B113:B116)</f>
        <v>11063.75</v>
      </c>
      <c r="D117" s="30">
        <f t="shared" si="0"/>
        <v>-844.75</v>
      </c>
    </row>
    <row r="118" spans="1:4" ht="15" customHeight="1" x14ac:dyDescent="0.25">
      <c r="A118" s="27" t="s">
        <v>126</v>
      </c>
      <c r="B118" s="30">
        <f xml:space="preserve"> 10230</f>
        <v>10230</v>
      </c>
      <c r="C118" s="30">
        <f>_xll.StatMean(B114:B117)</f>
        <v>11315.5</v>
      </c>
      <c r="D118" s="30">
        <f t="shared" si="0"/>
        <v>-1085.5</v>
      </c>
    </row>
    <row r="119" spans="1:4" ht="15" customHeight="1" x14ac:dyDescent="0.25">
      <c r="A119" s="27" t="s">
        <v>127</v>
      </c>
      <c r="B119" s="30">
        <f xml:space="preserve"> 9985</f>
        <v>9985</v>
      </c>
      <c r="C119" s="30">
        <f>_xll.StatMean(B115:B118)</f>
        <v>10570.75</v>
      </c>
      <c r="D119" s="30">
        <f t="shared" si="0"/>
        <v>-585.75</v>
      </c>
    </row>
    <row r="120" spans="1:4" ht="15" customHeight="1" x14ac:dyDescent="0.25">
      <c r="A120" s="27" t="s">
        <v>128</v>
      </c>
      <c r="B120" s="30">
        <f xml:space="preserve"> 6832</f>
        <v>6832</v>
      </c>
      <c r="C120" s="30">
        <f>_xll.StatMean(B116:B119)</f>
        <v>10493.5</v>
      </c>
      <c r="D120" s="30">
        <f t="shared" si="0"/>
        <v>-3661.5</v>
      </c>
    </row>
    <row r="121" spans="1:4" ht="15" customHeight="1" x14ac:dyDescent="0.25">
      <c r="A121" s="27" t="s">
        <v>129</v>
      </c>
      <c r="B121" s="30">
        <f xml:space="preserve"> 9050</f>
        <v>9050</v>
      </c>
      <c r="C121" s="30">
        <f>_xll.StatMean(B117:B120)</f>
        <v>9316.5</v>
      </c>
      <c r="D121" s="30">
        <f t="shared" si="0"/>
        <v>-266.5</v>
      </c>
    </row>
    <row r="122" spans="1:4" ht="15" customHeight="1" x14ac:dyDescent="0.25">
      <c r="A122" s="27" t="s">
        <v>130</v>
      </c>
      <c r="B122" s="30">
        <f xml:space="preserve"> 10082</f>
        <v>10082</v>
      </c>
      <c r="C122" s="30">
        <f>_xll.StatMean(B118:B121)</f>
        <v>9024.25</v>
      </c>
      <c r="D122" s="30">
        <f t="shared" si="0"/>
        <v>1057.75</v>
      </c>
    </row>
    <row r="123" spans="1:4" ht="15" customHeight="1" x14ac:dyDescent="0.25">
      <c r="A123" s="27" t="s">
        <v>131</v>
      </c>
      <c r="B123" s="30">
        <f xml:space="preserve"> 10659</f>
        <v>10659</v>
      </c>
      <c r="C123" s="30">
        <f>_xll.StatMean(B119:B122)</f>
        <v>8987.25</v>
      </c>
      <c r="D123" s="30">
        <f t="shared" si="0"/>
        <v>1671.75</v>
      </c>
    </row>
    <row r="124" spans="1:4" ht="15" customHeight="1" x14ac:dyDescent="0.25">
      <c r="A124" s="27" t="s">
        <v>132</v>
      </c>
      <c r="B124" s="30">
        <f xml:space="preserve"> 11458</f>
        <v>11458</v>
      </c>
      <c r="C124" s="30">
        <f>_xll.StatMean(B120:B123)</f>
        <v>9155.75</v>
      </c>
      <c r="D124" s="30">
        <f t="shared" si="0"/>
        <v>2302.25</v>
      </c>
    </row>
    <row r="125" spans="1:4" ht="15" customHeight="1" x14ac:dyDescent="0.25">
      <c r="A125" s="27" t="s">
        <v>133</v>
      </c>
      <c r="B125" s="30">
        <f xml:space="preserve"> 10867</f>
        <v>10867</v>
      </c>
      <c r="C125" s="30">
        <f>_xll.StatMean(B121:B124)</f>
        <v>10312.25</v>
      </c>
      <c r="D125" s="30">
        <f t="shared" si="0"/>
        <v>554.75</v>
      </c>
    </row>
    <row r="126" spans="1:4" ht="15" customHeight="1" x14ac:dyDescent="0.25">
      <c r="A126" s="27" t="s">
        <v>134</v>
      </c>
      <c r="B126" s="30">
        <f xml:space="preserve"> 12409</f>
        <v>12409</v>
      </c>
      <c r="C126" s="30">
        <f>_xll.StatMean(B122:B125)</f>
        <v>10766.5</v>
      </c>
      <c r="D126" s="30">
        <f t="shared" si="0"/>
        <v>1642.5</v>
      </c>
    </row>
    <row r="127" spans="1:4" ht="15" customHeight="1" x14ac:dyDescent="0.25">
      <c r="A127" s="27" t="s">
        <v>135</v>
      </c>
      <c r="B127" s="30">
        <f xml:space="preserve"> 11869</f>
        <v>11869</v>
      </c>
      <c r="C127" s="30">
        <f>_xll.StatMean(B123:B126)</f>
        <v>11348.25</v>
      </c>
      <c r="D127" s="30">
        <f t="shared" si="0"/>
        <v>520.75</v>
      </c>
    </row>
    <row r="128" spans="1:4" ht="15" customHeight="1" x14ac:dyDescent="0.25">
      <c r="A128" s="27" t="s">
        <v>136</v>
      </c>
      <c r="B128" s="30">
        <f xml:space="preserve"> 8729</f>
        <v>8729</v>
      </c>
      <c r="C128" s="30">
        <f>_xll.StatMean(B124:B127)</f>
        <v>11650.75</v>
      </c>
      <c r="D128" s="30">
        <f t="shared" si="0"/>
        <v>-2921.75</v>
      </c>
    </row>
    <row r="129" spans="1:4" ht="15" customHeight="1" x14ac:dyDescent="0.25">
      <c r="A129" s="27" t="s">
        <v>137</v>
      </c>
      <c r="B129" s="30">
        <f xml:space="preserve"> 10665</f>
        <v>10665</v>
      </c>
      <c r="C129" s="30">
        <f>_xll.StatMean(B125:B128)</f>
        <v>10968.5</v>
      </c>
      <c r="D129" s="30">
        <f t="shared" si="0"/>
        <v>-303.5</v>
      </c>
    </row>
    <row r="130" spans="1:4" ht="15" customHeight="1" x14ac:dyDescent="0.25">
      <c r="A130" s="27" t="s">
        <v>138</v>
      </c>
      <c r="B130" s="30">
        <f xml:space="preserve"> 8003</f>
        <v>8003</v>
      </c>
      <c r="C130" s="30">
        <f>_xll.StatMean(B126:B129)</f>
        <v>10918</v>
      </c>
      <c r="D130" s="30">
        <f t="shared" si="0"/>
        <v>-2915</v>
      </c>
    </row>
    <row r="131" spans="1:4" ht="15" customHeight="1" x14ac:dyDescent="0.25">
      <c r="A131" s="27" t="s">
        <v>139</v>
      </c>
      <c r="B131" s="30">
        <f xml:space="preserve"> 9224</f>
        <v>9224</v>
      </c>
      <c r="C131" s="30">
        <f>_xll.StatMean(B127:B130)</f>
        <v>9816.5</v>
      </c>
      <c r="D131" s="30">
        <f t="shared" si="0"/>
        <v>-592.5</v>
      </c>
    </row>
    <row r="132" spans="1:4" ht="15" customHeight="1" x14ac:dyDescent="0.25">
      <c r="A132" s="27" t="s">
        <v>140</v>
      </c>
      <c r="B132" s="30">
        <f xml:space="preserve"> 9140</f>
        <v>9140</v>
      </c>
      <c r="C132" s="30">
        <f>_xll.StatMean(B128:B131)</f>
        <v>9155.25</v>
      </c>
      <c r="D132" s="30">
        <f t="shared" si="0"/>
        <v>-15.25</v>
      </c>
    </row>
    <row r="133" spans="1:4" ht="15" customHeight="1" x14ac:dyDescent="0.25">
      <c r="A133" s="27" t="s">
        <v>141</v>
      </c>
      <c r="B133" s="30">
        <f xml:space="preserve"> 11616</f>
        <v>11616</v>
      </c>
      <c r="C133" s="30">
        <f>_xll.StatMean(B129:B132)</f>
        <v>9258</v>
      </c>
      <c r="D133" s="30">
        <f t="shared" si="0"/>
        <v>2358</v>
      </c>
    </row>
    <row r="134" spans="1:4" ht="15" customHeight="1" x14ac:dyDescent="0.25">
      <c r="A134" s="27" t="s">
        <v>142</v>
      </c>
      <c r="B134" s="30">
        <f xml:space="preserve"> 9428</f>
        <v>9428</v>
      </c>
      <c r="C134" s="30">
        <f>_xll.StatMean(B130:B133)</f>
        <v>9495.75</v>
      </c>
      <c r="D134" s="30">
        <f t="shared" si="0"/>
        <v>-67.75</v>
      </c>
    </row>
    <row r="135" spans="1:4" ht="15" customHeight="1" x14ac:dyDescent="0.25">
      <c r="A135" s="27" t="s">
        <v>143</v>
      </c>
      <c r="B135" s="30">
        <f xml:space="preserve"> 14249</f>
        <v>14249</v>
      </c>
      <c r="C135" s="30">
        <f>_xll.StatMean(B131:B134)</f>
        <v>9852</v>
      </c>
      <c r="D135" s="30">
        <f t="shared" si="0"/>
        <v>4397</v>
      </c>
    </row>
    <row r="136" spans="1:4" ht="15" customHeight="1" x14ac:dyDescent="0.25">
      <c r="A136" s="27" t="s">
        <v>144</v>
      </c>
      <c r="B136" s="30">
        <f xml:space="preserve"> 9511</f>
        <v>9511</v>
      </c>
      <c r="C136" s="30">
        <f>_xll.StatMean(B132:B135)</f>
        <v>11108.25</v>
      </c>
      <c r="D136" s="30">
        <f t="shared" si="0"/>
        <v>-1597.25</v>
      </c>
    </row>
    <row r="137" spans="1:4" ht="15" customHeight="1" x14ac:dyDescent="0.25">
      <c r="A137" s="27" t="s">
        <v>145</v>
      </c>
      <c r="B137" s="30">
        <f xml:space="preserve"> 12094</f>
        <v>12094</v>
      </c>
      <c r="C137" s="30">
        <f>_xll.StatMean(B133:B136)</f>
        <v>11201</v>
      </c>
      <c r="D137" s="30">
        <f t="shared" si="0"/>
        <v>893</v>
      </c>
    </row>
    <row r="138" spans="1:4" ht="15" customHeight="1" x14ac:dyDescent="0.25">
      <c r="A138" s="27" t="s">
        <v>146</v>
      </c>
      <c r="B138" s="30">
        <f xml:space="preserve"> 13273</f>
        <v>13273</v>
      </c>
      <c r="C138" s="30">
        <f>_xll.StatMean(B134:B137)</f>
        <v>11320.5</v>
      </c>
      <c r="D138" s="30">
        <f t="shared" si="0"/>
        <v>1952.5</v>
      </c>
    </row>
    <row r="139" spans="1:4" ht="15" customHeight="1" x14ac:dyDescent="0.25">
      <c r="A139" s="27" t="s">
        <v>147</v>
      </c>
      <c r="B139" s="30">
        <f xml:space="preserve"> 11184</f>
        <v>11184</v>
      </c>
      <c r="C139" s="30">
        <f>_xll.StatMean(B135:B138)</f>
        <v>12281.75</v>
      </c>
      <c r="D139" s="30">
        <f t="shared" si="0"/>
        <v>-1097.75</v>
      </c>
    </row>
    <row r="140" spans="1:4" ht="15" customHeight="1" x14ac:dyDescent="0.25">
      <c r="A140" s="27" t="s">
        <v>148</v>
      </c>
      <c r="B140" s="30">
        <f xml:space="preserve"> 10793</f>
        <v>10793</v>
      </c>
      <c r="C140" s="30">
        <f>_xll.StatMean(B136:B139)</f>
        <v>11515.5</v>
      </c>
      <c r="D140" s="30">
        <f t="shared" si="0"/>
        <v>-722.5</v>
      </c>
    </row>
    <row r="141" spans="1:4" ht="15" customHeight="1" x14ac:dyDescent="0.25">
      <c r="A141" s="27" t="s">
        <v>149</v>
      </c>
      <c r="B141" s="30">
        <f xml:space="preserve"> 8693</f>
        <v>8693</v>
      </c>
      <c r="C141" s="30">
        <f>_xll.StatMean(B137:B140)</f>
        <v>11836</v>
      </c>
      <c r="D141" s="30">
        <f t="shared" si="0"/>
        <v>-3143</v>
      </c>
    </row>
    <row r="142" spans="1:4" ht="15" customHeight="1" x14ac:dyDescent="0.25">
      <c r="A142" s="27" t="s">
        <v>150</v>
      </c>
      <c r="B142" s="30">
        <f xml:space="preserve"> 8479</f>
        <v>8479</v>
      </c>
      <c r="C142" s="30">
        <f>_xll.StatMean(B138:B141)</f>
        <v>10985.75</v>
      </c>
      <c r="D142" s="30">
        <f t="shared" si="0"/>
        <v>-2506.75</v>
      </c>
    </row>
    <row r="143" spans="1:4" ht="15" customHeight="1" x14ac:dyDescent="0.25">
      <c r="A143" s="27" t="s">
        <v>151</v>
      </c>
      <c r="B143" s="30">
        <f xml:space="preserve"> 8120</f>
        <v>8120</v>
      </c>
      <c r="C143" s="30">
        <f>_xll.StatMean(B139:B142)</f>
        <v>9787.25</v>
      </c>
      <c r="D143" s="30">
        <f t="shared" si="0"/>
        <v>-1667.25</v>
      </c>
    </row>
    <row r="144" spans="1:4" ht="15" customHeight="1" x14ac:dyDescent="0.25">
      <c r="A144" s="27" t="s">
        <v>152</v>
      </c>
      <c r="B144" s="30">
        <f xml:space="preserve"> 9239</f>
        <v>9239</v>
      </c>
      <c r="C144" s="30">
        <f>_xll.StatMean(B140:B143)</f>
        <v>9021.25</v>
      </c>
      <c r="D144" s="30">
        <f t="shared" si="0"/>
        <v>217.75</v>
      </c>
    </row>
    <row r="145" spans="1:4" ht="15" customHeight="1" x14ac:dyDescent="0.25">
      <c r="A145" s="27" t="s">
        <v>153</v>
      </c>
      <c r="B145" s="30">
        <f xml:space="preserve"> 9266</f>
        <v>9266</v>
      </c>
      <c r="C145" s="30">
        <f>_xll.StatMean(B141:B144)</f>
        <v>8632.75</v>
      </c>
      <c r="D145" s="30">
        <f t="shared" si="0"/>
        <v>633.25</v>
      </c>
    </row>
    <row r="146" spans="1:4" ht="15" customHeight="1" x14ac:dyDescent="0.25">
      <c r="A146" s="27" t="s">
        <v>154</v>
      </c>
      <c r="B146" s="30">
        <f xml:space="preserve"> 8652</f>
        <v>8652</v>
      </c>
      <c r="C146" s="30">
        <f>_xll.StatMean(B142:B145)</f>
        <v>8776</v>
      </c>
      <c r="D146" s="30">
        <f t="shared" si="0"/>
        <v>-124</v>
      </c>
    </row>
    <row r="147" spans="1:4" ht="15" customHeight="1" x14ac:dyDescent="0.25">
      <c r="A147" s="27" t="s">
        <v>155</v>
      </c>
      <c r="B147" s="30">
        <f xml:space="preserve"> 12405</f>
        <v>12405</v>
      </c>
      <c r="C147" s="30">
        <f>_xll.StatMean(B143:B146)</f>
        <v>8819.25</v>
      </c>
      <c r="D147" s="30">
        <f t="shared" si="0"/>
        <v>3585.75</v>
      </c>
    </row>
    <row r="148" spans="1:4" ht="15" customHeight="1" x14ac:dyDescent="0.25">
      <c r="A148" s="27" t="s">
        <v>156</v>
      </c>
      <c r="B148" s="30">
        <f xml:space="preserve"> 8964</f>
        <v>8964</v>
      </c>
      <c r="C148" s="30">
        <f>_xll.StatMean(B144:B147)</f>
        <v>9890.5</v>
      </c>
      <c r="D148" s="30">
        <f t="shared" si="0"/>
        <v>-926.5</v>
      </c>
    </row>
    <row r="149" spans="1:4" ht="15" customHeight="1" x14ac:dyDescent="0.25">
      <c r="A149" s="27" t="s">
        <v>157</v>
      </c>
      <c r="B149" s="30">
        <f xml:space="preserve"> 11521</f>
        <v>11521</v>
      </c>
      <c r="C149" s="30">
        <f>_xll.StatMean(B145:B148)</f>
        <v>9821.75</v>
      </c>
      <c r="D149" s="30">
        <f t="shared" si="0"/>
        <v>1699.25</v>
      </c>
    </row>
    <row r="150" spans="1:4" ht="15" customHeight="1" x14ac:dyDescent="0.25">
      <c r="A150" s="27" t="s">
        <v>158</v>
      </c>
      <c r="B150" s="30">
        <f xml:space="preserve"> 12368</f>
        <v>12368</v>
      </c>
      <c r="C150" s="30">
        <f>_xll.StatMean(B146:B149)</f>
        <v>10385.5</v>
      </c>
      <c r="D150" s="30">
        <f t="shared" si="0"/>
        <v>1982.5</v>
      </c>
    </row>
    <row r="151" spans="1:4" ht="15" customHeight="1" x14ac:dyDescent="0.25">
      <c r="A151" s="27" t="s">
        <v>159</v>
      </c>
      <c r="B151" s="30">
        <f xml:space="preserve"> 12729</f>
        <v>12729</v>
      </c>
      <c r="C151" s="30">
        <f>_xll.StatMean(B147:B150)</f>
        <v>11314.5</v>
      </c>
      <c r="D151" s="30">
        <f t="shared" si="0"/>
        <v>1414.5</v>
      </c>
    </row>
    <row r="152" spans="1:4" ht="15" customHeight="1" x14ac:dyDescent="0.25">
      <c r="A152" s="27" t="s">
        <v>160</v>
      </c>
      <c r="B152" s="30">
        <f xml:space="preserve"> 10956</f>
        <v>10956</v>
      </c>
      <c r="C152" s="30">
        <f>_xll.StatMean(B148:B151)</f>
        <v>11395.5</v>
      </c>
      <c r="D152" s="30">
        <f t="shared" ref="D152:D199" si="1">B152-C152</f>
        <v>-439.5</v>
      </c>
    </row>
    <row r="153" spans="1:4" ht="15" customHeight="1" x14ac:dyDescent="0.25">
      <c r="A153" s="27" t="s">
        <v>161</v>
      </c>
      <c r="B153" s="30">
        <f xml:space="preserve"> 12069</f>
        <v>12069</v>
      </c>
      <c r="C153" s="30">
        <f>_xll.StatMean(B149:B152)</f>
        <v>11893.5</v>
      </c>
      <c r="D153" s="30">
        <f t="shared" si="1"/>
        <v>175.5</v>
      </c>
    </row>
    <row r="154" spans="1:4" ht="15" customHeight="1" x14ac:dyDescent="0.25">
      <c r="A154" s="27" t="s">
        <v>162</v>
      </c>
      <c r="B154" s="30">
        <f xml:space="preserve"> 9902</f>
        <v>9902</v>
      </c>
      <c r="C154" s="30">
        <f>_xll.StatMean(B150:B153)</f>
        <v>12030.5</v>
      </c>
      <c r="D154" s="30">
        <f t="shared" si="1"/>
        <v>-2128.5</v>
      </c>
    </row>
    <row r="155" spans="1:4" ht="15" customHeight="1" x14ac:dyDescent="0.25">
      <c r="A155" s="27" t="s">
        <v>163</v>
      </c>
      <c r="B155" s="30">
        <f xml:space="preserve"> 10091</f>
        <v>10091</v>
      </c>
      <c r="C155" s="30">
        <f>_xll.StatMean(B151:B154)</f>
        <v>11414</v>
      </c>
      <c r="D155" s="30">
        <f t="shared" si="1"/>
        <v>-1323</v>
      </c>
    </row>
    <row r="156" spans="1:4" ht="15" customHeight="1" x14ac:dyDescent="0.25">
      <c r="A156" s="27" t="s">
        <v>164</v>
      </c>
      <c r="B156" s="30">
        <f xml:space="preserve"> 9769</f>
        <v>9769</v>
      </c>
      <c r="C156" s="30">
        <f>_xll.StatMean(B152:B155)</f>
        <v>10754.5</v>
      </c>
      <c r="D156" s="30">
        <f t="shared" si="1"/>
        <v>-985.5</v>
      </c>
    </row>
    <row r="157" spans="1:4" ht="15" customHeight="1" x14ac:dyDescent="0.25">
      <c r="A157" s="27" t="s">
        <v>165</v>
      </c>
      <c r="B157" s="30">
        <f xml:space="preserve"> 8578</f>
        <v>8578</v>
      </c>
      <c r="C157" s="30">
        <f>_xll.StatMean(B153:B156)</f>
        <v>10457.75</v>
      </c>
      <c r="D157" s="30">
        <f t="shared" si="1"/>
        <v>-1879.75</v>
      </c>
    </row>
    <row r="158" spans="1:4" ht="15" customHeight="1" x14ac:dyDescent="0.25">
      <c r="A158" s="27" t="s">
        <v>166</v>
      </c>
      <c r="B158" s="30">
        <f xml:space="preserve"> 9763</f>
        <v>9763</v>
      </c>
      <c r="C158" s="30">
        <f>_xll.StatMean(B154:B157)</f>
        <v>9585</v>
      </c>
      <c r="D158" s="30">
        <f t="shared" si="1"/>
        <v>178</v>
      </c>
    </row>
    <row r="159" spans="1:4" ht="15" customHeight="1" x14ac:dyDescent="0.25">
      <c r="A159" s="27" t="s">
        <v>167</v>
      </c>
      <c r="B159" s="30">
        <f xml:space="preserve"> 8348</f>
        <v>8348</v>
      </c>
      <c r="C159" s="30">
        <f>_xll.StatMean(B155:B158)</f>
        <v>9550.25</v>
      </c>
      <c r="D159" s="30">
        <f t="shared" si="1"/>
        <v>-1202.25</v>
      </c>
    </row>
    <row r="160" spans="1:4" ht="15" customHeight="1" x14ac:dyDescent="0.25">
      <c r="A160" s="27" t="s">
        <v>168</v>
      </c>
      <c r="B160" s="30">
        <f xml:space="preserve"> 9237</f>
        <v>9237</v>
      </c>
      <c r="C160" s="30">
        <f>_xll.StatMean(B156:B159)</f>
        <v>9114.5</v>
      </c>
      <c r="D160" s="30">
        <f t="shared" si="1"/>
        <v>122.5</v>
      </c>
    </row>
    <row r="161" spans="1:4" ht="15" customHeight="1" x14ac:dyDescent="0.25">
      <c r="A161" s="27" t="s">
        <v>169</v>
      </c>
      <c r="B161" s="30">
        <f xml:space="preserve"> 11204</f>
        <v>11204</v>
      </c>
      <c r="C161" s="30">
        <f>_xll.StatMean(B157:B160)</f>
        <v>8981.5</v>
      </c>
      <c r="D161" s="30">
        <f t="shared" si="1"/>
        <v>2222.5</v>
      </c>
    </row>
    <row r="162" spans="1:4" ht="15" customHeight="1" x14ac:dyDescent="0.25">
      <c r="A162" s="27" t="s">
        <v>170</v>
      </c>
      <c r="B162" s="30">
        <f xml:space="preserve"> 10737</f>
        <v>10737</v>
      </c>
      <c r="C162" s="30">
        <f>_xll.StatMean(B158:B161)</f>
        <v>9638</v>
      </c>
      <c r="D162" s="30">
        <f t="shared" si="1"/>
        <v>1099</v>
      </c>
    </row>
    <row r="163" spans="1:4" ht="15" customHeight="1" x14ac:dyDescent="0.25">
      <c r="A163" s="27" t="s">
        <v>171</v>
      </c>
      <c r="B163" s="30">
        <f xml:space="preserve"> 12276</f>
        <v>12276</v>
      </c>
      <c r="C163" s="30">
        <f>_xll.StatMean(B159:B162)</f>
        <v>9881.5</v>
      </c>
      <c r="D163" s="30">
        <f t="shared" si="1"/>
        <v>2394.5</v>
      </c>
    </row>
    <row r="164" spans="1:4" ht="15" customHeight="1" x14ac:dyDescent="0.25">
      <c r="A164" s="27" t="s">
        <v>172</v>
      </c>
      <c r="B164" s="30">
        <f xml:space="preserve"> 9230</f>
        <v>9230</v>
      </c>
      <c r="C164" s="30">
        <f>_xll.StatMean(B160:B163)</f>
        <v>10863.5</v>
      </c>
      <c r="D164" s="30">
        <f t="shared" si="1"/>
        <v>-1633.5</v>
      </c>
    </row>
    <row r="165" spans="1:4" ht="15" customHeight="1" x14ac:dyDescent="0.25">
      <c r="A165" s="27" t="s">
        <v>173</v>
      </c>
      <c r="B165" s="30">
        <f xml:space="preserve"> 9405</f>
        <v>9405</v>
      </c>
      <c r="C165" s="30">
        <f>_xll.StatMean(B161:B164)</f>
        <v>10861.75</v>
      </c>
      <c r="D165" s="30">
        <f t="shared" si="1"/>
        <v>-1456.75</v>
      </c>
    </row>
    <row r="166" spans="1:4" ht="15" customHeight="1" x14ac:dyDescent="0.25">
      <c r="A166" s="27" t="s">
        <v>174</v>
      </c>
      <c r="B166" s="30">
        <f xml:space="preserve"> 10378</f>
        <v>10378</v>
      </c>
      <c r="C166" s="30">
        <f>_xll.StatMean(B162:B165)</f>
        <v>10412</v>
      </c>
      <c r="D166" s="30">
        <f t="shared" si="1"/>
        <v>-34</v>
      </c>
    </row>
    <row r="167" spans="1:4" ht="15" customHeight="1" x14ac:dyDescent="0.25">
      <c r="A167" s="27" t="s">
        <v>175</v>
      </c>
      <c r="B167" s="30">
        <f xml:space="preserve"> 8827</f>
        <v>8827</v>
      </c>
      <c r="C167" s="30">
        <f>_xll.StatMean(B163:B166)</f>
        <v>10322.25</v>
      </c>
      <c r="D167" s="30">
        <f t="shared" si="1"/>
        <v>-1495.25</v>
      </c>
    </row>
    <row r="168" spans="1:4" ht="15" customHeight="1" x14ac:dyDescent="0.25">
      <c r="A168" s="27" t="s">
        <v>176</v>
      </c>
      <c r="B168" s="30">
        <f xml:space="preserve"> 8559</f>
        <v>8559</v>
      </c>
      <c r="C168" s="30">
        <f>_xll.StatMean(B164:B167)</f>
        <v>9460</v>
      </c>
      <c r="D168" s="30">
        <f t="shared" si="1"/>
        <v>-901</v>
      </c>
    </row>
    <row r="169" spans="1:4" ht="15" customHeight="1" x14ac:dyDescent="0.25">
      <c r="A169" s="27" t="s">
        <v>177</v>
      </c>
      <c r="B169" s="30">
        <f xml:space="preserve"> 9143</f>
        <v>9143</v>
      </c>
      <c r="C169" s="30">
        <f>_xll.StatMean(B165:B168)</f>
        <v>9292.25</v>
      </c>
      <c r="D169" s="30">
        <f t="shared" si="1"/>
        <v>-149.25</v>
      </c>
    </row>
    <row r="170" spans="1:4" ht="15" customHeight="1" x14ac:dyDescent="0.25">
      <c r="A170" s="27" t="s">
        <v>178</v>
      </c>
      <c r="B170" s="30">
        <f xml:space="preserve"> 9989</f>
        <v>9989</v>
      </c>
      <c r="C170" s="30">
        <f>_xll.StatMean(B166:B169)</f>
        <v>9226.75</v>
      </c>
      <c r="D170" s="30">
        <f t="shared" si="1"/>
        <v>762.25</v>
      </c>
    </row>
    <row r="171" spans="1:4" ht="15" customHeight="1" x14ac:dyDescent="0.25">
      <c r="A171" s="27" t="s">
        <v>179</v>
      </c>
      <c r="B171" s="30">
        <f xml:space="preserve"> 9299</f>
        <v>9299</v>
      </c>
      <c r="C171" s="30">
        <f>_xll.StatMean(B167:B170)</f>
        <v>9129.5</v>
      </c>
      <c r="D171" s="30">
        <f t="shared" si="1"/>
        <v>169.5</v>
      </c>
    </row>
    <row r="172" spans="1:4" ht="15" customHeight="1" x14ac:dyDescent="0.25">
      <c r="A172" s="27" t="s">
        <v>180</v>
      </c>
      <c r="B172" s="30">
        <f xml:space="preserve"> 10524</f>
        <v>10524</v>
      </c>
      <c r="C172" s="30">
        <f>_xll.StatMean(B168:B171)</f>
        <v>9247.5</v>
      </c>
      <c r="D172" s="30">
        <f t="shared" si="1"/>
        <v>1276.5</v>
      </c>
    </row>
    <row r="173" spans="1:4" ht="15" customHeight="1" x14ac:dyDescent="0.25">
      <c r="A173" s="27" t="s">
        <v>181</v>
      </c>
      <c r="B173" s="30">
        <f xml:space="preserve"> 12887</f>
        <v>12887</v>
      </c>
      <c r="C173" s="30">
        <f>_xll.StatMean(B169:B172)</f>
        <v>9738.75</v>
      </c>
      <c r="D173" s="30">
        <f t="shared" si="1"/>
        <v>3148.25</v>
      </c>
    </row>
    <row r="174" spans="1:4" ht="15" customHeight="1" x14ac:dyDescent="0.25">
      <c r="A174" s="27" t="s">
        <v>182</v>
      </c>
      <c r="B174" s="30">
        <f xml:space="preserve"> 11145</f>
        <v>11145</v>
      </c>
      <c r="C174" s="30">
        <f>_xll.StatMean(B170:B173)</f>
        <v>10674.75</v>
      </c>
      <c r="D174" s="30">
        <f t="shared" si="1"/>
        <v>470.25</v>
      </c>
    </row>
    <row r="175" spans="1:4" ht="15" customHeight="1" x14ac:dyDescent="0.25">
      <c r="A175" s="27" t="s">
        <v>183</v>
      </c>
      <c r="B175" s="30">
        <f xml:space="preserve"> 11882</f>
        <v>11882</v>
      </c>
      <c r="C175" s="30">
        <f>_xll.StatMean(B171:B174)</f>
        <v>10963.75</v>
      </c>
      <c r="D175" s="30">
        <f t="shared" si="1"/>
        <v>918.25</v>
      </c>
    </row>
    <row r="176" spans="1:4" ht="15" customHeight="1" x14ac:dyDescent="0.25">
      <c r="A176" s="27" t="s">
        <v>184</v>
      </c>
      <c r="B176" s="30">
        <f xml:space="preserve"> 9448</f>
        <v>9448</v>
      </c>
      <c r="C176" s="30">
        <f>_xll.StatMean(B172:B175)</f>
        <v>11609.5</v>
      </c>
      <c r="D176" s="30">
        <f t="shared" si="1"/>
        <v>-2161.5</v>
      </c>
    </row>
    <row r="177" spans="1:4" ht="15" customHeight="1" x14ac:dyDescent="0.25">
      <c r="A177" s="27" t="s">
        <v>185</v>
      </c>
      <c r="B177" s="30">
        <f xml:space="preserve"> 7857</f>
        <v>7857</v>
      </c>
      <c r="C177" s="30">
        <f>_xll.StatMean(B173:B176)</f>
        <v>11340.5</v>
      </c>
      <c r="D177" s="30">
        <f t="shared" si="1"/>
        <v>-3483.5</v>
      </c>
    </row>
    <row r="178" spans="1:4" ht="15" customHeight="1" x14ac:dyDescent="0.25">
      <c r="A178" s="27" t="s">
        <v>186</v>
      </c>
      <c r="B178" s="30">
        <f xml:space="preserve"> 8482</f>
        <v>8482</v>
      </c>
      <c r="C178" s="30">
        <f>_xll.StatMean(B174:B177)</f>
        <v>10083</v>
      </c>
      <c r="D178" s="30">
        <f t="shared" si="1"/>
        <v>-1601</v>
      </c>
    </row>
    <row r="179" spans="1:4" ht="15" customHeight="1" x14ac:dyDescent="0.25">
      <c r="A179" s="27" t="s">
        <v>187</v>
      </c>
      <c r="B179" s="30">
        <f xml:space="preserve"> 9064</f>
        <v>9064</v>
      </c>
      <c r="C179" s="30">
        <f>_xll.StatMean(B175:B178)</f>
        <v>9417.25</v>
      </c>
      <c r="D179" s="30">
        <f t="shared" si="1"/>
        <v>-353.25</v>
      </c>
    </row>
    <row r="180" spans="1:4" ht="15" customHeight="1" x14ac:dyDescent="0.25">
      <c r="A180" s="27" t="s">
        <v>188</v>
      </c>
      <c r="B180" s="30">
        <f xml:space="preserve"> 7591</f>
        <v>7591</v>
      </c>
      <c r="C180" s="30">
        <f>_xll.StatMean(B176:B179)</f>
        <v>8712.75</v>
      </c>
      <c r="D180" s="30">
        <f t="shared" si="1"/>
        <v>-1121.75</v>
      </c>
    </row>
    <row r="181" spans="1:4" ht="15" customHeight="1" x14ac:dyDescent="0.25">
      <c r="A181" s="27" t="s">
        <v>189</v>
      </c>
      <c r="B181" s="30">
        <f xml:space="preserve"> 8801</f>
        <v>8801</v>
      </c>
      <c r="C181" s="30">
        <f>_xll.StatMean(B177:B180)</f>
        <v>8248.5</v>
      </c>
      <c r="D181" s="30">
        <f t="shared" si="1"/>
        <v>552.5</v>
      </c>
    </row>
    <row r="182" spans="1:4" ht="15" customHeight="1" x14ac:dyDescent="0.25">
      <c r="A182" s="27" t="s">
        <v>190</v>
      </c>
      <c r="B182" s="30">
        <f xml:space="preserve"> 10634</f>
        <v>10634</v>
      </c>
      <c r="C182" s="30">
        <f>_xll.StatMean(B178:B181)</f>
        <v>8484.5</v>
      </c>
      <c r="D182" s="30">
        <f t="shared" si="1"/>
        <v>2149.5</v>
      </c>
    </row>
    <row r="183" spans="1:4" ht="15" customHeight="1" x14ac:dyDescent="0.25">
      <c r="A183" s="27" t="s">
        <v>191</v>
      </c>
      <c r="B183" s="30">
        <f xml:space="preserve"> 9951</f>
        <v>9951</v>
      </c>
      <c r="C183" s="30">
        <f>_xll.StatMean(B179:B182)</f>
        <v>9022.5</v>
      </c>
      <c r="D183" s="30">
        <f t="shared" si="1"/>
        <v>928.5</v>
      </c>
    </row>
    <row r="184" spans="1:4" ht="15" customHeight="1" x14ac:dyDescent="0.25">
      <c r="A184" s="27" t="s">
        <v>192</v>
      </c>
      <c r="B184" s="30">
        <f xml:space="preserve"> 11214</f>
        <v>11214</v>
      </c>
      <c r="C184" s="30">
        <f>_xll.StatMean(B180:B183)</f>
        <v>9244.25</v>
      </c>
      <c r="D184" s="30">
        <f t="shared" si="1"/>
        <v>1969.75</v>
      </c>
    </row>
    <row r="185" spans="1:4" ht="15" customHeight="1" x14ac:dyDescent="0.25">
      <c r="A185" s="27" t="s">
        <v>193</v>
      </c>
      <c r="B185" s="30">
        <f xml:space="preserve"> 10990</f>
        <v>10990</v>
      </c>
      <c r="C185" s="30">
        <f>_xll.StatMean(B181:B184)</f>
        <v>10150</v>
      </c>
      <c r="D185" s="30">
        <f t="shared" si="1"/>
        <v>840</v>
      </c>
    </row>
    <row r="186" spans="1:4" ht="15" customHeight="1" x14ac:dyDescent="0.25">
      <c r="A186" s="27" t="s">
        <v>194</v>
      </c>
      <c r="B186" s="30">
        <f xml:space="preserve"> 11975</f>
        <v>11975</v>
      </c>
      <c r="C186" s="30">
        <f>_xll.StatMean(B182:B185)</f>
        <v>10697.25</v>
      </c>
      <c r="D186" s="30">
        <f t="shared" si="1"/>
        <v>1277.75</v>
      </c>
    </row>
    <row r="187" spans="1:4" ht="15" customHeight="1" x14ac:dyDescent="0.25">
      <c r="A187" s="27" t="s">
        <v>195</v>
      </c>
      <c r="B187" s="30">
        <f xml:space="preserve"> 12137</f>
        <v>12137</v>
      </c>
      <c r="C187" s="30">
        <f>_xll.StatMean(B183:B186)</f>
        <v>11032.5</v>
      </c>
      <c r="D187" s="30">
        <f t="shared" si="1"/>
        <v>1104.5</v>
      </c>
    </row>
    <row r="188" spans="1:4" ht="15" customHeight="1" x14ac:dyDescent="0.25">
      <c r="A188" s="27" t="s">
        <v>196</v>
      </c>
      <c r="B188" s="30">
        <f xml:space="preserve"> 10892</f>
        <v>10892</v>
      </c>
      <c r="C188" s="30">
        <f>_xll.StatMean(B184:B187)</f>
        <v>11579</v>
      </c>
      <c r="D188" s="30">
        <f t="shared" si="1"/>
        <v>-687</v>
      </c>
    </row>
    <row r="189" spans="1:4" ht="15" customHeight="1" x14ac:dyDescent="0.25">
      <c r="A189" s="27" t="s">
        <v>197</v>
      </c>
      <c r="B189" s="30">
        <f xml:space="preserve"> 11249</f>
        <v>11249</v>
      </c>
      <c r="C189" s="30">
        <f>_xll.StatMean(B185:B188)</f>
        <v>11498.5</v>
      </c>
      <c r="D189" s="30">
        <f t="shared" si="1"/>
        <v>-249.5</v>
      </c>
    </row>
    <row r="190" spans="1:4" ht="15" customHeight="1" x14ac:dyDescent="0.25">
      <c r="A190" s="27" t="s">
        <v>198</v>
      </c>
      <c r="B190" s="30">
        <f xml:space="preserve"> 7531</f>
        <v>7531</v>
      </c>
      <c r="C190" s="30">
        <f>_xll.StatMean(B186:B189)</f>
        <v>11563.25</v>
      </c>
      <c r="D190" s="30">
        <f t="shared" si="1"/>
        <v>-4032.25</v>
      </c>
    </row>
    <row r="191" spans="1:4" ht="15" customHeight="1" x14ac:dyDescent="0.25">
      <c r="A191" s="27" t="s">
        <v>199</v>
      </c>
      <c r="B191" s="30">
        <f xml:space="preserve"> 7992</f>
        <v>7992</v>
      </c>
      <c r="C191" s="30">
        <f>_xll.StatMean(B187:B190)</f>
        <v>10452.25</v>
      </c>
      <c r="D191" s="30">
        <f t="shared" si="1"/>
        <v>-2460.25</v>
      </c>
    </row>
    <row r="192" spans="1:4" ht="15" customHeight="1" x14ac:dyDescent="0.25">
      <c r="A192" s="27" t="s">
        <v>200</v>
      </c>
      <c r="B192" s="30">
        <f xml:space="preserve"> 9230</f>
        <v>9230</v>
      </c>
      <c r="C192" s="30">
        <f>_xll.StatMean(B188:B191)</f>
        <v>9416</v>
      </c>
      <c r="D192" s="30">
        <f t="shared" si="1"/>
        <v>-186</v>
      </c>
    </row>
    <row r="193" spans="1:4" ht="15" customHeight="1" x14ac:dyDescent="0.25">
      <c r="A193" s="27" t="s">
        <v>201</v>
      </c>
      <c r="B193" s="30">
        <f xml:space="preserve"> 10123</f>
        <v>10123</v>
      </c>
      <c r="C193" s="30">
        <f>_xll.StatMean(B189:B192)</f>
        <v>9000.5</v>
      </c>
      <c r="D193" s="30">
        <f t="shared" si="1"/>
        <v>1122.5</v>
      </c>
    </row>
    <row r="194" spans="1:4" ht="15" customHeight="1" x14ac:dyDescent="0.25">
      <c r="A194" s="27" t="s">
        <v>202</v>
      </c>
      <c r="B194" s="30">
        <f xml:space="preserve"> 11419</f>
        <v>11419</v>
      </c>
      <c r="C194" s="30">
        <f>_xll.StatMean(B190:B193)</f>
        <v>8719</v>
      </c>
      <c r="D194" s="30">
        <f t="shared" si="1"/>
        <v>2700</v>
      </c>
    </row>
    <row r="195" spans="1:4" ht="15" customHeight="1" x14ac:dyDescent="0.25">
      <c r="A195" s="27" t="s">
        <v>203</v>
      </c>
      <c r="B195" s="30">
        <f xml:space="preserve"> 12102</f>
        <v>12102</v>
      </c>
      <c r="C195" s="30">
        <f>_xll.StatMean(B191:B194)</f>
        <v>9691</v>
      </c>
      <c r="D195" s="30">
        <f t="shared" si="1"/>
        <v>2411</v>
      </c>
    </row>
    <row r="196" spans="1:4" ht="15" customHeight="1" x14ac:dyDescent="0.25">
      <c r="A196" s="27" t="s">
        <v>204</v>
      </c>
      <c r="B196" s="30">
        <f xml:space="preserve"> 10903</f>
        <v>10903</v>
      </c>
      <c r="C196" s="30">
        <f>_xll.StatMean(B192:B195)</f>
        <v>10718.5</v>
      </c>
      <c r="D196" s="30">
        <f t="shared" si="1"/>
        <v>184.5</v>
      </c>
    </row>
    <row r="197" spans="1:4" ht="15" customHeight="1" x14ac:dyDescent="0.25">
      <c r="A197" s="27" t="s">
        <v>205</v>
      </c>
      <c r="B197" s="30">
        <f xml:space="preserve"> 12513</f>
        <v>12513</v>
      </c>
      <c r="C197" s="30">
        <f>_xll.StatMean(B193:B196)</f>
        <v>11136.75</v>
      </c>
      <c r="D197" s="30">
        <f t="shared" si="1"/>
        <v>1376.25</v>
      </c>
    </row>
    <row r="198" spans="1:4" ht="15" customHeight="1" x14ac:dyDescent="0.25">
      <c r="A198" s="27" t="s">
        <v>206</v>
      </c>
      <c r="B198" s="30">
        <f xml:space="preserve"> 10696</f>
        <v>10696</v>
      </c>
      <c r="C198" s="30">
        <f>_xll.StatMean(B194:B197)</f>
        <v>11734.25</v>
      </c>
      <c r="D198" s="30">
        <f t="shared" si="1"/>
        <v>-1038.25</v>
      </c>
    </row>
    <row r="199" spans="1:4" ht="15" customHeight="1" x14ac:dyDescent="0.25">
      <c r="A199" s="40" t="s">
        <v>207</v>
      </c>
      <c r="B199" s="41">
        <f xml:space="preserve"> 13758</f>
        <v>13758</v>
      </c>
      <c r="C199" s="41">
        <f>_xll.StatMean(B195:B198)</f>
        <v>11553.5</v>
      </c>
      <c r="D199" s="41">
        <f t="shared" si="1"/>
        <v>2204.5</v>
      </c>
    </row>
    <row r="200" spans="1:4" ht="15" customHeight="1" x14ac:dyDescent="0.25">
      <c r="A200" s="27" t="s">
        <v>208</v>
      </c>
      <c r="B200" s="30"/>
      <c r="C200" s="30">
        <f>_xll.StatMean(B196:B199)</f>
        <v>11967.5</v>
      </c>
      <c r="D200" s="30"/>
    </row>
    <row r="201" spans="1:4" ht="15" customHeight="1" x14ac:dyDescent="0.25">
      <c r="A201" s="27" t="s">
        <v>213</v>
      </c>
      <c r="B201" s="30"/>
      <c r="C201" s="30">
        <f>_xll.StatMean(B197:B199,C200)</f>
        <v>12233.625</v>
      </c>
      <c r="D201" s="30"/>
    </row>
    <row r="202" spans="1:4" ht="15" customHeight="1" x14ac:dyDescent="0.25">
      <c r="A202" s="27" t="s">
        <v>214</v>
      </c>
      <c r="B202" s="30"/>
      <c r="C202" s="30">
        <f>_xll.StatMean(B198:B199,C200:C201)</f>
        <v>12163.78125</v>
      </c>
      <c r="D202" s="30"/>
    </row>
    <row r="203" spans="1:4" ht="15" customHeight="1" x14ac:dyDescent="0.25">
      <c r="A203" s="27" t="s">
        <v>215</v>
      </c>
      <c r="B203" s="30"/>
      <c r="C203" s="30">
        <f>_xll.StatMean(B199,C200:C202)</f>
        <v>12530.7265625</v>
      </c>
      <c r="D203" s="30"/>
    </row>
    <row r="204" spans="1:4" ht="15" customHeight="1" x14ac:dyDescent="0.25">
      <c r="A204" s="27" t="s">
        <v>216</v>
      </c>
      <c r="B204" s="30"/>
      <c r="C204" s="30">
        <f>_xll.StatMean(C200:C203)</f>
        <v>12223.908203125</v>
      </c>
      <c r="D204" s="30"/>
    </row>
    <row r="205" spans="1:4" ht="15" customHeight="1" x14ac:dyDescent="0.25">
      <c r="A205" s="27" t="s">
        <v>217</v>
      </c>
      <c r="B205" s="30"/>
      <c r="C205" s="30">
        <f>_xll.StatMean(C201:C204)</f>
        <v>12288.01025390625</v>
      </c>
      <c r="D205" s="30"/>
    </row>
    <row r="206" spans="1:4" ht="15" customHeight="1" x14ac:dyDescent="0.25">
      <c r="A206" s="27" t="s">
        <v>218</v>
      </c>
      <c r="B206" s="30"/>
      <c r="C206" s="30">
        <f>_xll.StatMean(C202:C205)</f>
        <v>12301.606567382813</v>
      </c>
      <c r="D206" s="30"/>
    </row>
    <row r="207" spans="1:4" ht="15" customHeight="1" x14ac:dyDescent="0.25">
      <c r="A207" s="27" t="s">
        <v>219</v>
      </c>
      <c r="B207" s="30"/>
      <c r="C207" s="30">
        <f>_xll.StatMean(C203:C206)</f>
        <v>12336.062896728516</v>
      </c>
      <c r="D207" s="30"/>
    </row>
  </sheetData>
  <pageMargins left="0.7" right="0.7" top="0.75" bottom="0.75" header="0.3" footer="0.3"/>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07"/>
  <sheetViews>
    <sheetView showGridLines="0" topLeftCell="A3" workbookViewId="0">
      <selection activeCell="G21" sqref="G21"/>
    </sheetView>
  </sheetViews>
  <sheetFormatPr defaultColWidth="12.7109375" defaultRowHeight="15" x14ac:dyDescent="0.25"/>
  <cols>
    <col min="1" max="1" width="34.140625" bestFit="1" customWidth="1"/>
    <col min="2" max="5" width="12.7109375" customWidth="1"/>
  </cols>
  <sheetData>
    <row r="1" spans="1:2" s="16" customFormat="1" ht="18.75" x14ac:dyDescent="0.3">
      <c r="A1" s="22" t="s">
        <v>75</v>
      </c>
      <c r="B1" s="20"/>
    </row>
    <row r="2" spans="1:2" s="16" customFormat="1" ht="11.25" x14ac:dyDescent="0.2">
      <c r="A2" s="18" t="s">
        <v>76</v>
      </c>
      <c r="B2" s="20" t="s">
        <v>77</v>
      </c>
    </row>
    <row r="3" spans="1:2" s="16" customFormat="1" ht="11.25" x14ac:dyDescent="0.2">
      <c r="A3" s="18" t="s">
        <v>78</v>
      </c>
      <c r="B3" s="20" t="s">
        <v>79</v>
      </c>
    </row>
    <row r="4" spans="1:2" s="16" customFormat="1" ht="11.25" x14ac:dyDescent="0.2">
      <c r="A4" s="18" t="s">
        <v>80</v>
      </c>
      <c r="B4" s="23">
        <v>45067</v>
      </c>
    </row>
    <row r="5" spans="1:2" s="17" customFormat="1" ht="11.25" x14ac:dyDescent="0.2">
      <c r="A5" s="19" t="s">
        <v>81</v>
      </c>
      <c r="B5" s="21" t="s">
        <v>82</v>
      </c>
    </row>
    <row r="7" spans="1:2" ht="15" customHeight="1" x14ac:dyDescent="0.25">
      <c r="A7" s="28" t="s">
        <v>236</v>
      </c>
      <c r="B7" s="25"/>
    </row>
    <row r="8" spans="1:2" ht="15" customHeight="1" thickBot="1" x14ac:dyDescent="0.3">
      <c r="A8" s="39" t="s">
        <v>235</v>
      </c>
      <c r="B8" s="38"/>
    </row>
    <row r="9" spans="1:2" ht="15" customHeight="1" thickTop="1" x14ac:dyDescent="0.25">
      <c r="A9" s="27" t="s">
        <v>229</v>
      </c>
      <c r="B9" s="35">
        <v>0.48294374832999382</v>
      </c>
    </row>
    <row r="10" spans="1:2" ht="15" customHeight="1" x14ac:dyDescent="0.25"/>
    <row r="11" spans="1:2" ht="15" customHeight="1" x14ac:dyDescent="0.25">
      <c r="A11" s="28"/>
      <c r="B11" s="25"/>
    </row>
    <row r="12" spans="1:2" ht="15" customHeight="1" thickBot="1" x14ac:dyDescent="0.3">
      <c r="A12" s="39" t="s">
        <v>237</v>
      </c>
      <c r="B12" s="38"/>
    </row>
    <row r="13" spans="1:2" ht="15" customHeight="1" thickTop="1" x14ac:dyDescent="0.25">
      <c r="A13" s="27" t="s">
        <v>88</v>
      </c>
      <c r="B13" s="30">
        <f>_xll.StatMeanAbs(E84:E199)</f>
        <v>1385.713981177171</v>
      </c>
    </row>
    <row r="14" spans="1:2" ht="15" customHeight="1" x14ac:dyDescent="0.25">
      <c r="A14" s="27" t="s">
        <v>89</v>
      </c>
      <c r="B14" s="30">
        <f>SQRT(SUMSQ(E84:E199)/_xll.StatCount(E84:E199))</f>
        <v>1749.5066478718018</v>
      </c>
    </row>
    <row r="15" spans="1:2" ht="15" customHeight="1" x14ac:dyDescent="0.25">
      <c r="A15" s="27" t="s">
        <v>90</v>
      </c>
      <c r="B15" s="33">
        <f>_xll.StatPairMeanAbsQuotient(E84:E199,B84:B199)</f>
        <v>0.13585788397952078</v>
      </c>
    </row>
    <row r="16" spans="1:2"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spans="1:5" ht="15" customHeight="1" x14ac:dyDescent="0.25">
      <c r="A81" s="28"/>
      <c r="B81" s="25"/>
      <c r="C81" s="25"/>
      <c r="D81" s="25"/>
      <c r="E81" s="25"/>
    </row>
    <row r="82" spans="1:5" ht="15" customHeight="1" thickBot="1" x14ac:dyDescent="0.3">
      <c r="A82" s="39" t="s">
        <v>86</v>
      </c>
      <c r="B82" s="38" t="s">
        <v>0</v>
      </c>
      <c r="C82" s="38" t="s">
        <v>232</v>
      </c>
      <c r="D82" s="38" t="s">
        <v>77</v>
      </c>
      <c r="E82" s="38" t="s">
        <v>209</v>
      </c>
    </row>
    <row r="83" spans="1:5" ht="15" customHeight="1" thickTop="1" x14ac:dyDescent="0.25">
      <c r="A83" s="27" t="s">
        <v>91</v>
      </c>
      <c r="B83" s="30">
        <f xml:space="preserve"> 7419</f>
        <v>7419</v>
      </c>
      <c r="C83" s="30">
        <f>B83</f>
        <v>7419</v>
      </c>
      <c r="D83" s="30"/>
      <c r="E83" s="30"/>
    </row>
    <row r="84" spans="1:5" ht="15" customHeight="1" x14ac:dyDescent="0.25">
      <c r="A84" s="27" t="s">
        <v>92</v>
      </c>
      <c r="B84" s="30">
        <f xml:space="preserve"> 8824</f>
        <v>8824</v>
      </c>
      <c r="C84" s="30">
        <f>$B$9*B84+(1-$B$9)*C83</f>
        <v>8097.5359664036405</v>
      </c>
      <c r="D84" s="30">
        <f>C83</f>
        <v>7419</v>
      </c>
      <c r="E84" s="30">
        <f>B84-D84</f>
        <v>1405</v>
      </c>
    </row>
    <row r="85" spans="1:5" ht="15" customHeight="1" x14ac:dyDescent="0.25">
      <c r="A85" s="27" t="s">
        <v>93</v>
      </c>
      <c r="B85" s="30">
        <f xml:space="preserve"> 11583</f>
        <v>11583</v>
      </c>
      <c r="C85" s="30">
        <f t="shared" ref="C85:C148" si="0">$B$9*B85+(1-$B$9)*C84</f>
        <v>9780.8190314580461</v>
      </c>
      <c r="D85" s="30">
        <f t="shared" ref="D85:D148" si="1">C84</f>
        <v>8097.5359664036405</v>
      </c>
      <c r="E85" s="30">
        <f t="shared" ref="E85:E148" si="2">B85-D85</f>
        <v>3485.4640335963595</v>
      </c>
    </row>
    <row r="86" spans="1:5" ht="15" customHeight="1" x14ac:dyDescent="0.25">
      <c r="A86" s="27" t="s">
        <v>94</v>
      </c>
      <c r="B86" s="30">
        <f xml:space="preserve"> 7958</f>
        <v>7958</v>
      </c>
      <c r="C86" s="30">
        <f t="shared" si="0"/>
        <v>8900.499975878447</v>
      </c>
      <c r="D86" s="30">
        <f t="shared" si="1"/>
        <v>9780.8190314580461</v>
      </c>
      <c r="E86" s="30">
        <f t="shared" si="2"/>
        <v>-1822.8190314580461</v>
      </c>
    </row>
    <row r="87" spans="1:5" ht="15" customHeight="1" x14ac:dyDescent="0.25">
      <c r="A87" s="27" t="s">
        <v>95</v>
      </c>
      <c r="B87" s="30">
        <f xml:space="preserve"> 11933</f>
        <v>11933</v>
      </c>
      <c r="C87" s="30">
        <f t="shared" si="0"/>
        <v>10365.026904338505</v>
      </c>
      <c r="D87" s="30">
        <f t="shared" si="1"/>
        <v>8900.499975878447</v>
      </c>
      <c r="E87" s="30">
        <f t="shared" si="2"/>
        <v>3032.500024121553</v>
      </c>
    </row>
    <row r="88" spans="1:5" ht="15" customHeight="1" x14ac:dyDescent="0.25">
      <c r="A88" s="27" t="s">
        <v>96</v>
      </c>
      <c r="B88" s="30">
        <f xml:space="preserve"> 11227</f>
        <v>11227</v>
      </c>
      <c r="C88" s="30">
        <f t="shared" si="0"/>
        <v>10781.311422116876</v>
      </c>
      <c r="D88" s="30">
        <f t="shared" si="1"/>
        <v>10365.026904338505</v>
      </c>
      <c r="E88" s="30">
        <f t="shared" si="2"/>
        <v>861.97309566149488</v>
      </c>
    </row>
    <row r="89" spans="1:5" ht="15" customHeight="1" x14ac:dyDescent="0.25">
      <c r="A89" s="27" t="s">
        <v>97</v>
      </c>
      <c r="B89" s="30">
        <f xml:space="preserve"> 11258</f>
        <v>11258</v>
      </c>
      <c r="C89" s="30">
        <f t="shared" si="0"/>
        <v>11011.525190705845</v>
      </c>
      <c r="D89" s="30">
        <f t="shared" si="1"/>
        <v>10781.311422116876</v>
      </c>
      <c r="E89" s="30">
        <f t="shared" si="2"/>
        <v>476.6885778831238</v>
      </c>
    </row>
    <row r="90" spans="1:5" ht="15" customHeight="1" x14ac:dyDescent="0.25">
      <c r="A90" s="27" t="s">
        <v>98</v>
      </c>
      <c r="B90" s="30">
        <f xml:space="preserve"> 15904</f>
        <v>15904</v>
      </c>
      <c r="C90" s="30">
        <f t="shared" si="0"/>
        <v>13374.315313716435</v>
      </c>
      <c r="D90" s="30">
        <f t="shared" si="1"/>
        <v>11011.525190705845</v>
      </c>
      <c r="E90" s="30">
        <f t="shared" si="2"/>
        <v>4892.4748092941554</v>
      </c>
    </row>
    <row r="91" spans="1:5" ht="15" customHeight="1" x14ac:dyDescent="0.25">
      <c r="A91" s="27" t="s">
        <v>99</v>
      </c>
      <c r="B91" s="30">
        <f xml:space="preserve"> 14470</f>
        <v>14470</v>
      </c>
      <c r="C91" s="30">
        <f t="shared" si="0"/>
        <v>13903.469383097992</v>
      </c>
      <c r="D91" s="30">
        <f t="shared" si="1"/>
        <v>13374.315313716435</v>
      </c>
      <c r="E91" s="30">
        <f t="shared" si="2"/>
        <v>1095.6846862835646</v>
      </c>
    </row>
    <row r="92" spans="1:5" ht="15" customHeight="1" x14ac:dyDescent="0.25">
      <c r="A92" s="27" t="s">
        <v>100</v>
      </c>
      <c r="B92" s="30">
        <f xml:space="preserve"> 10916</f>
        <v>10916</v>
      </c>
      <c r="C92" s="30">
        <f t="shared" si="0"/>
        <v>12460.689721203553</v>
      </c>
      <c r="D92" s="30">
        <f t="shared" si="1"/>
        <v>13903.469383097992</v>
      </c>
      <c r="E92" s="30">
        <f t="shared" si="2"/>
        <v>-2987.4693830979922</v>
      </c>
    </row>
    <row r="93" spans="1:5" ht="15" customHeight="1" x14ac:dyDescent="0.25">
      <c r="A93" s="27" t="s">
        <v>101</v>
      </c>
      <c r="B93" s="30">
        <f xml:space="preserve"> 10391</f>
        <v>10391</v>
      </c>
      <c r="C93" s="30">
        <f t="shared" si="0"/>
        <v>11461.14600936545</v>
      </c>
      <c r="D93" s="30">
        <f t="shared" si="1"/>
        <v>12460.689721203553</v>
      </c>
      <c r="E93" s="30">
        <f t="shared" si="2"/>
        <v>-2069.6897212035528</v>
      </c>
    </row>
    <row r="94" spans="1:5" ht="15" customHeight="1" x14ac:dyDescent="0.25">
      <c r="A94" s="27" t="s">
        <v>102</v>
      </c>
      <c r="B94" s="30">
        <f xml:space="preserve"> 8481</f>
        <v>8481</v>
      </c>
      <c r="C94" s="30">
        <f t="shared" si="0"/>
        <v>10021.903125031826</v>
      </c>
      <c r="D94" s="30">
        <f t="shared" si="1"/>
        <v>11461.14600936545</v>
      </c>
      <c r="E94" s="30">
        <f t="shared" si="2"/>
        <v>-2980.1460093654496</v>
      </c>
    </row>
    <row r="95" spans="1:5" ht="15" customHeight="1" x14ac:dyDescent="0.25">
      <c r="A95" s="27" t="s">
        <v>103</v>
      </c>
      <c r="B95" s="30">
        <f xml:space="preserve"> 10120</f>
        <v>10120</v>
      </c>
      <c r="C95" s="30">
        <f t="shared" si="0"/>
        <v>10069.278397528415</v>
      </c>
      <c r="D95" s="30">
        <f t="shared" si="1"/>
        <v>10021.903125031826</v>
      </c>
      <c r="E95" s="30">
        <f t="shared" si="2"/>
        <v>98.096874968174234</v>
      </c>
    </row>
    <row r="96" spans="1:5" ht="15" customHeight="1" x14ac:dyDescent="0.25">
      <c r="A96" s="27" t="s">
        <v>104</v>
      </c>
      <c r="B96" s="30">
        <f xml:space="preserve"> 8910</f>
        <v>8910</v>
      </c>
      <c r="C96" s="30">
        <f t="shared" si="0"/>
        <v>9509.4121428680537</v>
      </c>
      <c r="D96" s="30">
        <f t="shared" si="1"/>
        <v>10069.278397528415</v>
      </c>
      <c r="E96" s="30">
        <f t="shared" si="2"/>
        <v>-1159.2783975284146</v>
      </c>
    </row>
    <row r="97" spans="1:5" ht="15" customHeight="1" x14ac:dyDescent="0.25">
      <c r="A97" s="27" t="s">
        <v>105</v>
      </c>
      <c r="B97" s="30">
        <f xml:space="preserve"> 9375</f>
        <v>9375</v>
      </c>
      <c r="C97" s="30">
        <f t="shared" si="0"/>
        <v>9444.4986387702884</v>
      </c>
      <c r="D97" s="30">
        <f t="shared" si="1"/>
        <v>9509.4121428680537</v>
      </c>
      <c r="E97" s="30">
        <f t="shared" si="2"/>
        <v>-134.41214286805371</v>
      </c>
    </row>
    <row r="98" spans="1:5" ht="15" customHeight="1" x14ac:dyDescent="0.25">
      <c r="A98" s="27" t="s">
        <v>106</v>
      </c>
      <c r="B98" s="30">
        <f xml:space="preserve"> 12366</f>
        <v>12366</v>
      </c>
      <c r="C98" s="30">
        <f t="shared" si="0"/>
        <v>10855.419456913743</v>
      </c>
      <c r="D98" s="30">
        <f t="shared" si="1"/>
        <v>9444.4986387702884</v>
      </c>
      <c r="E98" s="30">
        <f t="shared" si="2"/>
        <v>2921.5013612297116</v>
      </c>
    </row>
    <row r="99" spans="1:5" ht="15" customHeight="1" x14ac:dyDescent="0.25">
      <c r="A99" s="27" t="s">
        <v>107</v>
      </c>
      <c r="B99" s="30">
        <f xml:space="preserve"> 10808</f>
        <v>10808</v>
      </c>
      <c r="C99" s="30">
        <f t="shared" si="0"/>
        <v>10832.518526648048</v>
      </c>
      <c r="D99" s="30">
        <f t="shared" si="1"/>
        <v>10855.419456913743</v>
      </c>
      <c r="E99" s="30">
        <f t="shared" si="2"/>
        <v>-47.419456913743488</v>
      </c>
    </row>
    <row r="100" spans="1:5" ht="15" customHeight="1" x14ac:dyDescent="0.25">
      <c r="A100" s="27" t="s">
        <v>108</v>
      </c>
      <c r="B100" s="30">
        <f xml:space="preserve"> 11982</f>
        <v>11982</v>
      </c>
      <c r="C100" s="30">
        <f t="shared" si="0"/>
        <v>11387.653418024523</v>
      </c>
      <c r="D100" s="30">
        <f t="shared" si="1"/>
        <v>10832.518526648048</v>
      </c>
      <c r="E100" s="30">
        <f t="shared" si="2"/>
        <v>1149.4814733519524</v>
      </c>
    </row>
    <row r="101" spans="1:5" ht="15" customHeight="1" x14ac:dyDescent="0.25">
      <c r="A101" s="27" t="s">
        <v>109</v>
      </c>
      <c r="B101" s="30">
        <f xml:space="preserve"> 13330</f>
        <v>13330</v>
      </c>
      <c r="C101" s="30">
        <f t="shared" si="0"/>
        <v>12325.697556879712</v>
      </c>
      <c r="D101" s="30">
        <f t="shared" si="1"/>
        <v>11387.653418024523</v>
      </c>
      <c r="E101" s="30">
        <f t="shared" si="2"/>
        <v>1942.3465819754765</v>
      </c>
    </row>
    <row r="102" spans="1:5" ht="15" customHeight="1" x14ac:dyDescent="0.25">
      <c r="A102" s="27" t="s">
        <v>110</v>
      </c>
      <c r="B102" s="30">
        <f xml:space="preserve"> 12233</f>
        <v>12233</v>
      </c>
      <c r="C102" s="30">
        <f t="shared" si="0"/>
        <v>12280.92985129919</v>
      </c>
      <c r="D102" s="30">
        <f t="shared" si="1"/>
        <v>12325.697556879712</v>
      </c>
      <c r="E102" s="30">
        <f t="shared" si="2"/>
        <v>-92.697556879711556</v>
      </c>
    </row>
    <row r="103" spans="1:5" ht="15" customHeight="1" x14ac:dyDescent="0.25">
      <c r="A103" s="27" t="s">
        <v>111</v>
      </c>
      <c r="B103" s="30">
        <f xml:space="preserve"> 12302</f>
        <v>12302</v>
      </c>
      <c r="C103" s="30">
        <f t="shared" si="0"/>
        <v>12291.105547890629</v>
      </c>
      <c r="D103" s="30">
        <f t="shared" si="1"/>
        <v>12280.92985129919</v>
      </c>
      <c r="E103" s="30">
        <f t="shared" si="2"/>
        <v>21.070148700810023</v>
      </c>
    </row>
    <row r="104" spans="1:5" ht="15" customHeight="1" x14ac:dyDescent="0.25">
      <c r="A104" s="27" t="s">
        <v>112</v>
      </c>
      <c r="B104" s="30">
        <f xml:space="preserve"> 7227</f>
        <v>7227</v>
      </c>
      <c r="C104" s="30">
        <f t="shared" si="0"/>
        <v>9845.4274326536106</v>
      </c>
      <c r="D104" s="30">
        <f t="shared" si="1"/>
        <v>12291.105547890629</v>
      </c>
      <c r="E104" s="30">
        <f t="shared" si="2"/>
        <v>-5064.1055478906292</v>
      </c>
    </row>
    <row r="105" spans="1:5" ht="15" customHeight="1" x14ac:dyDescent="0.25">
      <c r="A105" s="27" t="s">
        <v>113</v>
      </c>
      <c r="B105" s="30">
        <f xml:space="preserve"> 12660</f>
        <v>12660</v>
      </c>
      <c r="C105" s="30">
        <f t="shared" si="0"/>
        <v>11204.707658274649</v>
      </c>
      <c r="D105" s="30">
        <f t="shared" si="1"/>
        <v>9845.4274326536106</v>
      </c>
      <c r="E105" s="30">
        <f t="shared" si="2"/>
        <v>2814.5725673463894</v>
      </c>
    </row>
    <row r="106" spans="1:5" ht="15" customHeight="1" x14ac:dyDescent="0.25">
      <c r="A106" s="27" t="s">
        <v>114</v>
      </c>
      <c r="B106" s="30">
        <f xml:space="preserve"> 9800</f>
        <v>9800</v>
      </c>
      <c r="C106" s="30">
        <f t="shared" si="0"/>
        <v>10526.312876479642</v>
      </c>
      <c r="D106" s="30">
        <f t="shared" si="1"/>
        <v>11204.707658274649</v>
      </c>
      <c r="E106" s="30">
        <f t="shared" si="2"/>
        <v>-1404.7076582746486</v>
      </c>
    </row>
    <row r="107" spans="1:5" ht="15" customHeight="1" x14ac:dyDescent="0.25">
      <c r="A107" s="27" t="s">
        <v>115</v>
      </c>
      <c r="B107" s="30">
        <f xml:space="preserve"> 12004</f>
        <v>12004</v>
      </c>
      <c r="C107" s="30">
        <f t="shared" si="0"/>
        <v>11239.952634771529</v>
      </c>
      <c r="D107" s="30">
        <f t="shared" si="1"/>
        <v>10526.312876479642</v>
      </c>
      <c r="E107" s="30">
        <f t="shared" si="2"/>
        <v>1477.687123520358</v>
      </c>
    </row>
    <row r="108" spans="1:5" ht="15" customHeight="1" x14ac:dyDescent="0.25">
      <c r="A108" s="27" t="s">
        <v>116</v>
      </c>
      <c r="B108" s="30">
        <f xml:space="preserve"> 10006</f>
        <v>10006</v>
      </c>
      <c r="C108" s="30">
        <f t="shared" si="0"/>
        <v>10644.022924073295</v>
      </c>
      <c r="D108" s="30">
        <f t="shared" si="1"/>
        <v>11239.952634771529</v>
      </c>
      <c r="E108" s="30">
        <f t="shared" si="2"/>
        <v>-1233.9526347715291</v>
      </c>
    </row>
    <row r="109" spans="1:5" ht="15" customHeight="1" x14ac:dyDescent="0.25">
      <c r="A109" s="27" t="s">
        <v>117</v>
      </c>
      <c r="B109" s="30">
        <f xml:space="preserve"> 8394</f>
        <v>8394</v>
      </c>
      <c r="C109" s="30">
        <f t="shared" si="0"/>
        <v>9557.3884192929236</v>
      </c>
      <c r="D109" s="30">
        <f t="shared" si="1"/>
        <v>10644.022924073295</v>
      </c>
      <c r="E109" s="30">
        <f t="shared" si="2"/>
        <v>-2250.0229240732951</v>
      </c>
    </row>
    <row r="110" spans="1:5" ht="15" customHeight="1" x14ac:dyDescent="0.25">
      <c r="A110" s="27" t="s">
        <v>118</v>
      </c>
      <c r="B110" s="30">
        <f xml:space="preserve"> 9953</f>
        <v>9953</v>
      </c>
      <c r="C110" s="30">
        <f t="shared" si="0"/>
        <v>9748.4465589623524</v>
      </c>
      <c r="D110" s="30">
        <f t="shared" si="1"/>
        <v>9557.3884192929236</v>
      </c>
      <c r="E110" s="30">
        <f t="shared" si="2"/>
        <v>395.61158070707643</v>
      </c>
    </row>
    <row r="111" spans="1:5" ht="15" customHeight="1" x14ac:dyDescent="0.25">
      <c r="A111" s="27" t="s">
        <v>119</v>
      </c>
      <c r="B111" s="30">
        <f xml:space="preserve"> 10461</f>
        <v>10461</v>
      </c>
      <c r="C111" s="30">
        <f t="shared" si="0"/>
        <v>10092.569788662509</v>
      </c>
      <c r="D111" s="30">
        <f t="shared" si="1"/>
        <v>9748.4465589623524</v>
      </c>
      <c r="E111" s="30">
        <f t="shared" si="2"/>
        <v>712.55344103764764</v>
      </c>
    </row>
    <row r="112" spans="1:5" ht="15" customHeight="1" x14ac:dyDescent="0.25">
      <c r="A112" s="27" t="s">
        <v>120</v>
      </c>
      <c r="B112" s="30">
        <f xml:space="preserve"> 10893</f>
        <v>10893</v>
      </c>
      <c r="C112" s="30">
        <f t="shared" si="0"/>
        <v>10479.132555202406</v>
      </c>
      <c r="D112" s="30">
        <f t="shared" si="1"/>
        <v>10092.569788662509</v>
      </c>
      <c r="E112" s="30">
        <f t="shared" si="2"/>
        <v>800.43021133749062</v>
      </c>
    </row>
    <row r="113" spans="1:5" ht="15" customHeight="1" x14ac:dyDescent="0.25">
      <c r="A113" s="27" t="s">
        <v>121</v>
      </c>
      <c r="B113" s="30">
        <f xml:space="preserve"> 9212</f>
        <v>9212</v>
      </c>
      <c r="C113" s="30">
        <f t="shared" si="0"/>
        <v>9867.1788093619925</v>
      </c>
      <c r="D113" s="30">
        <f t="shared" si="1"/>
        <v>10479.132555202406</v>
      </c>
      <c r="E113" s="30">
        <f t="shared" si="2"/>
        <v>-1267.1325552024064</v>
      </c>
    </row>
    <row r="114" spans="1:5" ht="15" customHeight="1" x14ac:dyDescent="0.25">
      <c r="A114" s="27" t="s">
        <v>122</v>
      </c>
      <c r="B114" s="30">
        <f xml:space="preserve"> 13209</f>
        <v>13209</v>
      </c>
      <c r="C114" s="30">
        <f t="shared" si="0"/>
        <v>11481.090461417314</v>
      </c>
      <c r="D114" s="30">
        <f t="shared" si="1"/>
        <v>9867.1788093619925</v>
      </c>
      <c r="E114" s="30">
        <f t="shared" si="2"/>
        <v>3341.8211906380075</v>
      </c>
    </row>
    <row r="115" spans="1:5" ht="15" customHeight="1" x14ac:dyDescent="0.25">
      <c r="A115" s="27" t="s">
        <v>123</v>
      </c>
      <c r="B115" s="30">
        <f xml:space="preserve"> 10294</f>
        <v>10294</v>
      </c>
      <c r="C115" s="30">
        <f t="shared" si="0"/>
        <v>10907.792544373653</v>
      </c>
      <c r="D115" s="30">
        <f t="shared" si="1"/>
        <v>11481.090461417314</v>
      </c>
      <c r="E115" s="30">
        <f t="shared" si="2"/>
        <v>-1187.0904614173141</v>
      </c>
    </row>
    <row r="116" spans="1:5" ht="15" customHeight="1" x14ac:dyDescent="0.25">
      <c r="A116" s="27" t="s">
        <v>124</v>
      </c>
      <c r="B116" s="30">
        <f xml:space="preserve"> 11540</f>
        <v>11540</v>
      </c>
      <c r="C116" s="30">
        <f t="shared" si="0"/>
        <v>11213.11318271601</v>
      </c>
      <c r="D116" s="30">
        <f t="shared" si="1"/>
        <v>10907.792544373653</v>
      </c>
      <c r="E116" s="30">
        <f t="shared" si="2"/>
        <v>632.20745562634693</v>
      </c>
    </row>
    <row r="117" spans="1:5" ht="15" customHeight="1" x14ac:dyDescent="0.25">
      <c r="A117" s="27" t="s">
        <v>125</v>
      </c>
      <c r="B117" s="30">
        <f xml:space="preserve"> 10219</f>
        <v>10219</v>
      </c>
      <c r="C117" s="30">
        <f t="shared" si="0"/>
        <v>10733.01243599088</v>
      </c>
      <c r="D117" s="30">
        <f t="shared" si="1"/>
        <v>11213.11318271601</v>
      </c>
      <c r="E117" s="30">
        <f t="shared" si="2"/>
        <v>-994.11318271600976</v>
      </c>
    </row>
    <row r="118" spans="1:5" ht="15" customHeight="1" x14ac:dyDescent="0.25">
      <c r="A118" s="27" t="s">
        <v>126</v>
      </c>
      <c r="B118" s="30">
        <f xml:space="preserve"> 10230</f>
        <v>10230</v>
      </c>
      <c r="C118" s="30">
        <f t="shared" si="0"/>
        <v>10490.085724696843</v>
      </c>
      <c r="D118" s="30">
        <f t="shared" si="1"/>
        <v>10733.01243599088</v>
      </c>
      <c r="E118" s="30">
        <f t="shared" si="2"/>
        <v>-503.01243599088048</v>
      </c>
    </row>
    <row r="119" spans="1:5" ht="15" customHeight="1" x14ac:dyDescent="0.25">
      <c r="A119" s="27" t="s">
        <v>127</v>
      </c>
      <c r="B119" s="30">
        <f xml:space="preserve"> 9985</f>
        <v>9985</v>
      </c>
      <c r="C119" s="30">
        <f t="shared" si="0"/>
        <v>10246.157731583779</v>
      </c>
      <c r="D119" s="30">
        <f t="shared" si="1"/>
        <v>10490.085724696843</v>
      </c>
      <c r="E119" s="30">
        <f t="shared" si="2"/>
        <v>-505.08572469684259</v>
      </c>
    </row>
    <row r="120" spans="1:5" ht="15" customHeight="1" x14ac:dyDescent="0.25">
      <c r="A120" s="27" t="s">
        <v>128</v>
      </c>
      <c r="B120" s="30">
        <f xml:space="preserve"> 6832</f>
        <v>6832</v>
      </c>
      <c r="C120" s="30">
        <f t="shared" si="0"/>
        <v>8597.3115993028787</v>
      </c>
      <c r="D120" s="30">
        <f t="shared" si="1"/>
        <v>10246.157731583779</v>
      </c>
      <c r="E120" s="30">
        <f t="shared" si="2"/>
        <v>-3414.1577315837785</v>
      </c>
    </row>
    <row r="121" spans="1:5" ht="15" customHeight="1" x14ac:dyDescent="0.25">
      <c r="A121" s="27" t="s">
        <v>129</v>
      </c>
      <c r="B121" s="30">
        <f xml:space="preserve"> 9050</f>
        <v>9050</v>
      </c>
      <c r="C121" s="30">
        <f t="shared" si="0"/>
        <v>8815.9346323610553</v>
      </c>
      <c r="D121" s="30">
        <f t="shared" si="1"/>
        <v>8597.3115993028787</v>
      </c>
      <c r="E121" s="30">
        <f t="shared" si="2"/>
        <v>452.68840069712132</v>
      </c>
    </row>
    <row r="122" spans="1:5" ht="15" customHeight="1" x14ac:dyDescent="0.25">
      <c r="A122" s="27" t="s">
        <v>130</v>
      </c>
      <c r="B122" s="30">
        <f xml:space="preserve"> 10082</f>
        <v>10082</v>
      </c>
      <c r="C122" s="30">
        <f t="shared" si="0"/>
        <v>9427.3729866393987</v>
      </c>
      <c r="D122" s="30">
        <f t="shared" si="1"/>
        <v>8815.9346323610553</v>
      </c>
      <c r="E122" s="30">
        <f t="shared" si="2"/>
        <v>1266.0653676389447</v>
      </c>
    </row>
    <row r="123" spans="1:5" ht="15" customHeight="1" x14ac:dyDescent="0.25">
      <c r="A123" s="27" t="s">
        <v>131</v>
      </c>
      <c r="B123" s="30">
        <f xml:space="preserve"> 10659</f>
        <v>10659</v>
      </c>
      <c r="C123" s="30">
        <f t="shared" si="0"/>
        <v>10022.179553016242</v>
      </c>
      <c r="D123" s="30">
        <f t="shared" si="1"/>
        <v>9427.3729866393987</v>
      </c>
      <c r="E123" s="30">
        <f t="shared" si="2"/>
        <v>1231.6270133606013</v>
      </c>
    </row>
    <row r="124" spans="1:5" ht="15" customHeight="1" x14ac:dyDescent="0.25">
      <c r="A124" s="27" t="s">
        <v>132</v>
      </c>
      <c r="B124" s="30">
        <f xml:space="preserve"> 11458</f>
        <v>11458</v>
      </c>
      <c r="C124" s="30">
        <f t="shared" si="0"/>
        <v>10715.600061611425</v>
      </c>
      <c r="D124" s="30">
        <f t="shared" si="1"/>
        <v>10022.179553016242</v>
      </c>
      <c r="E124" s="30">
        <f t="shared" si="2"/>
        <v>1435.8204469837583</v>
      </c>
    </row>
    <row r="125" spans="1:5" ht="15" customHeight="1" x14ac:dyDescent="0.25">
      <c r="A125" s="27" t="s">
        <v>133</v>
      </c>
      <c r="B125" s="30">
        <f xml:space="preserve"> 10867</f>
        <v>10867</v>
      </c>
      <c r="C125" s="30">
        <f t="shared" si="0"/>
        <v>10788.717715353732</v>
      </c>
      <c r="D125" s="30">
        <f t="shared" si="1"/>
        <v>10715.600061611425</v>
      </c>
      <c r="E125" s="30">
        <f t="shared" si="2"/>
        <v>151.39993838857481</v>
      </c>
    </row>
    <row r="126" spans="1:5" ht="15" customHeight="1" x14ac:dyDescent="0.25">
      <c r="A126" s="27" t="s">
        <v>134</v>
      </c>
      <c r="B126" s="30">
        <f xml:space="preserve"> 12409</f>
        <v>12409</v>
      </c>
      <c r="C126" s="30">
        <f t="shared" si="0"/>
        <v>11571.222915253486</v>
      </c>
      <c r="D126" s="30">
        <f t="shared" si="1"/>
        <v>10788.717715353732</v>
      </c>
      <c r="E126" s="30">
        <f t="shared" si="2"/>
        <v>1620.2822846462677</v>
      </c>
    </row>
    <row r="127" spans="1:5" ht="15" customHeight="1" x14ac:dyDescent="0.25">
      <c r="A127" s="27" t="s">
        <v>135</v>
      </c>
      <c r="B127" s="30">
        <f xml:space="preserve"> 11869</f>
        <v>11869</v>
      </c>
      <c r="C127" s="30">
        <f t="shared" si="0"/>
        <v>11715.032496727745</v>
      </c>
      <c r="D127" s="30">
        <f t="shared" si="1"/>
        <v>11571.222915253486</v>
      </c>
      <c r="E127" s="30">
        <f t="shared" si="2"/>
        <v>297.77708474651445</v>
      </c>
    </row>
    <row r="128" spans="1:5" ht="15" customHeight="1" x14ac:dyDescent="0.25">
      <c r="A128" s="27" t="s">
        <v>136</v>
      </c>
      <c r="B128" s="30">
        <f xml:space="preserve"> 8729</f>
        <v>8729</v>
      </c>
      <c r="C128" s="30">
        <f t="shared" si="0"/>
        <v>10272.946770122877</v>
      </c>
      <c r="D128" s="30">
        <f t="shared" si="1"/>
        <v>11715.032496727745</v>
      </c>
      <c r="E128" s="30">
        <f t="shared" si="2"/>
        <v>-2986.0324967277447</v>
      </c>
    </row>
    <row r="129" spans="1:5" ht="15" customHeight="1" x14ac:dyDescent="0.25">
      <c r="A129" s="27" t="s">
        <v>137</v>
      </c>
      <c r="B129" s="30">
        <f xml:space="preserve"> 10665</f>
        <v>10665</v>
      </c>
      <c r="C129" s="30">
        <f t="shared" si="0"/>
        <v>10462.286426504616</v>
      </c>
      <c r="D129" s="30">
        <f t="shared" si="1"/>
        <v>10272.946770122877</v>
      </c>
      <c r="E129" s="30">
        <f t="shared" si="2"/>
        <v>392.05322987712316</v>
      </c>
    </row>
    <row r="130" spans="1:5" ht="15" customHeight="1" x14ac:dyDescent="0.25">
      <c r="A130" s="27" t="s">
        <v>138</v>
      </c>
      <c r="B130" s="30">
        <f xml:space="preserve"> 8003</f>
        <v>8003</v>
      </c>
      <c r="C130" s="30">
        <f t="shared" si="0"/>
        <v>9274.589421471399</v>
      </c>
      <c r="D130" s="30">
        <f t="shared" si="1"/>
        <v>10462.286426504616</v>
      </c>
      <c r="E130" s="30">
        <f t="shared" si="2"/>
        <v>-2459.2864265046155</v>
      </c>
    </row>
    <row r="131" spans="1:5" ht="15" customHeight="1" x14ac:dyDescent="0.25">
      <c r="A131" s="27" t="s">
        <v>139</v>
      </c>
      <c r="B131" s="30">
        <f xml:space="preserve"> 9224</f>
        <v>9224</v>
      </c>
      <c r="C131" s="30">
        <f t="shared" si="0"/>
        <v>9250.1575766401547</v>
      </c>
      <c r="D131" s="30">
        <f t="shared" si="1"/>
        <v>9274.589421471399</v>
      </c>
      <c r="E131" s="30">
        <f t="shared" si="2"/>
        <v>-50.589421471398964</v>
      </c>
    </row>
    <row r="132" spans="1:5" ht="15" customHeight="1" x14ac:dyDescent="0.25">
      <c r="A132" s="27" t="s">
        <v>140</v>
      </c>
      <c r="B132" s="30">
        <f xml:space="preserve"> 9140</f>
        <v>9140</v>
      </c>
      <c r="C132" s="30">
        <f t="shared" si="0"/>
        <v>9196.9576636706097</v>
      </c>
      <c r="D132" s="30">
        <f t="shared" si="1"/>
        <v>9250.1575766401547</v>
      </c>
      <c r="E132" s="30">
        <f t="shared" si="2"/>
        <v>-110.15757664015473</v>
      </c>
    </row>
    <row r="133" spans="1:5" ht="15" customHeight="1" x14ac:dyDescent="0.25">
      <c r="A133" s="27" t="s">
        <v>141</v>
      </c>
      <c r="B133" s="30">
        <f xml:space="preserve"> 11616</f>
        <v>11616</v>
      </c>
      <c r="C133" s="30">
        <f t="shared" si="0"/>
        <v>10365.21903694647</v>
      </c>
      <c r="D133" s="30">
        <f t="shared" si="1"/>
        <v>9196.9576636706097</v>
      </c>
      <c r="E133" s="30">
        <f t="shared" si="2"/>
        <v>2419.0423363293903</v>
      </c>
    </row>
    <row r="134" spans="1:5" ht="15" customHeight="1" x14ac:dyDescent="0.25">
      <c r="A134" s="27" t="s">
        <v>142</v>
      </c>
      <c r="B134" s="30">
        <f xml:space="preserve"> 9428</f>
        <v>9428</v>
      </c>
      <c r="C134" s="30">
        <f t="shared" si="0"/>
        <v>9912.5949622373155</v>
      </c>
      <c r="D134" s="30">
        <f t="shared" si="1"/>
        <v>10365.21903694647</v>
      </c>
      <c r="E134" s="30">
        <f t="shared" si="2"/>
        <v>-937.21903694646971</v>
      </c>
    </row>
    <row r="135" spans="1:5" ht="15" customHeight="1" x14ac:dyDescent="0.25">
      <c r="A135" s="27" t="s">
        <v>143</v>
      </c>
      <c r="B135" s="30">
        <f xml:space="preserve"> 14249</f>
        <v>14249</v>
      </c>
      <c r="C135" s="30">
        <f t="shared" si="0"/>
        <v>12006.834665451493</v>
      </c>
      <c r="D135" s="30">
        <f t="shared" si="1"/>
        <v>9912.5949622373155</v>
      </c>
      <c r="E135" s="30">
        <f t="shared" si="2"/>
        <v>4336.4050377626845</v>
      </c>
    </row>
    <row r="136" spans="1:5" ht="15" customHeight="1" x14ac:dyDescent="0.25">
      <c r="A136" s="27" t="s">
        <v>144</v>
      </c>
      <c r="B136" s="30">
        <f xml:space="preserve"> 9511</f>
        <v>9511</v>
      </c>
      <c r="C136" s="30">
        <f t="shared" si="0"/>
        <v>10801.486916906411</v>
      </c>
      <c r="D136" s="30">
        <f t="shared" si="1"/>
        <v>12006.834665451493</v>
      </c>
      <c r="E136" s="30">
        <f t="shared" si="2"/>
        <v>-2495.8346654514935</v>
      </c>
    </row>
    <row r="137" spans="1:5" ht="15" customHeight="1" x14ac:dyDescent="0.25">
      <c r="A137" s="27" t="s">
        <v>145</v>
      </c>
      <c r="B137" s="30">
        <f xml:space="preserve"> 12094</f>
        <v>12094</v>
      </c>
      <c r="C137" s="30">
        <f t="shared" si="0"/>
        <v>11425.698030021185</v>
      </c>
      <c r="D137" s="30">
        <f t="shared" si="1"/>
        <v>10801.486916906411</v>
      </c>
      <c r="E137" s="30">
        <f t="shared" si="2"/>
        <v>1292.5130830935886</v>
      </c>
    </row>
    <row r="138" spans="1:5" ht="15" customHeight="1" x14ac:dyDescent="0.25">
      <c r="A138" s="27" t="s">
        <v>146</v>
      </c>
      <c r="B138" s="30">
        <f xml:space="preserve"> 13273</f>
        <v>13273</v>
      </c>
      <c r="C138" s="30">
        <f t="shared" si="0"/>
        <v>12317.840967700135</v>
      </c>
      <c r="D138" s="30">
        <f t="shared" si="1"/>
        <v>11425.698030021185</v>
      </c>
      <c r="E138" s="30">
        <f t="shared" si="2"/>
        <v>1847.3019699788147</v>
      </c>
    </row>
    <row r="139" spans="1:5" ht="15" customHeight="1" x14ac:dyDescent="0.25">
      <c r="A139" s="27" t="s">
        <v>147</v>
      </c>
      <c r="B139" s="30">
        <f xml:space="preserve"> 11184</f>
        <v>11184</v>
      </c>
      <c r="C139" s="30">
        <f t="shared" si="0"/>
        <v>11770.259560748924</v>
      </c>
      <c r="D139" s="30">
        <f t="shared" si="1"/>
        <v>12317.840967700135</v>
      </c>
      <c r="E139" s="30">
        <f t="shared" si="2"/>
        <v>-1133.8409677001346</v>
      </c>
    </row>
    <row r="140" spans="1:5" ht="15" customHeight="1" x14ac:dyDescent="0.25">
      <c r="A140" s="27" t="s">
        <v>148</v>
      </c>
      <c r="B140" s="30">
        <f xml:space="preserve"> 10793</f>
        <v>10793</v>
      </c>
      <c r="C140" s="30">
        <f t="shared" si="0"/>
        <v>11298.298165389515</v>
      </c>
      <c r="D140" s="30">
        <f t="shared" si="1"/>
        <v>11770.259560748924</v>
      </c>
      <c r="E140" s="30">
        <f t="shared" si="2"/>
        <v>-977.25956074892383</v>
      </c>
    </row>
    <row r="141" spans="1:5" ht="15" customHeight="1" x14ac:dyDescent="0.25">
      <c r="A141" s="27" t="s">
        <v>149</v>
      </c>
      <c r="B141" s="30">
        <f xml:space="preserve"> 8693</f>
        <v>8693</v>
      </c>
      <c r="C141" s="30">
        <f t="shared" si="0"/>
        <v>10040.085703879045</v>
      </c>
      <c r="D141" s="30">
        <f t="shared" si="1"/>
        <v>11298.298165389515</v>
      </c>
      <c r="E141" s="30">
        <f t="shared" si="2"/>
        <v>-2605.2981653895149</v>
      </c>
    </row>
    <row r="142" spans="1:5" ht="15" customHeight="1" x14ac:dyDescent="0.25">
      <c r="A142" s="27" t="s">
        <v>150</v>
      </c>
      <c r="B142" s="30">
        <f xml:space="preserve"> 8479</f>
        <v>8479</v>
      </c>
      <c r="C142" s="30">
        <f t="shared" si="0"/>
        <v>9286.169122583331</v>
      </c>
      <c r="D142" s="30">
        <f t="shared" si="1"/>
        <v>10040.085703879045</v>
      </c>
      <c r="E142" s="30">
        <f t="shared" si="2"/>
        <v>-1561.0857038790455</v>
      </c>
    </row>
    <row r="143" spans="1:5" ht="15" customHeight="1" x14ac:dyDescent="0.25">
      <c r="A143" s="27" t="s">
        <v>151</v>
      </c>
      <c r="B143" s="30">
        <f xml:space="preserve"> 8120</f>
        <v>8120</v>
      </c>
      <c r="C143" s="30">
        <f t="shared" si="0"/>
        <v>8722.975035336236</v>
      </c>
      <c r="D143" s="30">
        <f t="shared" si="1"/>
        <v>9286.169122583331</v>
      </c>
      <c r="E143" s="30">
        <f t="shared" si="2"/>
        <v>-1166.169122583331</v>
      </c>
    </row>
    <row r="144" spans="1:5" ht="15" customHeight="1" x14ac:dyDescent="0.25">
      <c r="A144" s="27" t="s">
        <v>152</v>
      </c>
      <c r="B144" s="30">
        <f xml:space="preserve"> 9239</f>
        <v>9239</v>
      </c>
      <c r="C144" s="30">
        <f t="shared" si="0"/>
        <v>8972.1860660028069</v>
      </c>
      <c r="D144" s="30">
        <f t="shared" si="1"/>
        <v>8722.975035336236</v>
      </c>
      <c r="E144" s="30">
        <f t="shared" si="2"/>
        <v>516.02496466376397</v>
      </c>
    </row>
    <row r="145" spans="1:5" ht="15" customHeight="1" x14ac:dyDescent="0.25">
      <c r="A145" s="27" t="s">
        <v>153</v>
      </c>
      <c r="B145" s="30">
        <f xml:space="preserve"> 9266</f>
        <v>9266</v>
      </c>
      <c r="C145" s="30">
        <f t="shared" si="0"/>
        <v>9114.0816685989921</v>
      </c>
      <c r="D145" s="30">
        <f t="shared" si="1"/>
        <v>8972.1860660028069</v>
      </c>
      <c r="E145" s="30">
        <f t="shared" si="2"/>
        <v>293.81393399719309</v>
      </c>
    </row>
    <row r="146" spans="1:5" ht="15" customHeight="1" x14ac:dyDescent="0.25">
      <c r="A146" s="27" t="s">
        <v>154</v>
      </c>
      <c r="B146" s="30">
        <f xml:space="preserve"> 8652</f>
        <v>8652</v>
      </c>
      <c r="C146" s="30">
        <f t="shared" si="0"/>
        <v>8890.9222155312164</v>
      </c>
      <c r="D146" s="30">
        <f t="shared" si="1"/>
        <v>9114.0816685989921</v>
      </c>
      <c r="E146" s="30">
        <f t="shared" si="2"/>
        <v>-462.08166859899211</v>
      </c>
    </row>
    <row r="147" spans="1:5" ht="15" customHeight="1" x14ac:dyDescent="0.25">
      <c r="A147" s="27" t="s">
        <v>155</v>
      </c>
      <c r="B147" s="30">
        <f xml:space="preserve"> 12405</f>
        <v>12405</v>
      </c>
      <c r="C147" s="30">
        <f t="shared" si="0"/>
        <v>10588.024112685729</v>
      </c>
      <c r="D147" s="30">
        <f t="shared" si="1"/>
        <v>8890.9222155312164</v>
      </c>
      <c r="E147" s="30">
        <f t="shared" si="2"/>
        <v>3514.0777844687836</v>
      </c>
    </row>
    <row r="148" spans="1:5" ht="15" customHeight="1" x14ac:dyDescent="0.25">
      <c r="A148" s="27" t="s">
        <v>156</v>
      </c>
      <c r="B148" s="30">
        <f xml:space="preserve"> 8964</f>
        <v>8964</v>
      </c>
      <c r="C148" s="30">
        <f t="shared" si="0"/>
        <v>9803.7118203269893</v>
      </c>
      <c r="D148" s="30">
        <f t="shared" si="1"/>
        <v>10588.024112685729</v>
      </c>
      <c r="E148" s="30">
        <f t="shared" si="2"/>
        <v>-1624.0241126857291</v>
      </c>
    </row>
    <row r="149" spans="1:5" ht="15" customHeight="1" x14ac:dyDescent="0.25">
      <c r="A149" s="27" t="s">
        <v>157</v>
      </c>
      <c r="B149" s="30">
        <f xml:space="preserve"> 11521</f>
        <v>11521</v>
      </c>
      <c r="C149" s="30">
        <f t="shared" ref="C149:C199" si="3">$B$9*B149+(1-$B$9)*C148</f>
        <v>10633.065410781064</v>
      </c>
      <c r="D149" s="30">
        <f t="shared" ref="D149:D199" si="4">C148</f>
        <v>9803.7118203269893</v>
      </c>
      <c r="E149" s="30">
        <f t="shared" ref="E149:E199" si="5">B149-D149</f>
        <v>1717.2881796730107</v>
      </c>
    </row>
    <row r="150" spans="1:5" ht="15" customHeight="1" x14ac:dyDescent="0.25">
      <c r="A150" s="27" t="s">
        <v>158</v>
      </c>
      <c r="B150" s="30">
        <f xml:space="preserve"> 12368</f>
        <v>12368</v>
      </c>
      <c r="C150" s="30">
        <f t="shared" si="3"/>
        <v>11470.941224405815</v>
      </c>
      <c r="D150" s="30">
        <f t="shared" si="4"/>
        <v>10633.065410781064</v>
      </c>
      <c r="E150" s="30">
        <f t="shared" si="5"/>
        <v>1734.9345892189358</v>
      </c>
    </row>
    <row r="151" spans="1:5" ht="15" customHeight="1" x14ac:dyDescent="0.25">
      <c r="A151" s="27" t="s">
        <v>159</v>
      </c>
      <c r="B151" s="30">
        <f xml:space="preserve"> 12729</f>
        <v>12729</v>
      </c>
      <c r="C151" s="30">
        <f t="shared" si="3"/>
        <v>12078.512845110712</v>
      </c>
      <c r="D151" s="30">
        <f t="shared" si="4"/>
        <v>11470.941224405815</v>
      </c>
      <c r="E151" s="30">
        <f t="shared" si="5"/>
        <v>1258.0587755941851</v>
      </c>
    </row>
    <row r="152" spans="1:5" ht="15" customHeight="1" x14ac:dyDescent="0.25">
      <c r="A152" s="27" t="s">
        <v>160</v>
      </c>
      <c r="B152" s="30">
        <f xml:space="preserve"> 10956</f>
        <v>10956</v>
      </c>
      <c r="C152" s="30">
        <f t="shared" si="3"/>
        <v>11536.402284144378</v>
      </c>
      <c r="D152" s="30">
        <f t="shared" si="4"/>
        <v>12078.512845110712</v>
      </c>
      <c r="E152" s="30">
        <f t="shared" si="5"/>
        <v>-1122.5128451107121</v>
      </c>
    </row>
    <row r="153" spans="1:5" ht="15" customHeight="1" x14ac:dyDescent="0.25">
      <c r="A153" s="27" t="s">
        <v>161</v>
      </c>
      <c r="B153" s="30">
        <f xml:space="preserve"> 12069</f>
        <v>12069</v>
      </c>
      <c r="C153" s="30">
        <f t="shared" si="3"/>
        <v>11793.617021391685</v>
      </c>
      <c r="D153" s="30">
        <f t="shared" si="4"/>
        <v>11536.402284144378</v>
      </c>
      <c r="E153" s="30">
        <f t="shared" si="5"/>
        <v>532.59771585562157</v>
      </c>
    </row>
    <row r="154" spans="1:5" ht="15" customHeight="1" x14ac:dyDescent="0.25">
      <c r="A154" s="27" t="s">
        <v>162</v>
      </c>
      <c r="B154" s="30">
        <f xml:space="preserve"> 9902</f>
        <v>9902</v>
      </c>
      <c r="C154" s="30">
        <f t="shared" si="3"/>
        <v>10880.072406675965</v>
      </c>
      <c r="D154" s="30">
        <f t="shared" si="4"/>
        <v>11793.617021391685</v>
      </c>
      <c r="E154" s="30">
        <f t="shared" si="5"/>
        <v>-1891.6170213916848</v>
      </c>
    </row>
    <row r="155" spans="1:5" ht="15" customHeight="1" x14ac:dyDescent="0.25">
      <c r="A155" s="27" t="s">
        <v>163</v>
      </c>
      <c r="B155" s="30">
        <f xml:space="preserve"> 10091</f>
        <v>10091</v>
      </c>
      <c r="C155" s="30">
        <f t="shared" si="3"/>
        <v>10498.994820892105</v>
      </c>
      <c r="D155" s="30">
        <f t="shared" si="4"/>
        <v>10880.072406675965</v>
      </c>
      <c r="E155" s="30">
        <f t="shared" si="5"/>
        <v>-789.07240667596488</v>
      </c>
    </row>
    <row r="156" spans="1:5" ht="15" customHeight="1" x14ac:dyDescent="0.25">
      <c r="A156" s="27" t="s">
        <v>164</v>
      </c>
      <c r="B156" s="30">
        <f xml:space="preserve"> 9769</f>
        <v>9769</v>
      </c>
      <c r="C156" s="30">
        <f t="shared" si="3"/>
        <v>10146.44838582899</v>
      </c>
      <c r="D156" s="30">
        <f t="shared" si="4"/>
        <v>10498.994820892105</v>
      </c>
      <c r="E156" s="30">
        <f t="shared" si="5"/>
        <v>-729.99482089210505</v>
      </c>
    </row>
    <row r="157" spans="1:5" ht="15" customHeight="1" x14ac:dyDescent="0.25">
      <c r="A157" s="27" t="s">
        <v>165</v>
      </c>
      <c r="B157" s="30">
        <f xml:space="preserve"> 8578</f>
        <v>8578</v>
      </c>
      <c r="C157" s="30">
        <f t="shared" si="3"/>
        <v>9388.9760433146075</v>
      </c>
      <c r="D157" s="30">
        <f t="shared" si="4"/>
        <v>10146.44838582899</v>
      </c>
      <c r="E157" s="30">
        <f t="shared" si="5"/>
        <v>-1568.4483858289896</v>
      </c>
    </row>
    <row r="158" spans="1:5" ht="15" customHeight="1" x14ac:dyDescent="0.25">
      <c r="A158" s="27" t="s">
        <v>166</v>
      </c>
      <c r="B158" s="30">
        <f xml:space="preserve"> 9763</f>
        <v>9763</v>
      </c>
      <c r="C158" s="30">
        <f t="shared" si="3"/>
        <v>9569.6085749214653</v>
      </c>
      <c r="D158" s="30">
        <f t="shared" si="4"/>
        <v>9388.9760433146075</v>
      </c>
      <c r="E158" s="30">
        <f t="shared" si="5"/>
        <v>374.02395668539248</v>
      </c>
    </row>
    <row r="159" spans="1:5" ht="15" customHeight="1" x14ac:dyDescent="0.25">
      <c r="A159" s="27" t="s">
        <v>167</v>
      </c>
      <c r="B159" s="30">
        <f xml:space="preserve"> 8348</f>
        <v>8348</v>
      </c>
      <c r="C159" s="30">
        <f t="shared" si="3"/>
        <v>8979.6403507568302</v>
      </c>
      <c r="D159" s="30">
        <f t="shared" si="4"/>
        <v>9569.6085749214653</v>
      </c>
      <c r="E159" s="30">
        <f t="shared" si="5"/>
        <v>-1221.6085749214653</v>
      </c>
    </row>
    <row r="160" spans="1:5" ht="15" customHeight="1" x14ac:dyDescent="0.25">
      <c r="A160" s="27" t="s">
        <v>168</v>
      </c>
      <c r="B160" s="30">
        <f xml:space="preserve"> 9237</f>
        <v>9237</v>
      </c>
      <c r="C160" s="30">
        <f t="shared" si="3"/>
        <v>9103.9305844312184</v>
      </c>
      <c r="D160" s="30">
        <f t="shared" si="4"/>
        <v>8979.6403507568302</v>
      </c>
      <c r="E160" s="30">
        <f t="shared" si="5"/>
        <v>257.35964924316977</v>
      </c>
    </row>
    <row r="161" spans="1:5" ht="15" customHeight="1" x14ac:dyDescent="0.25">
      <c r="A161" s="27" t="s">
        <v>169</v>
      </c>
      <c r="B161" s="30">
        <f xml:space="preserve"> 11204</f>
        <v>11204</v>
      </c>
      <c r="C161" s="30">
        <f t="shared" si="3"/>
        <v>10118.145979739184</v>
      </c>
      <c r="D161" s="30">
        <f t="shared" si="4"/>
        <v>9103.9305844312184</v>
      </c>
      <c r="E161" s="30">
        <f t="shared" si="5"/>
        <v>2100.0694155687816</v>
      </c>
    </row>
    <row r="162" spans="1:5" ht="15" customHeight="1" x14ac:dyDescent="0.25">
      <c r="A162" s="27" t="s">
        <v>170</v>
      </c>
      <c r="B162" s="30">
        <f xml:space="preserve"> 10737</f>
        <v>10737</v>
      </c>
      <c r="C162" s="30">
        <f t="shared" si="3"/>
        <v>10417.017659953028</v>
      </c>
      <c r="D162" s="30">
        <f t="shared" si="4"/>
        <v>10118.145979739184</v>
      </c>
      <c r="E162" s="30">
        <f t="shared" si="5"/>
        <v>618.85402026081647</v>
      </c>
    </row>
    <row r="163" spans="1:5" ht="15" customHeight="1" x14ac:dyDescent="0.25">
      <c r="A163" s="27" t="s">
        <v>171</v>
      </c>
      <c r="B163" s="30">
        <f xml:space="preserve"> 12276</f>
        <v>12276</v>
      </c>
      <c r="C163" s="30">
        <f t="shared" si="3"/>
        <v>11314.801559334575</v>
      </c>
      <c r="D163" s="30">
        <f t="shared" si="4"/>
        <v>10417.017659953028</v>
      </c>
      <c r="E163" s="30">
        <f t="shared" si="5"/>
        <v>1858.9823400469722</v>
      </c>
    </row>
    <row r="164" spans="1:5" ht="15" customHeight="1" x14ac:dyDescent="0.25">
      <c r="A164" s="27" t="s">
        <v>172</v>
      </c>
      <c r="B164" s="30">
        <f xml:space="preserve"> 9230</f>
        <v>9230</v>
      </c>
      <c r="C164" s="30">
        <f t="shared" si="3"/>
        <v>10307.95967974532</v>
      </c>
      <c r="D164" s="30">
        <f t="shared" si="4"/>
        <v>11314.801559334575</v>
      </c>
      <c r="E164" s="30">
        <f t="shared" si="5"/>
        <v>-2084.8015593345754</v>
      </c>
    </row>
    <row r="165" spans="1:5" ht="15" customHeight="1" x14ac:dyDescent="0.25">
      <c r="A165" s="27" t="s">
        <v>173</v>
      </c>
      <c r="B165" s="30">
        <f xml:space="preserve"> 9405</f>
        <v>9405</v>
      </c>
      <c r="C165" s="30">
        <f t="shared" si="3"/>
        <v>9871.8809474182635</v>
      </c>
      <c r="D165" s="30">
        <f t="shared" si="4"/>
        <v>10307.95967974532</v>
      </c>
      <c r="E165" s="30">
        <f t="shared" si="5"/>
        <v>-902.95967974531959</v>
      </c>
    </row>
    <row r="166" spans="1:5" ht="15" customHeight="1" x14ac:dyDescent="0.25">
      <c r="A166" s="27" t="s">
        <v>174</v>
      </c>
      <c r="B166" s="30">
        <f xml:space="preserve"> 10378</f>
        <v>10378</v>
      </c>
      <c r="C166" s="30">
        <f t="shared" si="3"/>
        <v>10116.307979773312</v>
      </c>
      <c r="D166" s="30">
        <f t="shared" si="4"/>
        <v>9871.8809474182635</v>
      </c>
      <c r="E166" s="30">
        <f t="shared" si="5"/>
        <v>506.11905258173647</v>
      </c>
    </row>
    <row r="167" spans="1:5" ht="15" customHeight="1" x14ac:dyDescent="0.25">
      <c r="A167" s="27" t="s">
        <v>175</v>
      </c>
      <c r="B167" s="30">
        <f xml:space="preserve"> 8827</f>
        <v>8827</v>
      </c>
      <c r="C167" s="30">
        <f t="shared" si="3"/>
        <v>9493.6447512698178</v>
      </c>
      <c r="D167" s="30">
        <f t="shared" si="4"/>
        <v>10116.307979773312</v>
      </c>
      <c r="E167" s="30">
        <f t="shared" si="5"/>
        <v>-1289.3079797733117</v>
      </c>
    </row>
    <row r="168" spans="1:5" ht="15" customHeight="1" x14ac:dyDescent="0.25">
      <c r="A168" s="27" t="s">
        <v>176</v>
      </c>
      <c r="B168" s="30">
        <f xml:space="preserve"> 8559</f>
        <v>8559</v>
      </c>
      <c r="C168" s="30">
        <f t="shared" si="3"/>
        <v>9042.2639117346171</v>
      </c>
      <c r="D168" s="30">
        <f t="shared" si="4"/>
        <v>9493.6447512698178</v>
      </c>
      <c r="E168" s="30">
        <f t="shared" si="5"/>
        <v>-934.64475126981779</v>
      </c>
    </row>
    <row r="169" spans="1:5" ht="15" customHeight="1" x14ac:dyDescent="0.25">
      <c r="A169" s="27" t="s">
        <v>177</v>
      </c>
      <c r="B169" s="30">
        <f xml:space="preserve"> 9143</f>
        <v>9143</v>
      </c>
      <c r="C169" s="30">
        <f t="shared" si="3"/>
        <v>9090.9137757936023</v>
      </c>
      <c r="D169" s="30">
        <f t="shared" si="4"/>
        <v>9042.2639117346171</v>
      </c>
      <c r="E169" s="30">
        <f t="shared" si="5"/>
        <v>100.73608826538293</v>
      </c>
    </row>
    <row r="170" spans="1:5" ht="15" customHeight="1" x14ac:dyDescent="0.25">
      <c r="A170" s="27" t="s">
        <v>178</v>
      </c>
      <c r="B170" s="30">
        <f xml:space="preserve"> 9989</f>
        <v>9989</v>
      </c>
      <c r="C170" s="30">
        <f t="shared" si="3"/>
        <v>9524.6389032353709</v>
      </c>
      <c r="D170" s="30">
        <f t="shared" si="4"/>
        <v>9090.9137757936023</v>
      </c>
      <c r="E170" s="30">
        <f t="shared" si="5"/>
        <v>898.08622420639767</v>
      </c>
    </row>
    <row r="171" spans="1:5" ht="15" customHeight="1" x14ac:dyDescent="0.25">
      <c r="A171" s="27" t="s">
        <v>179</v>
      </c>
      <c r="B171" s="30">
        <f xml:space="preserve"> 9299</f>
        <v>9299</v>
      </c>
      <c r="C171" s="30">
        <f t="shared" si="3"/>
        <v>9415.668005537811</v>
      </c>
      <c r="D171" s="30">
        <f t="shared" si="4"/>
        <v>9524.6389032353709</v>
      </c>
      <c r="E171" s="30">
        <f t="shared" si="5"/>
        <v>-225.63890323537089</v>
      </c>
    </row>
    <row r="172" spans="1:5" ht="15" customHeight="1" x14ac:dyDescent="0.25">
      <c r="A172" s="27" t="s">
        <v>180</v>
      </c>
      <c r="B172" s="30">
        <f xml:space="preserve"> 10524</f>
        <v>10524</v>
      </c>
      <c r="C172" s="30">
        <f t="shared" si="3"/>
        <v>9950.9300133374381</v>
      </c>
      <c r="D172" s="30">
        <f t="shared" si="4"/>
        <v>9415.668005537811</v>
      </c>
      <c r="E172" s="30">
        <f t="shared" si="5"/>
        <v>1108.331994462189</v>
      </c>
    </row>
    <row r="173" spans="1:5" ht="15" customHeight="1" x14ac:dyDescent="0.25">
      <c r="A173" s="27" t="s">
        <v>181</v>
      </c>
      <c r="B173" s="30">
        <f xml:space="preserve"> 12887</f>
        <v>12887</v>
      </c>
      <c r="C173" s="30">
        <f t="shared" si="3"/>
        <v>11368.88665805545</v>
      </c>
      <c r="D173" s="30">
        <f t="shared" si="4"/>
        <v>9950.9300133374381</v>
      </c>
      <c r="E173" s="30">
        <f t="shared" si="5"/>
        <v>2936.0699866625619</v>
      </c>
    </row>
    <row r="174" spans="1:5" ht="15" customHeight="1" x14ac:dyDescent="0.25">
      <c r="A174" s="27" t="s">
        <v>182</v>
      </c>
      <c r="B174" s="30">
        <f xml:space="preserve"> 11145</f>
        <v>11145</v>
      </c>
      <c r="C174" s="30">
        <f t="shared" si="3"/>
        <v>11260.761996213074</v>
      </c>
      <c r="D174" s="30">
        <f t="shared" si="4"/>
        <v>11368.88665805545</v>
      </c>
      <c r="E174" s="30">
        <f t="shared" si="5"/>
        <v>-223.88665805544952</v>
      </c>
    </row>
    <row r="175" spans="1:5" ht="15" customHeight="1" x14ac:dyDescent="0.25">
      <c r="A175" s="27" t="s">
        <v>183</v>
      </c>
      <c r="B175" s="30">
        <f xml:space="preserve"> 11882</f>
        <v>11882</v>
      </c>
      <c r="C175" s="30">
        <f t="shared" si="3"/>
        <v>11560.785006366974</v>
      </c>
      <c r="D175" s="30">
        <f t="shared" si="4"/>
        <v>11260.761996213074</v>
      </c>
      <c r="E175" s="30">
        <f t="shared" si="5"/>
        <v>621.23800378692613</v>
      </c>
    </row>
    <row r="176" spans="1:5" ht="15" customHeight="1" x14ac:dyDescent="0.25">
      <c r="A176" s="27" t="s">
        <v>184</v>
      </c>
      <c r="B176" s="30">
        <f xml:space="preserve"> 9448</f>
        <v>9448</v>
      </c>
      <c r="C176" s="30">
        <f t="shared" si="3"/>
        <v>10540.428695976698</v>
      </c>
      <c r="D176" s="30">
        <f t="shared" si="4"/>
        <v>11560.785006366974</v>
      </c>
      <c r="E176" s="30">
        <f t="shared" si="5"/>
        <v>-2112.7850063669739</v>
      </c>
    </row>
    <row r="177" spans="1:5" ht="15" customHeight="1" x14ac:dyDescent="0.25">
      <c r="A177" s="27" t="s">
        <v>185</v>
      </c>
      <c r="B177" s="30">
        <f xml:space="preserve"> 7857</f>
        <v>7857</v>
      </c>
      <c r="C177" s="30">
        <f t="shared" si="3"/>
        <v>9244.4835831654436</v>
      </c>
      <c r="D177" s="30">
        <f t="shared" si="4"/>
        <v>10540.428695976698</v>
      </c>
      <c r="E177" s="30">
        <f t="shared" si="5"/>
        <v>-2683.4286959766978</v>
      </c>
    </row>
    <row r="178" spans="1:5" ht="15" customHeight="1" x14ac:dyDescent="0.25">
      <c r="A178" s="27" t="s">
        <v>186</v>
      </c>
      <c r="B178" s="30">
        <f xml:space="preserve"> 8482</f>
        <v>8482</v>
      </c>
      <c r="C178" s="30">
        <f t="shared" si="3"/>
        <v>8876.2469034714377</v>
      </c>
      <c r="D178" s="30">
        <f t="shared" si="4"/>
        <v>9244.4835831654436</v>
      </c>
      <c r="E178" s="30">
        <f t="shared" si="5"/>
        <v>-762.48358316544363</v>
      </c>
    </row>
    <row r="179" spans="1:5" ht="15" customHeight="1" x14ac:dyDescent="0.25">
      <c r="A179" s="27" t="s">
        <v>187</v>
      </c>
      <c r="B179" s="30">
        <f xml:space="preserve"> 9064</f>
        <v>9064</v>
      </c>
      <c r="C179" s="30">
        <f t="shared" si="3"/>
        <v>8966.9210876695033</v>
      </c>
      <c r="D179" s="30">
        <f t="shared" si="4"/>
        <v>8876.2469034714377</v>
      </c>
      <c r="E179" s="30">
        <f t="shared" si="5"/>
        <v>187.75309652856231</v>
      </c>
    </row>
    <row r="180" spans="1:5" ht="15" customHeight="1" x14ac:dyDescent="0.25">
      <c r="A180" s="27" t="s">
        <v>188</v>
      </c>
      <c r="B180" s="30">
        <f xml:space="preserve"> 7591</f>
        <v>7591</v>
      </c>
      <c r="C180" s="30">
        <f t="shared" si="3"/>
        <v>8302.4286001841119</v>
      </c>
      <c r="D180" s="30">
        <f t="shared" si="4"/>
        <v>8966.9210876695033</v>
      </c>
      <c r="E180" s="30">
        <f t="shared" si="5"/>
        <v>-1375.9210876695033</v>
      </c>
    </row>
    <row r="181" spans="1:5" ht="15" customHeight="1" x14ac:dyDescent="0.25">
      <c r="A181" s="27" t="s">
        <v>189</v>
      </c>
      <c r="B181" s="30">
        <f xml:space="preserve"> 8801</f>
        <v>8801</v>
      </c>
      <c r="C181" s="30">
        <f t="shared" si="3"/>
        <v>8543.2105408213283</v>
      </c>
      <c r="D181" s="30">
        <f t="shared" si="4"/>
        <v>8302.4286001841119</v>
      </c>
      <c r="E181" s="30">
        <f t="shared" si="5"/>
        <v>498.57139981588807</v>
      </c>
    </row>
    <row r="182" spans="1:5" ht="15" customHeight="1" x14ac:dyDescent="0.25">
      <c r="A182" s="27" t="s">
        <v>190</v>
      </c>
      <c r="B182" s="30">
        <f xml:space="preserve"> 10634</f>
        <v>10634</v>
      </c>
      <c r="C182" s="30">
        <f t="shared" si="3"/>
        <v>9552.9442392059154</v>
      </c>
      <c r="D182" s="30">
        <f t="shared" si="4"/>
        <v>8543.2105408213283</v>
      </c>
      <c r="E182" s="30">
        <f t="shared" si="5"/>
        <v>2090.7894591786717</v>
      </c>
    </row>
    <row r="183" spans="1:5" ht="15" customHeight="1" x14ac:dyDescent="0.25">
      <c r="A183" s="27" t="s">
        <v>191</v>
      </c>
      <c r="B183" s="30">
        <f xml:space="preserve"> 9951</f>
        <v>9951</v>
      </c>
      <c r="C183" s="30">
        <f t="shared" si="3"/>
        <v>9745.182780368159</v>
      </c>
      <c r="D183" s="30">
        <f t="shared" si="4"/>
        <v>9552.9442392059154</v>
      </c>
      <c r="E183" s="30">
        <f t="shared" si="5"/>
        <v>398.05576079408456</v>
      </c>
    </row>
    <row r="184" spans="1:5" ht="15" customHeight="1" x14ac:dyDescent="0.25">
      <c r="A184" s="27" t="s">
        <v>192</v>
      </c>
      <c r="B184" s="30">
        <f xml:space="preserve"> 11214</f>
        <v>11214</v>
      </c>
      <c r="C184" s="30">
        <f t="shared" si="3"/>
        <v>10454.5388740288</v>
      </c>
      <c r="D184" s="30">
        <f t="shared" si="4"/>
        <v>9745.182780368159</v>
      </c>
      <c r="E184" s="30">
        <f t="shared" si="5"/>
        <v>1468.817219631841</v>
      </c>
    </row>
    <row r="185" spans="1:5" ht="15" customHeight="1" x14ac:dyDescent="0.25">
      <c r="A185" s="27" t="s">
        <v>193</v>
      </c>
      <c r="B185" s="30">
        <f xml:space="preserve"> 10990</f>
        <v>10990</v>
      </c>
      <c r="C185" s="30">
        <f t="shared" si="3"/>
        <v>10713.136477290329</v>
      </c>
      <c r="D185" s="30">
        <f t="shared" si="4"/>
        <v>10454.5388740288</v>
      </c>
      <c r="E185" s="30">
        <f t="shared" si="5"/>
        <v>535.46112597120009</v>
      </c>
    </row>
    <row r="186" spans="1:5" ht="15" customHeight="1" x14ac:dyDescent="0.25">
      <c r="A186" s="27" t="s">
        <v>194</v>
      </c>
      <c r="B186" s="30">
        <f xml:space="preserve"> 11975</f>
        <v>11975</v>
      </c>
      <c r="C186" s="30">
        <f t="shared" si="3"/>
        <v>11322.545576828627</v>
      </c>
      <c r="D186" s="30">
        <f t="shared" si="4"/>
        <v>10713.136477290329</v>
      </c>
      <c r="E186" s="30">
        <f t="shared" si="5"/>
        <v>1261.8635227096711</v>
      </c>
    </row>
    <row r="187" spans="1:5" ht="15" customHeight="1" x14ac:dyDescent="0.25">
      <c r="A187" s="27" t="s">
        <v>195</v>
      </c>
      <c r="B187" s="30">
        <f xml:space="preserve"> 12137</f>
        <v>12137</v>
      </c>
      <c r="C187" s="30">
        <f t="shared" si="3"/>
        <v>11715.881248798953</v>
      </c>
      <c r="D187" s="30">
        <f t="shared" si="4"/>
        <v>11322.545576828627</v>
      </c>
      <c r="E187" s="30">
        <f t="shared" si="5"/>
        <v>814.45442317137349</v>
      </c>
    </row>
    <row r="188" spans="1:5" ht="15" customHeight="1" x14ac:dyDescent="0.25">
      <c r="A188" s="27" t="s">
        <v>196</v>
      </c>
      <c r="B188" s="30">
        <f xml:space="preserve"> 10892</f>
        <v>10892</v>
      </c>
      <c r="C188" s="30">
        <f t="shared" si="3"/>
        <v>11317.99295032519</v>
      </c>
      <c r="D188" s="30">
        <f t="shared" si="4"/>
        <v>11715.881248798953</v>
      </c>
      <c r="E188" s="30">
        <f t="shared" si="5"/>
        <v>-823.88124879895258</v>
      </c>
    </row>
    <row r="189" spans="1:5" ht="15" customHeight="1" x14ac:dyDescent="0.25">
      <c r="A189" s="27" t="s">
        <v>197</v>
      </c>
      <c r="B189" s="30">
        <f xml:space="preserve"> 11249</f>
        <v>11249</v>
      </c>
      <c r="C189" s="30">
        <f t="shared" si="3"/>
        <v>11284.673236286797</v>
      </c>
      <c r="D189" s="30">
        <f t="shared" si="4"/>
        <v>11317.99295032519</v>
      </c>
      <c r="E189" s="30">
        <f t="shared" si="5"/>
        <v>-68.992950325189668</v>
      </c>
    </row>
    <row r="190" spans="1:5" ht="15" customHeight="1" x14ac:dyDescent="0.25">
      <c r="A190" s="27" t="s">
        <v>198</v>
      </c>
      <c r="B190" s="30">
        <f xml:space="preserve"> 7531</f>
        <v>7531</v>
      </c>
      <c r="C190" s="30">
        <f t="shared" si="3"/>
        <v>9471.8602135484725</v>
      </c>
      <c r="D190" s="30">
        <f t="shared" si="4"/>
        <v>11284.673236286797</v>
      </c>
      <c r="E190" s="30">
        <f t="shared" si="5"/>
        <v>-3753.673236286797</v>
      </c>
    </row>
    <row r="191" spans="1:5" ht="15" customHeight="1" x14ac:dyDescent="0.25">
      <c r="A191" s="27" t="s">
        <v>199</v>
      </c>
      <c r="B191" s="30">
        <f xml:space="preserve"> 7992</f>
        <v>7992</v>
      </c>
      <c r="C191" s="30">
        <f t="shared" si="3"/>
        <v>8757.1709750129467</v>
      </c>
      <c r="D191" s="30">
        <f t="shared" si="4"/>
        <v>9471.8602135484725</v>
      </c>
      <c r="E191" s="30">
        <f t="shared" si="5"/>
        <v>-1479.8602135484725</v>
      </c>
    </row>
    <row r="192" spans="1:5" ht="15" customHeight="1" x14ac:dyDescent="0.25">
      <c r="A192" s="27" t="s">
        <v>200</v>
      </c>
      <c r="B192" s="30">
        <f xml:space="preserve"> 9230</f>
        <v>9230</v>
      </c>
      <c r="C192" s="30">
        <f t="shared" si="3"/>
        <v>8985.5207966594098</v>
      </c>
      <c r="D192" s="30">
        <f t="shared" si="4"/>
        <v>8757.1709750129467</v>
      </c>
      <c r="E192" s="30">
        <f t="shared" si="5"/>
        <v>472.82902498705334</v>
      </c>
    </row>
    <row r="193" spans="1:5" ht="15" customHeight="1" x14ac:dyDescent="0.25">
      <c r="A193" s="27" t="s">
        <v>201</v>
      </c>
      <c r="B193" s="30">
        <f xml:space="preserve"> 10123</f>
        <v>10123</v>
      </c>
      <c r="C193" s="30">
        <f t="shared" si="3"/>
        <v>9534.8592667681296</v>
      </c>
      <c r="D193" s="30">
        <f t="shared" si="4"/>
        <v>8985.5207966594098</v>
      </c>
      <c r="E193" s="30">
        <f t="shared" si="5"/>
        <v>1137.4792033405902</v>
      </c>
    </row>
    <row r="194" spans="1:5" ht="15" customHeight="1" x14ac:dyDescent="0.25">
      <c r="A194" s="27" t="s">
        <v>202</v>
      </c>
      <c r="B194" s="30">
        <f xml:space="preserve"> 11419</f>
        <v>11419</v>
      </c>
      <c r="C194" s="30">
        <f t="shared" si="3"/>
        <v>10444.793254856351</v>
      </c>
      <c r="D194" s="30">
        <f t="shared" si="4"/>
        <v>9534.8592667681296</v>
      </c>
      <c r="E194" s="30">
        <f t="shared" si="5"/>
        <v>1884.1407332318704</v>
      </c>
    </row>
    <row r="195" spans="1:5" ht="15" customHeight="1" x14ac:dyDescent="0.25">
      <c r="A195" s="27" t="s">
        <v>203</v>
      </c>
      <c r="B195" s="30">
        <f xml:space="preserve"> 12102</f>
        <v>12102</v>
      </c>
      <c r="C195" s="30">
        <f t="shared" si="3"/>
        <v>11245.130892113773</v>
      </c>
      <c r="D195" s="30">
        <f t="shared" si="4"/>
        <v>10444.793254856351</v>
      </c>
      <c r="E195" s="30">
        <f t="shared" si="5"/>
        <v>1657.2067451436487</v>
      </c>
    </row>
    <row r="196" spans="1:5" ht="15" customHeight="1" x14ac:dyDescent="0.25">
      <c r="A196" s="27" t="s">
        <v>204</v>
      </c>
      <c r="B196" s="30">
        <f xml:space="preserve"> 10903</f>
        <v>10903</v>
      </c>
      <c r="C196" s="30">
        <f t="shared" si="3"/>
        <v>11079.900916656861</v>
      </c>
      <c r="D196" s="30">
        <f t="shared" si="4"/>
        <v>11245.130892113773</v>
      </c>
      <c r="E196" s="30">
        <f t="shared" si="5"/>
        <v>-342.13089211377337</v>
      </c>
    </row>
    <row r="197" spans="1:5" ht="15" customHeight="1" x14ac:dyDescent="0.25">
      <c r="A197" s="27" t="s">
        <v>205</v>
      </c>
      <c r="B197" s="30">
        <f xml:space="preserve"> 12513</f>
        <v>12513</v>
      </c>
      <c r="C197" s="30">
        <f t="shared" si="3"/>
        <v>11772.007159694875</v>
      </c>
      <c r="D197" s="30">
        <f t="shared" si="4"/>
        <v>11079.900916656861</v>
      </c>
      <c r="E197" s="30">
        <f t="shared" si="5"/>
        <v>1433.0990833431388</v>
      </c>
    </row>
    <row r="198" spans="1:5" ht="15" customHeight="1" x14ac:dyDescent="0.25">
      <c r="A198" s="27" t="s">
        <v>206</v>
      </c>
      <c r="B198" s="30">
        <f xml:space="preserve"> 10696</f>
        <v>10696</v>
      </c>
      <c r="C198" s="30">
        <f t="shared" si="3"/>
        <v>11252.356228761921</v>
      </c>
      <c r="D198" s="30">
        <f t="shared" si="4"/>
        <v>11772.007159694875</v>
      </c>
      <c r="E198" s="30">
        <f t="shared" si="5"/>
        <v>-1076.0071596948746</v>
      </c>
    </row>
    <row r="199" spans="1:5" ht="15" customHeight="1" x14ac:dyDescent="0.25">
      <c r="A199" s="40" t="s">
        <v>207</v>
      </c>
      <c r="B199" s="41">
        <f xml:space="preserve"> 13758</f>
        <v>13758</v>
      </c>
      <c r="C199" s="41">
        <f t="shared" si="3"/>
        <v>12462.44122362334</v>
      </c>
      <c r="D199" s="41">
        <f t="shared" si="4"/>
        <v>11252.356228761921</v>
      </c>
      <c r="E199" s="41">
        <f t="shared" si="5"/>
        <v>2505.6437712380794</v>
      </c>
    </row>
    <row r="200" spans="1:5" ht="15" customHeight="1" x14ac:dyDescent="0.25">
      <c r="A200" s="27" t="s">
        <v>208</v>
      </c>
      <c r="B200" s="30"/>
      <c r="C200" s="30"/>
      <c r="D200" s="30">
        <f>C199</f>
        <v>12462.44122362334</v>
      </c>
      <c r="E200" s="30"/>
    </row>
    <row r="201" spans="1:5" ht="15" customHeight="1" x14ac:dyDescent="0.25">
      <c r="A201" s="27" t="s">
        <v>213</v>
      </c>
      <c r="B201" s="30"/>
      <c r="C201" s="30"/>
      <c r="D201" s="30">
        <f>C199</f>
        <v>12462.44122362334</v>
      </c>
      <c r="E201" s="30"/>
    </row>
    <row r="202" spans="1:5" ht="15" customHeight="1" x14ac:dyDescent="0.25">
      <c r="A202" s="27" t="s">
        <v>214</v>
      </c>
      <c r="B202" s="30"/>
      <c r="C202" s="30"/>
      <c r="D202" s="30">
        <f>C199</f>
        <v>12462.44122362334</v>
      </c>
      <c r="E202" s="30"/>
    </row>
    <row r="203" spans="1:5" ht="15" customHeight="1" x14ac:dyDescent="0.25">
      <c r="A203" s="27" t="s">
        <v>215</v>
      </c>
      <c r="B203" s="30"/>
      <c r="C203" s="30"/>
      <c r="D203" s="30">
        <f>C199</f>
        <v>12462.44122362334</v>
      </c>
      <c r="E203" s="30"/>
    </row>
    <row r="204" spans="1:5" ht="15" customHeight="1" x14ac:dyDescent="0.25">
      <c r="A204" s="27" t="s">
        <v>216</v>
      </c>
      <c r="B204" s="30"/>
      <c r="C204" s="30"/>
      <c r="D204" s="30">
        <f>C199</f>
        <v>12462.44122362334</v>
      </c>
      <c r="E204" s="30"/>
    </row>
    <row r="205" spans="1:5" ht="15" customHeight="1" x14ac:dyDescent="0.25">
      <c r="A205" s="27" t="s">
        <v>217</v>
      </c>
      <c r="B205" s="30"/>
      <c r="C205" s="30"/>
      <c r="D205" s="30">
        <f>C199</f>
        <v>12462.44122362334</v>
      </c>
      <c r="E205" s="30"/>
    </row>
    <row r="206" spans="1:5" ht="15" customHeight="1" x14ac:dyDescent="0.25">
      <c r="A206" s="27" t="s">
        <v>218</v>
      </c>
      <c r="B206" s="30"/>
      <c r="C206" s="30"/>
      <c r="D206" s="30">
        <f>C199</f>
        <v>12462.44122362334</v>
      </c>
      <c r="E206" s="30"/>
    </row>
    <row r="207" spans="1:5" ht="15" customHeight="1" x14ac:dyDescent="0.25">
      <c r="A207" s="27" t="s">
        <v>219</v>
      </c>
      <c r="B207" s="30"/>
      <c r="C207" s="30"/>
      <c r="D207" s="30">
        <f>C199</f>
        <v>12462.44122362334</v>
      </c>
      <c r="E207" s="30"/>
    </row>
  </sheetData>
  <pageMargins left="0.7" right="0.7" top="0.75" bottom="0.75" header="0.3" footer="0.3"/>
  <pageSetup paperSize="9"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71"/>
  <sheetViews>
    <sheetView showGridLines="0" workbookViewId="0">
      <selection activeCell="J27" sqref="J27"/>
    </sheetView>
  </sheetViews>
  <sheetFormatPr defaultColWidth="12.7109375" defaultRowHeight="15" x14ac:dyDescent="0.25"/>
  <cols>
    <col min="1" max="1" width="33.42578125" bestFit="1" customWidth="1"/>
    <col min="2" max="10" width="12.7109375" customWidth="1"/>
  </cols>
  <sheetData>
    <row r="1" spans="1:3" s="16" customFormat="1" ht="18.75" x14ac:dyDescent="0.3">
      <c r="A1" s="22" t="s">
        <v>75</v>
      </c>
      <c r="B1" s="20"/>
    </row>
    <row r="2" spans="1:3" s="16" customFormat="1" ht="11.25" x14ac:dyDescent="0.2">
      <c r="A2" s="18" t="s">
        <v>76</v>
      </c>
      <c r="B2" s="20" t="s">
        <v>77</v>
      </c>
    </row>
    <row r="3" spans="1:3" s="16" customFormat="1" ht="11.25" x14ac:dyDescent="0.2">
      <c r="A3" s="18" t="s">
        <v>78</v>
      </c>
      <c r="B3" s="20" t="s">
        <v>79</v>
      </c>
    </row>
    <row r="4" spans="1:3" s="16" customFormat="1" ht="11.25" x14ac:dyDescent="0.2">
      <c r="A4" s="18" t="s">
        <v>80</v>
      </c>
      <c r="B4" s="23">
        <v>45067</v>
      </c>
    </row>
    <row r="5" spans="1:3" s="17" customFormat="1" ht="11.25" x14ac:dyDescent="0.2">
      <c r="A5" s="19" t="s">
        <v>81</v>
      </c>
      <c r="B5" s="21" t="s">
        <v>82</v>
      </c>
    </row>
    <row r="7" spans="1:3" ht="15" customHeight="1" x14ac:dyDescent="0.25">
      <c r="A7" s="28" t="s">
        <v>304</v>
      </c>
      <c r="B7" s="25"/>
    </row>
    <row r="8" spans="1:3" ht="15" customHeight="1" thickBot="1" x14ac:dyDescent="0.3">
      <c r="A8" s="39" t="s">
        <v>226</v>
      </c>
      <c r="B8" s="38"/>
    </row>
    <row r="9" spans="1:3" ht="15" customHeight="1" thickTop="1" x14ac:dyDescent="0.25">
      <c r="A9" s="27" t="s">
        <v>229</v>
      </c>
      <c r="B9" s="35">
        <v>0.232375</v>
      </c>
    </row>
    <row r="10" spans="1:3" ht="15" customHeight="1" x14ac:dyDescent="0.25">
      <c r="A10" s="27" t="s">
        <v>230</v>
      </c>
      <c r="B10" s="35">
        <v>0</v>
      </c>
    </row>
    <row r="11" spans="1:3" ht="15" customHeight="1" x14ac:dyDescent="0.25"/>
    <row r="12" spans="1:3" ht="15" customHeight="1" x14ac:dyDescent="0.25">
      <c r="A12" s="28"/>
      <c r="B12" s="25"/>
      <c r="C12" s="25" t="s">
        <v>220</v>
      </c>
    </row>
    <row r="13" spans="1:3" ht="15" customHeight="1" thickBot="1" x14ac:dyDescent="0.3">
      <c r="A13" s="39" t="s">
        <v>299</v>
      </c>
      <c r="B13" s="38"/>
      <c r="C13" s="38" t="s">
        <v>225</v>
      </c>
    </row>
    <row r="14" spans="1:3" ht="15" customHeight="1" thickTop="1" x14ac:dyDescent="0.25">
      <c r="A14" s="27" t="s">
        <v>88</v>
      </c>
      <c r="B14" s="30">
        <f>_xll.StatMeanAbs(J148:J263)</f>
        <v>1022.0938785208418</v>
      </c>
      <c r="C14" s="30">
        <f>_xll.StatMeanAbs(H148:H263)</f>
        <v>1024.6291376339047</v>
      </c>
    </row>
    <row r="15" spans="1:3" ht="15" customHeight="1" x14ac:dyDescent="0.25">
      <c r="A15" s="27" t="s">
        <v>89</v>
      </c>
      <c r="B15" s="30">
        <f>SQRT(SUMSQ(J148:J263)/_xll.StatCount(J148:J263))</f>
        <v>1334.9824938290355</v>
      </c>
      <c r="C15" s="30">
        <f>SQRT(SUMSQ(H148:H263)/_xll.StatCount(H148:H263))</f>
        <v>1338.4462335613096</v>
      </c>
    </row>
    <row r="16" spans="1:3" ht="15" customHeight="1" x14ac:dyDescent="0.25">
      <c r="A16" s="27" t="s">
        <v>90</v>
      </c>
      <c r="B16" s="33">
        <f>_xll.StatPairMeanAbsQuotient(J148:J263,B148:B263)</f>
        <v>0.1008493688364748</v>
      </c>
      <c r="C16" s="33">
        <f>_xll.StatPairMeanAbsQuotient(H148:H263,D148:D263)</f>
        <v>0.10084936883647483</v>
      </c>
    </row>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spans="1:10" ht="15" customHeight="1" x14ac:dyDescent="0.25">
      <c r="A145" s="28"/>
      <c r="B145" s="25"/>
      <c r="C145" s="25" t="s">
        <v>222</v>
      </c>
      <c r="D145" s="25" t="s">
        <v>220</v>
      </c>
      <c r="E145" s="25" t="s">
        <v>220</v>
      </c>
      <c r="F145" s="25" t="s">
        <v>220</v>
      </c>
      <c r="G145" s="25" t="s">
        <v>220</v>
      </c>
      <c r="H145" s="25" t="s">
        <v>220</v>
      </c>
      <c r="I145" s="25" t="s">
        <v>222</v>
      </c>
      <c r="J145" s="25" t="s">
        <v>222</v>
      </c>
    </row>
    <row r="146" spans="1:10" ht="15" customHeight="1" thickBot="1" x14ac:dyDescent="0.3">
      <c r="A146" s="39" t="s">
        <v>86</v>
      </c>
      <c r="B146" s="38" t="s">
        <v>0</v>
      </c>
      <c r="C146" s="38" t="s">
        <v>223</v>
      </c>
      <c r="D146" s="38" t="s">
        <v>0</v>
      </c>
      <c r="E146" s="38" t="s">
        <v>232</v>
      </c>
      <c r="F146" s="38" t="s">
        <v>212</v>
      </c>
      <c r="G146" s="38" t="s">
        <v>77</v>
      </c>
      <c r="H146" s="38" t="s">
        <v>224</v>
      </c>
      <c r="I146" s="38" t="s">
        <v>77</v>
      </c>
      <c r="J146" s="38" t="s">
        <v>224</v>
      </c>
    </row>
    <row r="147" spans="1:10" ht="15" customHeight="1" thickTop="1" x14ac:dyDescent="0.25">
      <c r="A147" s="27" t="s">
        <v>91</v>
      </c>
      <c r="B147" s="30">
        <f xml:space="preserve"> 7419</f>
        <v>7419</v>
      </c>
      <c r="C147" s="30">
        <v>0.9108384700918547</v>
      </c>
      <c r="D147" s="30">
        <f>B147/C147</f>
        <v>8145.242261508587</v>
      </c>
      <c r="E147" s="30">
        <f>D147</f>
        <v>8145.242261508587</v>
      </c>
      <c r="F147" s="30">
        <f>(D263-D147)/117</f>
        <v>31.104121502729114</v>
      </c>
      <c r="G147" s="30"/>
      <c r="H147" s="30"/>
      <c r="I147" s="30"/>
      <c r="J147" s="30"/>
    </row>
    <row r="148" spans="1:10" ht="15" customHeight="1" x14ac:dyDescent="0.25">
      <c r="A148" s="27" t="s">
        <v>92</v>
      </c>
      <c r="B148" s="30">
        <f xml:space="preserve"> 8824</f>
        <v>8824</v>
      </c>
      <c r="C148" s="30">
        <v>0.84712190854138225</v>
      </c>
      <c r="D148" s="30">
        <f t="shared" ref="D148:D211" si="0">B148/C148</f>
        <v>10416.446453608565</v>
      </c>
      <c r="E148" s="30">
        <f>$B$9*D148+(1-$B$9)*(E147+F147)</f>
        <v>8696.8896369163522</v>
      </c>
      <c r="F148" s="30">
        <f>$B$10*(E148-E147)+(1-$B$10)*F147</f>
        <v>31.104121502729114</v>
      </c>
      <c r="G148" s="30">
        <f>E147+F147</f>
        <v>8176.346383011316</v>
      </c>
      <c r="H148" s="30">
        <f>D148-G148</f>
        <v>2240.1000705972492</v>
      </c>
      <c r="I148" s="30">
        <f t="shared" ref="I148:I179" si="1">G148*C148</f>
        <v>6926.3621528719732</v>
      </c>
      <c r="J148" s="30">
        <f>B148-I148</f>
        <v>1897.6378471280268</v>
      </c>
    </row>
    <row r="149" spans="1:10" ht="15" customHeight="1" x14ac:dyDescent="0.25">
      <c r="A149" s="27" t="s">
        <v>93</v>
      </c>
      <c r="B149" s="30">
        <f xml:space="preserve"> 11583</f>
        <v>11583</v>
      </c>
      <c r="C149" s="30">
        <v>0.90327235308033749</v>
      </c>
      <c r="D149" s="30">
        <f t="shared" si="0"/>
        <v>12823.374877466002</v>
      </c>
      <c r="E149" s="30">
        <f t="shared" ref="E149:E212" si="2">$B$9*D149+(1-$B$9)*(E148+F148)</f>
        <v>9679.6579459576096</v>
      </c>
      <c r="F149" s="30">
        <f t="shared" ref="F149:F212" si="3">$B$10*(E149-E148)+(1-$B$10)*F148</f>
        <v>31.104121502729114</v>
      </c>
      <c r="G149" s="30">
        <f t="shared" ref="G149:G212" si="4">E148+F148</f>
        <v>8727.9937584190811</v>
      </c>
      <c r="H149" s="30">
        <f t="shared" ref="H149:H212" si="5">D149-G149</f>
        <v>4095.3811190469205</v>
      </c>
      <c r="I149" s="30">
        <f t="shared" si="1"/>
        <v>7883.7554598377019</v>
      </c>
      <c r="J149" s="30">
        <f t="shared" ref="J149:J212" si="6">B149-I149</f>
        <v>3699.2445401622981</v>
      </c>
    </row>
    <row r="150" spans="1:10" ht="15" customHeight="1" x14ac:dyDescent="0.25">
      <c r="A150" s="27" t="s">
        <v>94</v>
      </c>
      <c r="B150" s="30">
        <f xml:space="preserve"> 7958</f>
        <v>7958</v>
      </c>
      <c r="C150" s="30">
        <v>0.97853401683850749</v>
      </c>
      <c r="D150" s="30">
        <f t="shared" si="0"/>
        <v>8132.5736898867053</v>
      </c>
      <c r="E150" s="30">
        <f t="shared" si="2"/>
        <v>9344.0305432216664</v>
      </c>
      <c r="F150" s="30">
        <f t="shared" si="3"/>
        <v>31.104121502729114</v>
      </c>
      <c r="G150" s="30">
        <f t="shared" si="4"/>
        <v>9710.7620674603386</v>
      </c>
      <c r="H150" s="30">
        <f t="shared" si="5"/>
        <v>-1578.1883775736333</v>
      </c>
      <c r="I150" s="30">
        <f t="shared" si="1"/>
        <v>9502.3110124349751</v>
      </c>
      <c r="J150" s="30">
        <f t="shared" si="6"/>
        <v>-1544.3110124349751</v>
      </c>
    </row>
    <row r="151" spans="1:10" ht="15" customHeight="1" x14ac:dyDescent="0.25">
      <c r="A151" s="27" t="s">
        <v>95</v>
      </c>
      <c r="B151" s="30">
        <f xml:space="preserve"> 11933</f>
        <v>11933</v>
      </c>
      <c r="C151" s="30">
        <v>1.0405515346828169</v>
      </c>
      <c r="D151" s="30">
        <f t="shared" si="0"/>
        <v>11467.956753951106</v>
      </c>
      <c r="E151" s="30">
        <f t="shared" si="2"/>
        <v>9861.4541977084518</v>
      </c>
      <c r="F151" s="30">
        <f t="shared" si="3"/>
        <v>31.104121502729114</v>
      </c>
      <c r="G151" s="30">
        <f t="shared" si="4"/>
        <v>9375.1346647243954</v>
      </c>
      <c r="H151" s="30">
        <f t="shared" si="5"/>
        <v>2092.8220892267109</v>
      </c>
      <c r="I151" s="30">
        <f t="shared" si="1"/>
        <v>9755.3107632370466</v>
      </c>
      <c r="J151" s="30">
        <f t="shared" si="6"/>
        <v>2177.6892367629534</v>
      </c>
    </row>
    <row r="152" spans="1:10" ht="15" customHeight="1" x14ac:dyDescent="0.25">
      <c r="A152" s="27" t="s">
        <v>96</v>
      </c>
      <c r="B152" s="30">
        <f xml:space="preserve"> 11227</f>
        <v>11227</v>
      </c>
      <c r="C152" s="30">
        <v>1.0139715410282903</v>
      </c>
      <c r="D152" s="30">
        <f t="shared" si="0"/>
        <v>11072.302866226855</v>
      </c>
      <c r="E152" s="30">
        <f t="shared" si="2"/>
        <v>10166.701458323949</v>
      </c>
      <c r="F152" s="30">
        <f t="shared" si="3"/>
        <v>31.104121502729114</v>
      </c>
      <c r="G152" s="30">
        <f t="shared" si="4"/>
        <v>9892.5583192111808</v>
      </c>
      <c r="H152" s="30">
        <f t="shared" si="5"/>
        <v>1179.7445470156745</v>
      </c>
      <c r="I152" s="30">
        <f t="shared" si="1"/>
        <v>10030.772603642794</v>
      </c>
      <c r="J152" s="30">
        <f t="shared" si="6"/>
        <v>1196.2273963572061</v>
      </c>
    </row>
    <row r="153" spans="1:10" ht="15" customHeight="1" x14ac:dyDescent="0.25">
      <c r="A153" s="27" t="s">
        <v>97</v>
      </c>
      <c r="B153" s="30">
        <f xml:space="preserve"> 11258</f>
        <v>11258</v>
      </c>
      <c r="C153" s="30">
        <v>1.1066401628839515</v>
      </c>
      <c r="D153" s="30">
        <f t="shared" si="0"/>
        <v>10173.135204727409</v>
      </c>
      <c r="E153" s="30">
        <f t="shared" si="2"/>
        <v>10192.072801412985</v>
      </c>
      <c r="F153" s="30">
        <f t="shared" si="3"/>
        <v>31.104121502729114</v>
      </c>
      <c r="G153" s="30">
        <f t="shared" si="4"/>
        <v>10197.805579826678</v>
      </c>
      <c r="H153" s="30">
        <f t="shared" si="5"/>
        <v>-24.670375099269222</v>
      </c>
      <c r="I153" s="30">
        <f t="shared" si="1"/>
        <v>11285.301227918264</v>
      </c>
      <c r="J153" s="30">
        <f t="shared" si="6"/>
        <v>-27.301227918263976</v>
      </c>
    </row>
    <row r="154" spans="1:10" ht="15" customHeight="1" x14ac:dyDescent="0.25">
      <c r="A154" s="27" t="s">
        <v>98</v>
      </c>
      <c r="B154" s="30">
        <f xml:space="preserve"> 15904</f>
        <v>15904</v>
      </c>
      <c r="C154" s="30">
        <v>1.2089882382274035</v>
      </c>
      <c r="D154" s="30">
        <f t="shared" si="0"/>
        <v>13154.801260364744</v>
      </c>
      <c r="E154" s="30">
        <f t="shared" si="2"/>
        <v>10904.413128330432</v>
      </c>
      <c r="F154" s="30">
        <f t="shared" si="3"/>
        <v>31.104121502729114</v>
      </c>
      <c r="G154" s="30">
        <f t="shared" si="4"/>
        <v>10223.176922915714</v>
      </c>
      <c r="H154" s="30">
        <f t="shared" si="5"/>
        <v>2931.6243374490296</v>
      </c>
      <c r="I154" s="30">
        <f t="shared" si="1"/>
        <v>12359.700657122918</v>
      </c>
      <c r="J154" s="30">
        <f t="shared" si="6"/>
        <v>3544.2993428770824</v>
      </c>
    </row>
    <row r="155" spans="1:10" ht="15" customHeight="1" x14ac:dyDescent="0.25">
      <c r="A155" s="27" t="s">
        <v>99</v>
      </c>
      <c r="B155" s="30">
        <f xml:space="preserve"> 14470</f>
        <v>14470</v>
      </c>
      <c r="C155" s="30">
        <v>1.1674732208152445</v>
      </c>
      <c r="D155" s="30">
        <f t="shared" si="0"/>
        <v>12394.288572970971</v>
      </c>
      <c r="E155" s="30">
        <f t="shared" si="2"/>
        <v>11274.49923604731</v>
      </c>
      <c r="F155" s="30">
        <f t="shared" si="3"/>
        <v>31.104121502729114</v>
      </c>
      <c r="G155" s="30">
        <f t="shared" si="4"/>
        <v>10935.517249833161</v>
      </c>
      <c r="H155" s="30">
        <f t="shared" si="5"/>
        <v>1458.7713231378093</v>
      </c>
      <c r="I155" s="30">
        <f t="shared" si="1"/>
        <v>12766.923544943385</v>
      </c>
      <c r="J155" s="30">
        <f t="shared" si="6"/>
        <v>1703.0764550566146</v>
      </c>
    </row>
    <row r="156" spans="1:10" ht="15" customHeight="1" x14ac:dyDescent="0.25">
      <c r="A156" s="27" t="s">
        <v>100</v>
      </c>
      <c r="B156" s="30">
        <f xml:space="preserve"> 10916</f>
        <v>10916</v>
      </c>
      <c r="C156" s="30">
        <v>0.96087205630662098</v>
      </c>
      <c r="D156" s="30">
        <f t="shared" si="0"/>
        <v>11360.513533881589</v>
      </c>
      <c r="E156" s="30">
        <f t="shared" si="2"/>
        <v>11318.363109775082</v>
      </c>
      <c r="F156" s="30">
        <f t="shared" si="3"/>
        <v>31.104121502729114</v>
      </c>
      <c r="G156" s="30">
        <f t="shared" si="4"/>
        <v>11305.603357550039</v>
      </c>
      <c r="H156" s="30">
        <f t="shared" si="5"/>
        <v>54.910176331550247</v>
      </c>
      <c r="I156" s="30">
        <f t="shared" si="1"/>
        <v>10863.238345956144</v>
      </c>
      <c r="J156" s="30">
        <f t="shared" si="6"/>
        <v>52.761654043855742</v>
      </c>
    </row>
    <row r="157" spans="1:10" ht="15" customHeight="1" x14ac:dyDescent="0.25">
      <c r="A157" s="27" t="s">
        <v>101</v>
      </c>
      <c r="B157" s="30">
        <f xml:space="preserve"> 10391</f>
        <v>10391</v>
      </c>
      <c r="C157" s="30">
        <v>0.99213853165653609</v>
      </c>
      <c r="D157" s="30">
        <f t="shared" si="0"/>
        <v>10473.33579782507</v>
      </c>
      <c r="E157" s="30">
        <f t="shared" si="2"/>
        <v>11145.876189429231</v>
      </c>
      <c r="F157" s="30">
        <f t="shared" si="3"/>
        <v>31.104121502729114</v>
      </c>
      <c r="G157" s="30">
        <f t="shared" si="4"/>
        <v>11349.467231277811</v>
      </c>
      <c r="H157" s="30">
        <f t="shared" si="5"/>
        <v>-876.13143345274148</v>
      </c>
      <c r="I157" s="30">
        <f t="shared" si="1"/>
        <v>11260.24375392394</v>
      </c>
      <c r="J157" s="30">
        <f t="shared" si="6"/>
        <v>-869.24375392393995</v>
      </c>
    </row>
    <row r="158" spans="1:10" ht="15" customHeight="1" x14ac:dyDescent="0.25">
      <c r="A158" s="27" t="s">
        <v>102</v>
      </c>
      <c r="B158" s="30">
        <f xml:space="preserve"> 8481</f>
        <v>8481</v>
      </c>
      <c r="C158" s="30">
        <v>0.86959779497816025</v>
      </c>
      <c r="D158" s="30">
        <f t="shared" si="0"/>
        <v>9752.7846194837675</v>
      </c>
      <c r="E158" s="30">
        <f t="shared" si="2"/>
        <v>10846.032837131686</v>
      </c>
      <c r="F158" s="30">
        <f t="shared" si="3"/>
        <v>31.104121502729114</v>
      </c>
      <c r="G158" s="30">
        <f t="shared" si="4"/>
        <v>11176.98031093196</v>
      </c>
      <c r="H158" s="30">
        <f t="shared" si="5"/>
        <v>-1424.1956914481925</v>
      </c>
      <c r="I158" s="30">
        <f t="shared" si="1"/>
        <v>9719.477432900745</v>
      </c>
      <c r="J158" s="30">
        <f t="shared" si="6"/>
        <v>-1238.477432900745</v>
      </c>
    </row>
    <row r="159" spans="1:10" ht="15" customHeight="1" x14ac:dyDescent="0.25">
      <c r="A159" s="27" t="s">
        <v>103</v>
      </c>
      <c r="B159" s="30">
        <f xml:space="preserve"> 10120</f>
        <v>10120</v>
      </c>
      <c r="C159" s="30">
        <v>0.9108384700918547</v>
      </c>
      <c r="D159" s="30">
        <f t="shared" si="0"/>
        <v>11110.641823219692</v>
      </c>
      <c r="E159" s="30">
        <f t="shared" si="2"/>
        <v>10931.397651542418</v>
      </c>
      <c r="F159" s="30">
        <f t="shared" si="3"/>
        <v>31.104121502729114</v>
      </c>
      <c r="G159" s="30">
        <f t="shared" si="4"/>
        <v>10877.136958634415</v>
      </c>
      <c r="H159" s="30">
        <f t="shared" si="5"/>
        <v>233.50486458527666</v>
      </c>
      <c r="I159" s="30">
        <f t="shared" si="1"/>
        <v>9907.3147863821396</v>
      </c>
      <c r="J159" s="30">
        <f t="shared" si="6"/>
        <v>212.68521361786043</v>
      </c>
    </row>
    <row r="160" spans="1:10" ht="15" customHeight="1" x14ac:dyDescent="0.25">
      <c r="A160" s="27" t="s">
        <v>104</v>
      </c>
      <c r="B160" s="30">
        <f xml:space="preserve"> 8910</f>
        <v>8910</v>
      </c>
      <c r="C160" s="30">
        <v>0.84712190854138225</v>
      </c>
      <c r="D160" s="30">
        <f t="shared" si="0"/>
        <v>10517.966670631495</v>
      </c>
      <c r="E160" s="30">
        <f t="shared" si="2"/>
        <v>10859.202928621777</v>
      </c>
      <c r="F160" s="30">
        <f t="shared" si="3"/>
        <v>31.104121502729114</v>
      </c>
      <c r="G160" s="30">
        <f t="shared" si="4"/>
        <v>10962.501773045147</v>
      </c>
      <c r="H160" s="30">
        <f t="shared" si="5"/>
        <v>-444.53510241365257</v>
      </c>
      <c r="I160" s="30">
        <f t="shared" si="1"/>
        <v>9286.5754243702922</v>
      </c>
      <c r="J160" s="30">
        <f t="shared" si="6"/>
        <v>-376.57542437029224</v>
      </c>
    </row>
    <row r="161" spans="1:10" ht="15" customHeight="1" x14ac:dyDescent="0.25">
      <c r="A161" s="27" t="s">
        <v>105</v>
      </c>
      <c r="B161" s="30">
        <f xml:space="preserve"> 9375</f>
        <v>9375</v>
      </c>
      <c r="C161" s="30">
        <v>0.90327235308033749</v>
      </c>
      <c r="D161" s="30">
        <f t="shared" si="0"/>
        <v>10378.929420378467</v>
      </c>
      <c r="E161" s="30">
        <f t="shared" si="2"/>
        <v>10771.475673412269</v>
      </c>
      <c r="F161" s="30">
        <f t="shared" si="3"/>
        <v>31.104121502729114</v>
      </c>
      <c r="G161" s="30">
        <f t="shared" si="4"/>
        <v>10890.307050124506</v>
      </c>
      <c r="H161" s="30">
        <f t="shared" si="5"/>
        <v>-511.37762974603902</v>
      </c>
      <c r="I161" s="30">
        <f t="shared" si="1"/>
        <v>9836.9132749333512</v>
      </c>
      <c r="J161" s="30">
        <f t="shared" si="6"/>
        <v>-461.9132749333512</v>
      </c>
    </row>
    <row r="162" spans="1:10" ht="15" customHeight="1" x14ac:dyDescent="0.25">
      <c r="A162" s="27" t="s">
        <v>106</v>
      </c>
      <c r="B162" s="30">
        <f xml:space="preserve"> 12366</f>
        <v>12366</v>
      </c>
      <c r="C162" s="30">
        <v>0.97853401683850749</v>
      </c>
      <c r="D162" s="30">
        <f t="shared" si="0"/>
        <v>12637.271456287886</v>
      </c>
      <c r="E162" s="30">
        <f t="shared" si="2"/>
        <v>11228.916269726524</v>
      </c>
      <c r="F162" s="30">
        <f t="shared" si="3"/>
        <v>31.104121502729114</v>
      </c>
      <c r="G162" s="30">
        <f t="shared" si="4"/>
        <v>10802.579794914998</v>
      </c>
      <c r="H162" s="30">
        <f t="shared" si="5"/>
        <v>1834.6916613728881</v>
      </c>
      <c r="I162" s="30">
        <f t="shared" si="1"/>
        <v>10570.691798936674</v>
      </c>
      <c r="J162" s="30">
        <f t="shared" si="6"/>
        <v>1795.3082010633261</v>
      </c>
    </row>
    <row r="163" spans="1:10" ht="15" customHeight="1" x14ac:dyDescent="0.25">
      <c r="A163" s="27" t="s">
        <v>107</v>
      </c>
      <c r="B163" s="30">
        <f xml:space="preserve"> 10808</f>
        <v>10808</v>
      </c>
      <c r="C163" s="30">
        <v>1.0405515346828169</v>
      </c>
      <c r="D163" s="30">
        <f t="shared" si="0"/>
        <v>10386.799346074211</v>
      </c>
      <c r="E163" s="30">
        <f t="shared" si="2"/>
        <v>11057.105650861349</v>
      </c>
      <c r="F163" s="30">
        <f t="shared" si="3"/>
        <v>31.104121502729114</v>
      </c>
      <c r="G163" s="30">
        <f t="shared" si="4"/>
        <v>11260.020391229253</v>
      </c>
      <c r="H163" s="30">
        <f t="shared" si="5"/>
        <v>-873.22104515504179</v>
      </c>
      <c r="I163" s="30">
        <f t="shared" si="1"/>
        <v>11716.631498653411</v>
      </c>
      <c r="J163" s="30">
        <f t="shared" si="6"/>
        <v>-908.63149865341074</v>
      </c>
    </row>
    <row r="164" spans="1:10" ht="15" customHeight="1" x14ac:dyDescent="0.25">
      <c r="A164" s="27" t="s">
        <v>108</v>
      </c>
      <c r="B164" s="30">
        <f xml:space="preserve"> 11982</f>
        <v>11982</v>
      </c>
      <c r="C164" s="30">
        <v>1.0139715410282903</v>
      </c>
      <c r="D164" s="30">
        <f t="shared" si="0"/>
        <v>11816.899701000282</v>
      </c>
      <c r="E164" s="30">
        <f t="shared" si="2"/>
        <v>11257.539094530915</v>
      </c>
      <c r="F164" s="30">
        <f t="shared" si="3"/>
        <v>31.104121502729114</v>
      </c>
      <c r="G164" s="30">
        <f t="shared" si="4"/>
        <v>11088.209772364078</v>
      </c>
      <c r="H164" s="30">
        <f t="shared" si="5"/>
        <v>728.68992863620406</v>
      </c>
      <c r="I164" s="30">
        <f t="shared" si="1"/>
        <v>11243.129150128952</v>
      </c>
      <c r="J164" s="30">
        <f t="shared" si="6"/>
        <v>738.87084987104754</v>
      </c>
    </row>
    <row r="165" spans="1:10" ht="15" customHeight="1" x14ac:dyDescent="0.25">
      <c r="A165" s="27" t="s">
        <v>109</v>
      </c>
      <c r="B165" s="30">
        <f xml:space="preserve"> 13330</f>
        <v>13330</v>
      </c>
      <c r="C165" s="30">
        <v>1.1066401628839515</v>
      </c>
      <c r="D165" s="30">
        <f t="shared" si="0"/>
        <v>12045.469202257626</v>
      </c>
      <c r="E165" s="30">
        <f t="shared" si="2"/>
        <v>11464.510654582442</v>
      </c>
      <c r="F165" s="30">
        <f t="shared" si="3"/>
        <v>31.104121502729114</v>
      </c>
      <c r="G165" s="30">
        <f t="shared" si="4"/>
        <v>11288.643216033644</v>
      </c>
      <c r="H165" s="30">
        <f t="shared" si="5"/>
        <v>756.82598622398109</v>
      </c>
      <c r="I165" s="30">
        <f t="shared" si="1"/>
        <v>12492.465967330287</v>
      </c>
      <c r="J165" s="30">
        <f t="shared" si="6"/>
        <v>837.53403266971327</v>
      </c>
    </row>
    <row r="166" spans="1:10" ht="15" customHeight="1" x14ac:dyDescent="0.25">
      <c r="A166" s="27" t="s">
        <v>110</v>
      </c>
      <c r="B166" s="30">
        <f xml:space="preserve"> 12233</f>
        <v>12233</v>
      </c>
      <c r="C166" s="30">
        <v>1.2089882382274035</v>
      </c>
      <c r="D166" s="30">
        <f t="shared" si="0"/>
        <v>10118.378006667626</v>
      </c>
      <c r="E166" s="30">
        <f t="shared" si="2"/>
        <v>11175.579381791769</v>
      </c>
      <c r="F166" s="30">
        <f t="shared" si="3"/>
        <v>31.104121502729114</v>
      </c>
      <c r="G166" s="30">
        <f t="shared" si="4"/>
        <v>11495.614776085171</v>
      </c>
      <c r="H166" s="30">
        <f t="shared" si="5"/>
        <v>-1377.2367694175446</v>
      </c>
      <c r="I166" s="30">
        <f t="shared" si="1"/>
        <v>13898.063055480119</v>
      </c>
      <c r="J166" s="30">
        <f t="shared" si="6"/>
        <v>-1665.0630554801191</v>
      </c>
    </row>
    <row r="167" spans="1:10" ht="15" customHeight="1" x14ac:dyDescent="0.25">
      <c r="A167" s="27" t="s">
        <v>111</v>
      </c>
      <c r="B167" s="30">
        <f xml:space="preserve"> 12302</f>
        <v>12302</v>
      </c>
      <c r="C167" s="30">
        <v>1.1674732208152445</v>
      </c>
      <c r="D167" s="30">
        <f t="shared" si="0"/>
        <v>10537.286663765644</v>
      </c>
      <c r="E167" s="30">
        <f t="shared" si="2"/>
        <v>11051.132412708979</v>
      </c>
      <c r="F167" s="30">
        <f t="shared" si="3"/>
        <v>31.104121502729114</v>
      </c>
      <c r="G167" s="30">
        <f t="shared" si="4"/>
        <v>11206.683503294498</v>
      </c>
      <c r="H167" s="30">
        <f t="shared" si="5"/>
        <v>-669.39683952885389</v>
      </c>
      <c r="I167" s="30">
        <f t="shared" si="1"/>
        <v>13083.502884248295</v>
      </c>
      <c r="J167" s="30">
        <f t="shared" si="6"/>
        <v>-781.50288424829523</v>
      </c>
    </row>
    <row r="168" spans="1:10" ht="15" customHeight="1" x14ac:dyDescent="0.25">
      <c r="A168" s="27" t="s">
        <v>112</v>
      </c>
      <c r="B168" s="30">
        <f xml:space="preserve"> 7227</f>
        <v>7227</v>
      </c>
      <c r="C168" s="30">
        <v>0.96087205630662098</v>
      </c>
      <c r="D168" s="30">
        <f t="shared" si="0"/>
        <v>7521.2927179701583</v>
      </c>
      <c r="E168" s="30">
        <f t="shared" si="2"/>
        <v>10254.762214912578</v>
      </c>
      <c r="F168" s="30">
        <f t="shared" si="3"/>
        <v>31.104121502729114</v>
      </c>
      <c r="G168" s="30">
        <f t="shared" si="4"/>
        <v>11082.236534211708</v>
      </c>
      <c r="H168" s="30">
        <f t="shared" si="5"/>
        <v>-3560.9438162415499</v>
      </c>
      <c r="I168" s="30">
        <f t="shared" si="1"/>
        <v>10648.611407104365</v>
      </c>
      <c r="J168" s="30">
        <f t="shared" si="6"/>
        <v>-3421.6114071043648</v>
      </c>
    </row>
    <row r="169" spans="1:10" ht="15" customHeight="1" x14ac:dyDescent="0.25">
      <c r="A169" s="27" t="s">
        <v>113</v>
      </c>
      <c r="B169" s="30">
        <f xml:space="preserve"> 12660</f>
        <v>12660</v>
      </c>
      <c r="C169" s="30">
        <v>0.99213853165653609</v>
      </c>
      <c r="D169" s="30">
        <f t="shared" si="0"/>
        <v>12760.314810938829</v>
      </c>
      <c r="E169" s="30">
        <f t="shared" si="2"/>
        <v>10860.86630068271</v>
      </c>
      <c r="F169" s="30">
        <f t="shared" si="3"/>
        <v>31.104121502729114</v>
      </c>
      <c r="G169" s="30">
        <f t="shared" si="4"/>
        <v>10285.866336415307</v>
      </c>
      <c r="H169" s="30">
        <f t="shared" si="5"/>
        <v>2474.4484745235222</v>
      </c>
      <c r="I169" s="30">
        <f t="shared" si="1"/>
        <v>10205.004323826477</v>
      </c>
      <c r="J169" s="30">
        <f t="shared" si="6"/>
        <v>2454.995676173523</v>
      </c>
    </row>
    <row r="170" spans="1:10" ht="15" customHeight="1" x14ac:dyDescent="0.25">
      <c r="A170" s="27" t="s">
        <v>114</v>
      </c>
      <c r="B170" s="30">
        <f xml:space="preserve"> 9800</f>
        <v>9800</v>
      </c>
      <c r="C170" s="30">
        <v>0.86959779497816025</v>
      </c>
      <c r="D170" s="30">
        <f t="shared" si="0"/>
        <v>11269.577794003175</v>
      </c>
      <c r="E170" s="30">
        <f t="shared" si="2"/>
        <v>10979.716935211585</v>
      </c>
      <c r="F170" s="30">
        <f t="shared" si="3"/>
        <v>31.104121502729114</v>
      </c>
      <c r="G170" s="30">
        <f t="shared" si="4"/>
        <v>10891.970422185439</v>
      </c>
      <c r="H170" s="30">
        <f t="shared" si="5"/>
        <v>377.60737181773584</v>
      </c>
      <c r="I170" s="30">
        <f t="shared" si="1"/>
        <v>9471.6334620997986</v>
      </c>
      <c r="J170" s="30">
        <f t="shared" si="6"/>
        <v>328.36653790020137</v>
      </c>
    </row>
    <row r="171" spans="1:10" ht="15" customHeight="1" x14ac:dyDescent="0.25">
      <c r="A171" s="27" t="s">
        <v>115</v>
      </c>
      <c r="B171" s="30">
        <f xml:space="preserve"> 12004</f>
        <v>12004</v>
      </c>
      <c r="C171" s="30">
        <v>0.9108384700918547</v>
      </c>
      <c r="D171" s="30">
        <f t="shared" si="0"/>
        <v>13179.065656712371</v>
      </c>
      <c r="E171" s="30">
        <f t="shared" si="2"/>
        <v>11514.666895638862</v>
      </c>
      <c r="F171" s="30">
        <f t="shared" si="3"/>
        <v>31.104121502729114</v>
      </c>
      <c r="G171" s="30">
        <f t="shared" si="4"/>
        <v>11010.821056714314</v>
      </c>
      <c r="H171" s="30">
        <f t="shared" si="5"/>
        <v>2168.2445999980573</v>
      </c>
      <c r="I171" s="30">
        <f t="shared" si="1"/>
        <v>10029.079405752846</v>
      </c>
      <c r="J171" s="30">
        <f t="shared" si="6"/>
        <v>1974.9205942471544</v>
      </c>
    </row>
    <row r="172" spans="1:10" ht="15" customHeight="1" x14ac:dyDescent="0.25">
      <c r="A172" s="27" t="s">
        <v>116</v>
      </c>
      <c r="B172" s="30">
        <f xml:space="preserve"> 10006</f>
        <v>10006</v>
      </c>
      <c r="C172" s="30">
        <v>0.84712190854138225</v>
      </c>
      <c r="D172" s="30">
        <f t="shared" si="0"/>
        <v>11811.759203853955</v>
      </c>
      <c r="E172" s="30">
        <f t="shared" si="2"/>
        <v>11607.580022028877</v>
      </c>
      <c r="F172" s="30">
        <f t="shared" si="3"/>
        <v>31.104121502729114</v>
      </c>
      <c r="G172" s="30">
        <f t="shared" si="4"/>
        <v>11545.771017141591</v>
      </c>
      <c r="H172" s="30">
        <f t="shared" si="5"/>
        <v>265.98818671236404</v>
      </c>
      <c r="I172" s="30">
        <f t="shared" si="1"/>
        <v>9780.6755796227608</v>
      </c>
      <c r="J172" s="30">
        <f t="shared" si="6"/>
        <v>225.32442037723922</v>
      </c>
    </row>
    <row r="173" spans="1:10" ht="15" customHeight="1" x14ac:dyDescent="0.25">
      <c r="A173" s="27" t="s">
        <v>117</v>
      </c>
      <c r="B173" s="30">
        <f xml:space="preserve"> 8394</f>
        <v>8394</v>
      </c>
      <c r="C173" s="30">
        <v>0.90327235308033749</v>
      </c>
      <c r="D173" s="30">
        <f t="shared" si="0"/>
        <v>9292.878245830063</v>
      </c>
      <c r="E173" s="30">
        <f t="shared" si="2"/>
        <v>11093.57749805321</v>
      </c>
      <c r="F173" s="30">
        <f t="shared" si="3"/>
        <v>31.104121502729114</v>
      </c>
      <c r="G173" s="30">
        <f t="shared" si="4"/>
        <v>11638.684143531606</v>
      </c>
      <c r="H173" s="30">
        <f t="shared" si="5"/>
        <v>-2345.8058977015426</v>
      </c>
      <c r="I173" s="30">
        <f t="shared" si="1"/>
        <v>10512.901613086606</v>
      </c>
      <c r="J173" s="30">
        <f t="shared" si="6"/>
        <v>-2118.9016130866057</v>
      </c>
    </row>
    <row r="174" spans="1:10" ht="15" customHeight="1" x14ac:dyDescent="0.25">
      <c r="A174" s="27" t="s">
        <v>118</v>
      </c>
      <c r="B174" s="30">
        <f xml:space="preserve"> 9953</f>
        <v>9953</v>
      </c>
      <c r="C174" s="30">
        <v>0.97853401683850749</v>
      </c>
      <c r="D174" s="30">
        <f t="shared" si="0"/>
        <v>10171.337765197584</v>
      </c>
      <c r="E174" s="30">
        <f t="shared" si="2"/>
        <v>10903.148341399417</v>
      </c>
      <c r="F174" s="30">
        <f t="shared" si="3"/>
        <v>31.104121502729114</v>
      </c>
      <c r="G174" s="30">
        <f t="shared" si="4"/>
        <v>11124.681619555939</v>
      </c>
      <c r="H174" s="30">
        <f t="shared" si="5"/>
        <v>-953.34385435835429</v>
      </c>
      <c r="I174" s="30">
        <f t="shared" si="1"/>
        <v>10885.879391233586</v>
      </c>
      <c r="J174" s="30">
        <f t="shared" si="6"/>
        <v>-932.87939123358592</v>
      </c>
    </row>
    <row r="175" spans="1:10" ht="15" customHeight="1" x14ac:dyDescent="0.25">
      <c r="A175" s="27" t="s">
        <v>119</v>
      </c>
      <c r="B175" s="30">
        <f xml:space="preserve"> 10461</f>
        <v>10461</v>
      </c>
      <c r="C175" s="30">
        <v>1.0405515346828169</v>
      </c>
      <c r="D175" s="30">
        <f t="shared" si="0"/>
        <v>10053.322350044627</v>
      </c>
      <c r="E175" s="30">
        <f t="shared" si="2"/>
        <v>10729.546327926881</v>
      </c>
      <c r="F175" s="30">
        <f t="shared" si="3"/>
        <v>31.104121502729114</v>
      </c>
      <c r="G175" s="30">
        <f t="shared" si="4"/>
        <v>10934.252462902146</v>
      </c>
      <c r="H175" s="30">
        <f t="shared" si="5"/>
        <v>-880.93011285751891</v>
      </c>
      <c r="I175" s="30">
        <f t="shared" si="1"/>
        <v>11377.653180882198</v>
      </c>
      <c r="J175" s="30">
        <f t="shared" si="6"/>
        <v>-916.65318088219828</v>
      </c>
    </row>
    <row r="176" spans="1:10" ht="15" customHeight="1" x14ac:dyDescent="0.25">
      <c r="A176" s="27" t="s">
        <v>120</v>
      </c>
      <c r="B176" s="30">
        <f xml:space="preserve"> 10893</f>
        <v>10893</v>
      </c>
      <c r="C176" s="30">
        <v>1.0139715410282903</v>
      </c>
      <c r="D176" s="30">
        <f t="shared" si="0"/>
        <v>10742.905061174768</v>
      </c>
      <c r="E176" s="30">
        <f t="shared" si="2"/>
        <v>10756.526864833892</v>
      </c>
      <c r="F176" s="30">
        <f t="shared" si="3"/>
        <v>31.104121502729114</v>
      </c>
      <c r="G176" s="30">
        <f t="shared" si="4"/>
        <v>10760.65044942961</v>
      </c>
      <c r="H176" s="30">
        <f t="shared" si="5"/>
        <v>-17.7453882548416</v>
      </c>
      <c r="I176" s="30">
        <f t="shared" si="1"/>
        <v>10910.993318674906</v>
      </c>
      <c r="J176" s="30">
        <f t="shared" si="6"/>
        <v>-17.993318674905822</v>
      </c>
    </row>
    <row r="177" spans="1:10" ht="15" customHeight="1" x14ac:dyDescent="0.25">
      <c r="A177" s="27" t="s">
        <v>121</v>
      </c>
      <c r="B177" s="30">
        <f xml:space="preserve"> 9212</f>
        <v>9212</v>
      </c>
      <c r="C177" s="30">
        <v>1.1066401628839515</v>
      </c>
      <c r="D177" s="30">
        <f t="shared" si="0"/>
        <v>8324.2957457762368</v>
      </c>
      <c r="E177" s="30">
        <f t="shared" si="2"/>
        <v>10215.213459811403</v>
      </c>
      <c r="F177" s="30">
        <f t="shared" si="3"/>
        <v>31.104121502729114</v>
      </c>
      <c r="G177" s="30">
        <f t="shared" si="4"/>
        <v>10787.63098633662</v>
      </c>
      <c r="H177" s="30">
        <f t="shared" si="5"/>
        <v>-2463.3352405603837</v>
      </c>
      <c r="I177" s="30">
        <f t="shared" si="1"/>
        <v>11938.02571185152</v>
      </c>
      <c r="J177" s="30">
        <f t="shared" si="6"/>
        <v>-2726.0257118515201</v>
      </c>
    </row>
    <row r="178" spans="1:10" ht="15" customHeight="1" x14ac:dyDescent="0.25">
      <c r="A178" s="27" t="s">
        <v>122</v>
      </c>
      <c r="B178" s="30">
        <f xml:space="preserve"> 13209</f>
        <v>13209</v>
      </c>
      <c r="C178" s="30">
        <v>1.2089882382274035</v>
      </c>
      <c r="D178" s="30">
        <f t="shared" si="0"/>
        <v>10925.664603128642</v>
      </c>
      <c r="E178" s="30">
        <f t="shared" si="2"/>
        <v>10404.180845508279</v>
      </c>
      <c r="F178" s="30">
        <f t="shared" si="3"/>
        <v>31.104121502729114</v>
      </c>
      <c r="G178" s="30">
        <f t="shared" si="4"/>
        <v>10246.317581314132</v>
      </c>
      <c r="H178" s="30">
        <f t="shared" si="5"/>
        <v>679.3470218145103</v>
      </c>
      <c r="I178" s="30">
        <f t="shared" si="1"/>
        <v>12387.677440951442</v>
      </c>
      <c r="J178" s="30">
        <f t="shared" si="6"/>
        <v>821.32255904855811</v>
      </c>
    </row>
    <row r="179" spans="1:10" ht="15" customHeight="1" x14ac:dyDescent="0.25">
      <c r="A179" s="27" t="s">
        <v>123</v>
      </c>
      <c r="B179" s="30">
        <f xml:space="preserve"> 10294</f>
        <v>10294</v>
      </c>
      <c r="C179" s="30">
        <v>1.1674732208152445</v>
      </c>
      <c r="D179" s="30">
        <f t="shared" si="0"/>
        <v>8817.3328659407853</v>
      </c>
      <c r="E179" s="30">
        <f t="shared" si="2"/>
        <v>10059.313347524814</v>
      </c>
      <c r="F179" s="30">
        <f t="shared" si="3"/>
        <v>31.104121502729114</v>
      </c>
      <c r="G179" s="30">
        <f t="shared" si="4"/>
        <v>10435.284967011008</v>
      </c>
      <c r="H179" s="30">
        <f t="shared" si="5"/>
        <v>-1617.9521010702229</v>
      </c>
      <c r="I179" s="30">
        <f t="shared" si="1"/>
        <v>12182.915750561244</v>
      </c>
      <c r="J179" s="30">
        <f t="shared" si="6"/>
        <v>-1888.9157505612438</v>
      </c>
    </row>
    <row r="180" spans="1:10" ht="15" customHeight="1" x14ac:dyDescent="0.25">
      <c r="A180" s="27" t="s">
        <v>124</v>
      </c>
      <c r="B180" s="30">
        <f xml:space="preserve"> 11540</f>
        <v>11540</v>
      </c>
      <c r="C180" s="30">
        <v>0.96087205630662098</v>
      </c>
      <c r="D180" s="30">
        <f t="shared" si="0"/>
        <v>12009.923614968262</v>
      </c>
      <c r="E180" s="30">
        <f t="shared" si="2"/>
        <v>10536.462709690517</v>
      </c>
      <c r="F180" s="30">
        <f t="shared" si="3"/>
        <v>31.104121502729114</v>
      </c>
      <c r="G180" s="30">
        <f t="shared" si="4"/>
        <v>10090.417469027543</v>
      </c>
      <c r="H180" s="30">
        <f t="shared" si="5"/>
        <v>1919.5061459407189</v>
      </c>
      <c r="I180" s="30">
        <f t="shared" ref="I180:I211" si="7">G180*C180</f>
        <v>9695.6001824567447</v>
      </c>
      <c r="J180" s="30">
        <f t="shared" si="6"/>
        <v>1844.3998175432553</v>
      </c>
    </row>
    <row r="181" spans="1:10" ht="15" customHeight="1" x14ac:dyDescent="0.25">
      <c r="A181" s="27" t="s">
        <v>125</v>
      </c>
      <c r="B181" s="30">
        <f xml:space="preserve"> 10219</f>
        <v>10219</v>
      </c>
      <c r="C181" s="30">
        <v>0.99213853165653609</v>
      </c>
      <c r="D181" s="30">
        <f t="shared" si="0"/>
        <v>10299.972910978191</v>
      </c>
      <c r="E181" s="30">
        <f t="shared" si="2"/>
        <v>10505.384693983273</v>
      </c>
      <c r="F181" s="30">
        <f t="shared" si="3"/>
        <v>31.104121502729114</v>
      </c>
      <c r="G181" s="30">
        <f t="shared" si="4"/>
        <v>10567.566831193246</v>
      </c>
      <c r="H181" s="30">
        <f t="shared" si="5"/>
        <v>-267.59392021505482</v>
      </c>
      <c r="I181" s="30">
        <f t="shared" si="7"/>
        <v>10484.490239082381</v>
      </c>
      <c r="J181" s="30">
        <f t="shared" si="6"/>
        <v>-265.49023908238087</v>
      </c>
    </row>
    <row r="182" spans="1:10" ht="15" customHeight="1" x14ac:dyDescent="0.25">
      <c r="A182" s="27" t="s">
        <v>126</v>
      </c>
      <c r="B182" s="30">
        <f xml:space="preserve"> 10230</f>
        <v>10230</v>
      </c>
      <c r="C182" s="30">
        <v>0.86959779497816025</v>
      </c>
      <c r="D182" s="30">
        <f t="shared" si="0"/>
        <v>11764.059268638008</v>
      </c>
      <c r="E182" s="30">
        <f t="shared" si="2"/>
        <v>10821.745499537199</v>
      </c>
      <c r="F182" s="30">
        <f t="shared" si="3"/>
        <v>31.104121502729114</v>
      </c>
      <c r="G182" s="30">
        <f t="shared" si="4"/>
        <v>10536.488815486002</v>
      </c>
      <c r="H182" s="30">
        <f t="shared" si="5"/>
        <v>1227.5704531520059</v>
      </c>
      <c r="I182" s="30">
        <f t="shared" si="7"/>
        <v>9162.5074407586744</v>
      </c>
      <c r="J182" s="30">
        <f t="shared" si="6"/>
        <v>1067.4925592413256</v>
      </c>
    </row>
    <row r="183" spans="1:10" ht="15" customHeight="1" x14ac:dyDescent="0.25">
      <c r="A183" s="27" t="s">
        <v>127</v>
      </c>
      <c r="B183" s="30">
        <f xml:space="preserve"> 9985</f>
        <v>9985</v>
      </c>
      <c r="C183" s="30">
        <v>0.9108384700918547</v>
      </c>
      <c r="D183" s="30">
        <f t="shared" si="0"/>
        <v>10962.426739609549</v>
      </c>
      <c r="E183" s="30">
        <f t="shared" si="2"/>
        <v>10878.312603967544</v>
      </c>
      <c r="F183" s="30">
        <f t="shared" si="3"/>
        <v>31.104121502729114</v>
      </c>
      <c r="G183" s="30">
        <f t="shared" si="4"/>
        <v>10852.849621039928</v>
      </c>
      <c r="H183" s="30">
        <f t="shared" si="5"/>
        <v>109.57711856962123</v>
      </c>
      <c r="I183" s="30">
        <f t="shared" si="7"/>
        <v>9885.1929449649724</v>
      </c>
      <c r="J183" s="30">
        <f t="shared" si="6"/>
        <v>99.807055035027588</v>
      </c>
    </row>
    <row r="184" spans="1:10" ht="15" customHeight="1" x14ac:dyDescent="0.25">
      <c r="A184" s="27" t="s">
        <v>128</v>
      </c>
      <c r="B184" s="30">
        <f xml:space="preserve"> 6832</f>
        <v>6832</v>
      </c>
      <c r="C184" s="30">
        <v>0.84712190854138225</v>
      </c>
      <c r="D184" s="30">
        <f t="shared" si="0"/>
        <v>8064.954915123948</v>
      </c>
      <c r="E184" s="30">
        <f t="shared" si="2"/>
        <v>10248.434912291046</v>
      </c>
      <c r="F184" s="30">
        <f t="shared" si="3"/>
        <v>31.104121502729114</v>
      </c>
      <c r="G184" s="30">
        <f t="shared" si="4"/>
        <v>10909.416725470273</v>
      </c>
      <c r="H184" s="30">
        <f t="shared" si="5"/>
        <v>-2844.4618103463254</v>
      </c>
      <c r="I184" s="30">
        <f t="shared" si="7"/>
        <v>9241.6059175536557</v>
      </c>
      <c r="J184" s="30">
        <f t="shared" si="6"/>
        <v>-2409.6059175536557</v>
      </c>
    </row>
    <row r="185" spans="1:10" ht="15" customHeight="1" x14ac:dyDescent="0.25">
      <c r="A185" s="27" t="s">
        <v>129</v>
      </c>
      <c r="B185" s="30">
        <f xml:space="preserve"> 9050</f>
        <v>9050</v>
      </c>
      <c r="C185" s="30">
        <v>0.90327235308033749</v>
      </c>
      <c r="D185" s="30">
        <f t="shared" si="0"/>
        <v>10019.126533805345</v>
      </c>
      <c r="E185" s="30">
        <f t="shared" si="2"/>
        <v>10219.025679108963</v>
      </c>
      <c r="F185" s="30">
        <f t="shared" si="3"/>
        <v>31.104121502729114</v>
      </c>
      <c r="G185" s="30">
        <f t="shared" si="4"/>
        <v>10279.539033793775</v>
      </c>
      <c r="H185" s="30">
        <f t="shared" si="5"/>
        <v>-260.41249998842977</v>
      </c>
      <c r="I185" s="30">
        <f t="shared" si="7"/>
        <v>9285.2234116360814</v>
      </c>
      <c r="J185" s="30">
        <f t="shared" si="6"/>
        <v>-235.22341163608144</v>
      </c>
    </row>
    <row r="186" spans="1:10" ht="15" customHeight="1" x14ac:dyDescent="0.25">
      <c r="A186" s="27" t="s">
        <v>130</v>
      </c>
      <c r="B186" s="30">
        <f xml:space="preserve"> 10082</f>
        <v>10082</v>
      </c>
      <c r="C186" s="30">
        <v>0.97853401683850749</v>
      </c>
      <c r="D186" s="30">
        <f t="shared" si="0"/>
        <v>10303.167622698889</v>
      </c>
      <c r="E186" s="30">
        <f t="shared" si="2"/>
        <v>10262.454464519205</v>
      </c>
      <c r="F186" s="30">
        <f t="shared" si="3"/>
        <v>31.104121502729114</v>
      </c>
      <c r="G186" s="30">
        <f t="shared" si="4"/>
        <v>10250.129800611692</v>
      </c>
      <c r="H186" s="30">
        <f t="shared" si="5"/>
        <v>53.037822087197128</v>
      </c>
      <c r="I186" s="30">
        <f t="shared" si="7"/>
        <v>10030.100686908649</v>
      </c>
      <c r="J186" s="30">
        <f t="shared" si="6"/>
        <v>51.89931309135136</v>
      </c>
    </row>
    <row r="187" spans="1:10" ht="15" customHeight="1" x14ac:dyDescent="0.25">
      <c r="A187" s="27" t="s">
        <v>131</v>
      </c>
      <c r="B187" s="30">
        <f xml:space="preserve"> 10659</f>
        <v>10659</v>
      </c>
      <c r="C187" s="30">
        <v>1.0405515346828169</v>
      </c>
      <c r="D187" s="30">
        <f t="shared" si="0"/>
        <v>10243.606053830961</v>
      </c>
      <c r="E187" s="30">
        <f t="shared" si="2"/>
        <v>10281.950866354058</v>
      </c>
      <c r="F187" s="30">
        <f t="shared" si="3"/>
        <v>31.104121502729114</v>
      </c>
      <c r="G187" s="30">
        <f t="shared" si="4"/>
        <v>10293.558586021934</v>
      </c>
      <c r="H187" s="30">
        <f t="shared" si="5"/>
        <v>-49.952532190973216</v>
      </c>
      <c r="I187" s="30">
        <f t="shared" si="7"/>
        <v>10710.97818403261</v>
      </c>
      <c r="J187" s="30">
        <f t="shared" si="6"/>
        <v>-51.978184032610443</v>
      </c>
    </row>
    <row r="188" spans="1:10" ht="15" customHeight="1" x14ac:dyDescent="0.25">
      <c r="A188" s="27" t="s">
        <v>132</v>
      </c>
      <c r="B188" s="30">
        <f xml:space="preserve"> 11458</f>
        <v>11458</v>
      </c>
      <c r="C188" s="30">
        <v>1.0139715410282903</v>
      </c>
      <c r="D188" s="30">
        <f t="shared" si="0"/>
        <v>11300.119911038328</v>
      </c>
      <c r="E188" s="30">
        <f t="shared" si="2"/>
        <v>10542.424199381097</v>
      </c>
      <c r="F188" s="30">
        <f t="shared" si="3"/>
        <v>31.104121502729114</v>
      </c>
      <c r="G188" s="30">
        <f t="shared" si="4"/>
        <v>10313.054987856787</v>
      </c>
      <c r="H188" s="30">
        <f t="shared" si="5"/>
        <v>987.06492318154051</v>
      </c>
      <c r="I188" s="30">
        <f t="shared" si="7"/>
        <v>10457.144258746643</v>
      </c>
      <c r="J188" s="30">
        <f t="shared" si="6"/>
        <v>1000.8557412533573</v>
      </c>
    </row>
    <row r="189" spans="1:10" ht="15" customHeight="1" x14ac:dyDescent="0.25">
      <c r="A189" s="27" t="s">
        <v>133</v>
      </c>
      <c r="B189" s="30">
        <f xml:space="preserve"> 10867</f>
        <v>10867</v>
      </c>
      <c r="C189" s="30">
        <v>1.1066401628839515</v>
      </c>
      <c r="D189" s="30">
        <f t="shared" si="0"/>
        <v>9819.8134899425077</v>
      </c>
      <c r="E189" s="30">
        <f t="shared" si="2"/>
        <v>10398.383837043839</v>
      </c>
      <c r="F189" s="30">
        <f t="shared" si="3"/>
        <v>31.104121502729114</v>
      </c>
      <c r="G189" s="30">
        <f t="shared" si="4"/>
        <v>10573.528320883826</v>
      </c>
      <c r="H189" s="30">
        <f t="shared" si="5"/>
        <v>-753.71483094131872</v>
      </c>
      <c r="I189" s="30">
        <f t="shared" si="7"/>
        <v>11701.091103280953</v>
      </c>
      <c r="J189" s="30">
        <f t="shared" si="6"/>
        <v>-834.09110328095267</v>
      </c>
    </row>
    <row r="190" spans="1:10" ht="15" customHeight="1" x14ac:dyDescent="0.25">
      <c r="A190" s="27" t="s">
        <v>134</v>
      </c>
      <c r="B190" s="30">
        <f xml:space="preserve"> 12409</f>
        <v>12409</v>
      </c>
      <c r="C190" s="30">
        <v>1.2089882382274035</v>
      </c>
      <c r="D190" s="30">
        <f t="shared" si="0"/>
        <v>10263.954278160596</v>
      </c>
      <c r="E190" s="30">
        <f t="shared" si="2"/>
        <v>10391.022069566878</v>
      </c>
      <c r="F190" s="30">
        <f t="shared" si="3"/>
        <v>31.104121502729114</v>
      </c>
      <c r="G190" s="30">
        <f t="shared" si="4"/>
        <v>10429.487958546568</v>
      </c>
      <c r="H190" s="30">
        <f t="shared" si="5"/>
        <v>-165.53368038597182</v>
      </c>
      <c r="I190" s="30">
        <f t="shared" si="7"/>
        <v>12609.128272617134</v>
      </c>
      <c r="J190" s="30">
        <f t="shared" si="6"/>
        <v>-200.12827261713392</v>
      </c>
    </row>
    <row r="191" spans="1:10" ht="15" customHeight="1" x14ac:dyDescent="0.25">
      <c r="A191" s="27" t="s">
        <v>135</v>
      </c>
      <c r="B191" s="30">
        <f xml:space="preserve"> 11869</f>
        <v>11869</v>
      </c>
      <c r="C191" s="30">
        <v>1.1674732208152445</v>
      </c>
      <c r="D191" s="30">
        <f t="shared" si="0"/>
        <v>10166.400212342256</v>
      </c>
      <c r="E191" s="30">
        <f t="shared" si="2"/>
        <v>10362.701866762838</v>
      </c>
      <c r="F191" s="30">
        <f t="shared" si="3"/>
        <v>31.104121502729114</v>
      </c>
      <c r="G191" s="30">
        <f t="shared" si="4"/>
        <v>10422.126191069607</v>
      </c>
      <c r="H191" s="30">
        <f t="shared" si="5"/>
        <v>-255.72597872735059</v>
      </c>
      <c r="I191" s="30">
        <f t="shared" si="7"/>
        <v>12167.55323203095</v>
      </c>
      <c r="J191" s="30">
        <f t="shared" si="6"/>
        <v>-298.55323203095031</v>
      </c>
    </row>
    <row r="192" spans="1:10" ht="15" customHeight="1" x14ac:dyDescent="0.25">
      <c r="A192" s="27" t="s">
        <v>136</v>
      </c>
      <c r="B192" s="30">
        <f xml:space="preserve"> 8729</f>
        <v>8729</v>
      </c>
      <c r="C192" s="30">
        <v>0.96087205630662098</v>
      </c>
      <c r="D192" s="30">
        <f t="shared" si="0"/>
        <v>9084.456086226859</v>
      </c>
      <c r="E192" s="30">
        <f t="shared" si="2"/>
        <v>10089.545804779322</v>
      </c>
      <c r="F192" s="30">
        <f t="shared" si="3"/>
        <v>31.104121502729114</v>
      </c>
      <c r="G192" s="30">
        <f t="shared" si="4"/>
        <v>10393.805988265567</v>
      </c>
      <c r="H192" s="30">
        <f t="shared" si="5"/>
        <v>-1309.349902038708</v>
      </c>
      <c r="I192" s="30">
        <f t="shared" si="7"/>
        <v>9987.1177327968071</v>
      </c>
      <c r="J192" s="30">
        <f t="shared" si="6"/>
        <v>-1258.1177327968071</v>
      </c>
    </row>
    <row r="193" spans="1:10" ht="15" customHeight="1" x14ac:dyDescent="0.25">
      <c r="A193" s="27" t="s">
        <v>137</v>
      </c>
      <c r="B193" s="30">
        <f xml:space="preserve"> 10665</f>
        <v>10665</v>
      </c>
      <c r="C193" s="30">
        <v>0.99213853165653609</v>
      </c>
      <c r="D193" s="30">
        <f t="shared" si="0"/>
        <v>10749.506908267189</v>
      </c>
      <c r="E193" s="30">
        <f t="shared" si="2"/>
        <v>10266.780567470847</v>
      </c>
      <c r="F193" s="30">
        <f t="shared" si="3"/>
        <v>31.104121502729114</v>
      </c>
      <c r="G193" s="30">
        <f t="shared" si="4"/>
        <v>10120.649926282051</v>
      </c>
      <c r="H193" s="30">
        <f t="shared" si="5"/>
        <v>628.85698198513819</v>
      </c>
      <c r="I193" s="30">
        <f t="shared" si="7"/>
        <v>10041.086757271303</v>
      </c>
      <c r="J193" s="30">
        <f t="shared" si="6"/>
        <v>623.91324272869679</v>
      </c>
    </row>
    <row r="194" spans="1:10" ht="15" customHeight="1" x14ac:dyDescent="0.25">
      <c r="A194" s="27" t="s">
        <v>138</v>
      </c>
      <c r="B194" s="30">
        <f xml:space="preserve"> 8003</f>
        <v>8003</v>
      </c>
      <c r="C194" s="30">
        <v>0.86959779497816025</v>
      </c>
      <c r="D194" s="30">
        <f t="shared" si="0"/>
        <v>9203.1052127966741</v>
      </c>
      <c r="E194" s="30">
        <f t="shared" si="2"/>
        <v>10043.485308196969</v>
      </c>
      <c r="F194" s="30">
        <f t="shared" si="3"/>
        <v>31.104121502729114</v>
      </c>
      <c r="G194" s="30">
        <f t="shared" si="4"/>
        <v>10297.884688973576</v>
      </c>
      <c r="H194" s="30">
        <f t="shared" si="5"/>
        <v>-1094.7794761769019</v>
      </c>
      <c r="I194" s="30">
        <f t="shared" si="7"/>
        <v>8955.0178184707802</v>
      </c>
      <c r="J194" s="30">
        <f t="shared" si="6"/>
        <v>-952.01781847078018</v>
      </c>
    </row>
    <row r="195" spans="1:10" ht="15" customHeight="1" x14ac:dyDescent="0.25">
      <c r="A195" s="27" t="s">
        <v>139</v>
      </c>
      <c r="B195" s="30">
        <f xml:space="preserve"> 9224</f>
        <v>9224</v>
      </c>
      <c r="C195" s="30">
        <v>0.9108384700918547</v>
      </c>
      <c r="D195" s="30">
        <f t="shared" si="0"/>
        <v>10126.932823851625</v>
      </c>
      <c r="E195" s="30">
        <f t="shared" si="2"/>
        <v>10086.75272591575</v>
      </c>
      <c r="F195" s="30">
        <f t="shared" si="3"/>
        <v>31.104121502729114</v>
      </c>
      <c r="G195" s="30">
        <f t="shared" si="4"/>
        <v>10074.589429699698</v>
      </c>
      <c r="H195" s="30">
        <f t="shared" si="5"/>
        <v>52.343394151926987</v>
      </c>
      <c r="I195" s="30">
        <f t="shared" si="7"/>
        <v>9176.323622951244</v>
      </c>
      <c r="J195" s="30">
        <f t="shared" si="6"/>
        <v>47.676377048755967</v>
      </c>
    </row>
    <row r="196" spans="1:10" ht="15" customHeight="1" x14ac:dyDescent="0.25">
      <c r="A196" s="27" t="s">
        <v>140</v>
      </c>
      <c r="B196" s="30">
        <f xml:space="preserve"> 9140</f>
        <v>9140</v>
      </c>
      <c r="C196" s="30">
        <v>0.84712190854138225</v>
      </c>
      <c r="D196" s="30">
        <f t="shared" si="0"/>
        <v>10789.474227785844</v>
      </c>
      <c r="E196" s="30">
        <f t="shared" si="2"/>
        <v>10273.923936181345</v>
      </c>
      <c r="F196" s="30">
        <f t="shared" si="3"/>
        <v>31.104121502729114</v>
      </c>
      <c r="G196" s="30">
        <f t="shared" si="4"/>
        <v>10117.856847418479</v>
      </c>
      <c r="H196" s="30">
        <f t="shared" si="5"/>
        <v>671.6173803673646</v>
      </c>
      <c r="I196" s="30">
        <f t="shared" si="7"/>
        <v>8571.0582029336347</v>
      </c>
      <c r="J196" s="30">
        <f t="shared" si="6"/>
        <v>568.94179706636533</v>
      </c>
    </row>
    <row r="197" spans="1:10" ht="15" customHeight="1" x14ac:dyDescent="0.25">
      <c r="A197" s="27" t="s">
        <v>141</v>
      </c>
      <c r="B197" s="30">
        <f xml:space="preserve"> 11616</f>
        <v>11616</v>
      </c>
      <c r="C197" s="30">
        <v>0.90327235308033749</v>
      </c>
      <c r="D197" s="30">
        <f t="shared" si="0"/>
        <v>12859.908709025734</v>
      </c>
      <c r="E197" s="30">
        <f t="shared" si="2"/>
        <v>10898.718449039592</v>
      </c>
      <c r="F197" s="30">
        <f t="shared" si="3"/>
        <v>31.104121502729114</v>
      </c>
      <c r="G197" s="30">
        <f t="shared" si="4"/>
        <v>10305.028057684074</v>
      </c>
      <c r="H197" s="30">
        <f t="shared" si="5"/>
        <v>2554.8806513416603</v>
      </c>
      <c r="I197" s="30">
        <f t="shared" si="7"/>
        <v>9308.2469422231934</v>
      </c>
      <c r="J197" s="30">
        <f t="shared" si="6"/>
        <v>2307.7530577768066</v>
      </c>
    </row>
    <row r="198" spans="1:10" ht="15" customHeight="1" x14ac:dyDescent="0.25">
      <c r="A198" s="27" t="s">
        <v>142</v>
      </c>
      <c r="B198" s="30">
        <f xml:space="preserve"> 9428</f>
        <v>9428</v>
      </c>
      <c r="C198" s="30">
        <v>0.97853401683850749</v>
      </c>
      <c r="D198" s="30">
        <f t="shared" si="0"/>
        <v>9634.8209032736686</v>
      </c>
      <c r="E198" s="30">
        <f t="shared" si="2"/>
        <v>10628.896558110768</v>
      </c>
      <c r="F198" s="30">
        <f t="shared" si="3"/>
        <v>31.104121502729114</v>
      </c>
      <c r="G198" s="30">
        <f t="shared" si="4"/>
        <v>10929.822570542321</v>
      </c>
      <c r="H198" s="30">
        <f t="shared" si="5"/>
        <v>-1295.0016672686525</v>
      </c>
      <c r="I198" s="30">
        <f t="shared" si="7"/>
        <v>10695.203183284959</v>
      </c>
      <c r="J198" s="30">
        <f t="shared" si="6"/>
        <v>-1267.2031832849589</v>
      </c>
    </row>
    <row r="199" spans="1:10" ht="15" customHeight="1" x14ac:dyDescent="0.25">
      <c r="A199" s="27" t="s">
        <v>143</v>
      </c>
      <c r="B199" s="30">
        <f xml:space="preserve"> 14249</f>
        <v>14249</v>
      </c>
      <c r="C199" s="30">
        <v>1.0405515346828169</v>
      </c>
      <c r="D199" s="30">
        <f t="shared" si="0"/>
        <v>13693.699470967009</v>
      </c>
      <c r="E199" s="30">
        <f t="shared" si="2"/>
        <v>11364.95643625427</v>
      </c>
      <c r="F199" s="30">
        <f t="shared" si="3"/>
        <v>31.104121502729114</v>
      </c>
      <c r="G199" s="30">
        <f t="shared" si="4"/>
        <v>10660.000679613497</v>
      </c>
      <c r="H199" s="30">
        <f t="shared" si="5"/>
        <v>3033.6987913535122</v>
      </c>
      <c r="I199" s="30">
        <f t="shared" si="7"/>
        <v>11092.280066891695</v>
      </c>
      <c r="J199" s="30">
        <f t="shared" si="6"/>
        <v>3156.7199331083048</v>
      </c>
    </row>
    <row r="200" spans="1:10" ht="15" customHeight="1" x14ac:dyDescent="0.25">
      <c r="A200" s="27" t="s">
        <v>144</v>
      </c>
      <c r="B200" s="30">
        <f xml:space="preserve"> 9511</f>
        <v>9511</v>
      </c>
      <c r="C200" s="30">
        <v>1.0139715410282903</v>
      </c>
      <c r="D200" s="30">
        <f t="shared" si="0"/>
        <v>9379.9476761987717</v>
      </c>
      <c r="E200" s="30">
        <f t="shared" si="2"/>
        <v>10927.566326904906</v>
      </c>
      <c r="F200" s="30">
        <f t="shared" si="3"/>
        <v>31.104121502729114</v>
      </c>
      <c r="G200" s="30">
        <f t="shared" si="4"/>
        <v>11396.060557756999</v>
      </c>
      <c r="H200" s="30">
        <f t="shared" si="5"/>
        <v>-2016.1128815582269</v>
      </c>
      <c r="I200" s="30">
        <f t="shared" si="7"/>
        <v>11555.281085400582</v>
      </c>
      <c r="J200" s="30">
        <f t="shared" si="6"/>
        <v>-2044.281085400582</v>
      </c>
    </row>
    <row r="201" spans="1:10" ht="15" customHeight="1" x14ac:dyDescent="0.25">
      <c r="A201" s="27" t="s">
        <v>145</v>
      </c>
      <c r="B201" s="30">
        <f xml:space="preserve"> 12094</f>
        <v>12094</v>
      </c>
      <c r="C201" s="30">
        <v>1.1066401628839515</v>
      </c>
      <c r="D201" s="30">
        <f t="shared" si="0"/>
        <v>10928.574983653692</v>
      </c>
      <c r="E201" s="30">
        <f t="shared" si="2"/>
        <v>10951.677014785437</v>
      </c>
      <c r="F201" s="30">
        <f t="shared" si="3"/>
        <v>31.104121502729114</v>
      </c>
      <c r="G201" s="30">
        <f t="shared" si="4"/>
        <v>10958.670448407634</v>
      </c>
      <c r="H201" s="30">
        <f t="shared" si="5"/>
        <v>-30.095464753941997</v>
      </c>
      <c r="I201" s="30">
        <f t="shared" si="7"/>
        <v>12127.30485001737</v>
      </c>
      <c r="J201" s="30">
        <f t="shared" si="6"/>
        <v>-33.304850017369972</v>
      </c>
    </row>
    <row r="202" spans="1:10" ht="15" customHeight="1" x14ac:dyDescent="0.25">
      <c r="A202" s="27" t="s">
        <v>146</v>
      </c>
      <c r="B202" s="30">
        <f xml:space="preserve"> 13273</f>
        <v>13273</v>
      </c>
      <c r="C202" s="30">
        <v>1.2089882382274035</v>
      </c>
      <c r="D202" s="30">
        <f t="shared" si="0"/>
        <v>10978.601429126085</v>
      </c>
      <c r="E202" s="30">
        <f t="shared" si="2"/>
        <v>10981.809876836378</v>
      </c>
      <c r="F202" s="30">
        <f t="shared" si="3"/>
        <v>31.104121502729114</v>
      </c>
      <c r="G202" s="30">
        <f t="shared" si="4"/>
        <v>10982.781136288166</v>
      </c>
      <c r="H202" s="30">
        <f t="shared" si="5"/>
        <v>-4.1797071620803763</v>
      </c>
      <c r="I202" s="30">
        <f t="shared" si="7"/>
        <v>13278.053216798191</v>
      </c>
      <c r="J202" s="30">
        <f t="shared" si="6"/>
        <v>-5.0532167981909879</v>
      </c>
    </row>
    <row r="203" spans="1:10" ht="15" customHeight="1" x14ac:dyDescent="0.25">
      <c r="A203" s="27" t="s">
        <v>147</v>
      </c>
      <c r="B203" s="30">
        <f xml:space="preserve"> 11184</f>
        <v>11184</v>
      </c>
      <c r="C203" s="30">
        <v>1.1674732208152445</v>
      </c>
      <c r="D203" s="30">
        <f t="shared" si="0"/>
        <v>9579.6629854946332</v>
      </c>
      <c r="E203" s="30">
        <f t="shared" si="2"/>
        <v>10679.862294229373</v>
      </c>
      <c r="F203" s="30">
        <f t="shared" si="3"/>
        <v>31.104121502729114</v>
      </c>
      <c r="G203" s="30">
        <f t="shared" si="4"/>
        <v>11012.913998339107</v>
      </c>
      <c r="H203" s="30">
        <f t="shared" si="5"/>
        <v>-1433.2510128444737</v>
      </c>
      <c r="I203" s="30">
        <f t="shared" si="7"/>
        <v>12857.28217620225</v>
      </c>
      <c r="J203" s="30">
        <f t="shared" si="6"/>
        <v>-1673.2821762022504</v>
      </c>
    </row>
    <row r="204" spans="1:10" ht="15" customHeight="1" x14ac:dyDescent="0.25">
      <c r="A204" s="27" t="s">
        <v>148</v>
      </c>
      <c r="B204" s="30">
        <f xml:space="preserve"> 10793</f>
        <v>10793</v>
      </c>
      <c r="C204" s="30">
        <v>0.96087205630662098</v>
      </c>
      <c r="D204" s="30">
        <f t="shared" si="0"/>
        <v>11232.504815975082</v>
      </c>
      <c r="E204" s="30">
        <f t="shared" si="2"/>
        <v>10832.158901488565</v>
      </c>
      <c r="F204" s="30">
        <f t="shared" si="3"/>
        <v>31.104121502729114</v>
      </c>
      <c r="G204" s="30">
        <f t="shared" si="4"/>
        <v>10710.966415732102</v>
      </c>
      <c r="H204" s="30">
        <f t="shared" si="5"/>
        <v>521.53840024298006</v>
      </c>
      <c r="I204" s="30">
        <f t="shared" si="7"/>
        <v>10291.868324915662</v>
      </c>
      <c r="J204" s="30">
        <f t="shared" si="6"/>
        <v>501.13167508433799</v>
      </c>
    </row>
    <row r="205" spans="1:10" ht="15" customHeight="1" x14ac:dyDescent="0.25">
      <c r="A205" s="27" t="s">
        <v>149</v>
      </c>
      <c r="B205" s="30">
        <f xml:space="preserve"> 8693</f>
        <v>8693</v>
      </c>
      <c r="C205" s="30">
        <v>0.99213853165653609</v>
      </c>
      <c r="D205" s="30">
        <f t="shared" si="0"/>
        <v>8761.8812520925148</v>
      </c>
      <c r="E205" s="30">
        <f t="shared" si="2"/>
        <v>10374.95443397869</v>
      </c>
      <c r="F205" s="30">
        <f t="shared" si="3"/>
        <v>31.104121502729114</v>
      </c>
      <c r="G205" s="30">
        <f t="shared" si="4"/>
        <v>10863.263022991294</v>
      </c>
      <c r="H205" s="30">
        <f t="shared" si="5"/>
        <v>-2101.381770898779</v>
      </c>
      <c r="I205" s="30">
        <f t="shared" si="7"/>
        <v>10777.861824629326</v>
      </c>
      <c r="J205" s="30">
        <f t="shared" si="6"/>
        <v>-2084.8618246293263</v>
      </c>
    </row>
    <row r="206" spans="1:10" ht="15" customHeight="1" x14ac:dyDescent="0.25">
      <c r="A206" s="27" t="s">
        <v>150</v>
      </c>
      <c r="B206" s="30">
        <f xml:space="preserve"> 8479</f>
        <v>8479</v>
      </c>
      <c r="C206" s="30">
        <v>0.86959779497816025</v>
      </c>
      <c r="D206" s="30">
        <f t="shared" si="0"/>
        <v>9750.4847056482558</v>
      </c>
      <c r="E206" s="30">
        <f t="shared" si="2"/>
        <v>10253.719582126438</v>
      </c>
      <c r="F206" s="30">
        <f t="shared" si="3"/>
        <v>31.104121502729114</v>
      </c>
      <c r="G206" s="30">
        <f t="shared" si="4"/>
        <v>10406.058555481419</v>
      </c>
      <c r="H206" s="30">
        <f t="shared" si="5"/>
        <v>-655.57384983316297</v>
      </c>
      <c r="I206" s="30">
        <f t="shared" si="7"/>
        <v>9049.0855742602616</v>
      </c>
      <c r="J206" s="30">
        <f t="shared" si="6"/>
        <v>-570.08557426026164</v>
      </c>
    </row>
    <row r="207" spans="1:10" ht="15" customHeight="1" x14ac:dyDescent="0.25">
      <c r="A207" s="27" t="s">
        <v>151</v>
      </c>
      <c r="B207" s="30">
        <f xml:space="preserve"> 8120</f>
        <v>8120</v>
      </c>
      <c r="C207" s="30">
        <v>0.9108384700918547</v>
      </c>
      <c r="D207" s="30">
        <f t="shared" si="0"/>
        <v>8914.8628067731133</v>
      </c>
      <c r="E207" s="30">
        <f t="shared" si="2"/>
        <v>9966.4790402222407</v>
      </c>
      <c r="F207" s="30">
        <f t="shared" si="3"/>
        <v>31.104121502729114</v>
      </c>
      <c r="G207" s="30">
        <f t="shared" si="4"/>
        <v>10284.823703629167</v>
      </c>
      <c r="H207" s="30">
        <f t="shared" si="5"/>
        <v>-1369.9608968560533</v>
      </c>
      <c r="I207" s="30">
        <f t="shared" si="7"/>
        <v>9367.8130873780337</v>
      </c>
      <c r="J207" s="30">
        <f t="shared" si="6"/>
        <v>-1247.8130873780337</v>
      </c>
    </row>
    <row r="208" spans="1:10" ht="15" customHeight="1" x14ac:dyDescent="0.25">
      <c r="A208" s="27" t="s">
        <v>152</v>
      </c>
      <c r="B208" s="30">
        <f xml:space="preserve"> 9239</f>
        <v>9239</v>
      </c>
      <c r="C208" s="30">
        <v>0.84712190854138225</v>
      </c>
      <c r="D208" s="30">
        <f t="shared" si="0"/>
        <v>10906.340524126193</v>
      </c>
      <c r="E208" s="30">
        <f t="shared" si="2"/>
        <v>10208.755653812954</v>
      </c>
      <c r="F208" s="30">
        <f t="shared" si="3"/>
        <v>31.104121502729114</v>
      </c>
      <c r="G208" s="30">
        <f t="shared" si="4"/>
        <v>9997.5831617249696</v>
      </c>
      <c r="H208" s="30">
        <f t="shared" si="5"/>
        <v>908.75736240122387</v>
      </c>
      <c r="I208" s="30">
        <f t="shared" si="7"/>
        <v>8469.171728761643</v>
      </c>
      <c r="J208" s="30">
        <f t="shared" si="6"/>
        <v>769.82827123835705</v>
      </c>
    </row>
    <row r="209" spans="1:10" ht="15" customHeight="1" x14ac:dyDescent="0.25">
      <c r="A209" s="27" t="s">
        <v>153</v>
      </c>
      <c r="B209" s="30">
        <f xml:space="preserve"> 9266</f>
        <v>9266</v>
      </c>
      <c r="C209" s="30">
        <v>0.90327235308033749</v>
      </c>
      <c r="D209" s="30">
        <f t="shared" si="0"/>
        <v>10258.257067650866</v>
      </c>
      <c r="E209" s="30">
        <f t="shared" si="2"/>
        <v>10244.134846122071</v>
      </c>
      <c r="F209" s="30">
        <f t="shared" si="3"/>
        <v>31.104121502729114</v>
      </c>
      <c r="G209" s="30">
        <f t="shared" si="4"/>
        <v>10239.859775315683</v>
      </c>
      <c r="H209" s="30">
        <f t="shared" si="5"/>
        <v>18.39729233518301</v>
      </c>
      <c r="I209" s="30">
        <f t="shared" si="7"/>
        <v>9249.382234462093</v>
      </c>
      <c r="J209" s="30">
        <f t="shared" si="6"/>
        <v>16.617765537906962</v>
      </c>
    </row>
    <row r="210" spans="1:10" ht="15" customHeight="1" x14ac:dyDescent="0.25">
      <c r="A210" s="27" t="s">
        <v>154</v>
      </c>
      <c r="B210" s="30">
        <f xml:space="preserve"> 8652</f>
        <v>8652</v>
      </c>
      <c r="C210" s="30">
        <v>0.97853401683850749</v>
      </c>
      <c r="D210" s="30">
        <f t="shared" si="0"/>
        <v>8841.797884506128</v>
      </c>
      <c r="E210" s="30">
        <f t="shared" si="2"/>
        <v>9942.1430959350982</v>
      </c>
      <c r="F210" s="30">
        <f t="shared" si="3"/>
        <v>31.104121502729114</v>
      </c>
      <c r="G210" s="30">
        <f t="shared" si="4"/>
        <v>10275.2389676248</v>
      </c>
      <c r="H210" s="30">
        <f t="shared" si="5"/>
        <v>-1433.4410831186724</v>
      </c>
      <c r="I210" s="30">
        <f t="shared" si="7"/>
        <v>10054.670860965454</v>
      </c>
      <c r="J210" s="30">
        <f t="shared" si="6"/>
        <v>-1402.6708609654543</v>
      </c>
    </row>
    <row r="211" spans="1:10" ht="15" customHeight="1" x14ac:dyDescent="0.25">
      <c r="A211" s="27" t="s">
        <v>155</v>
      </c>
      <c r="B211" s="30">
        <f xml:space="preserve"> 12405</f>
        <v>12405</v>
      </c>
      <c r="C211" s="30">
        <v>1.0405515346828169</v>
      </c>
      <c r="D211" s="30">
        <f t="shared" si="0"/>
        <v>11921.562350855902</v>
      </c>
      <c r="E211" s="30">
        <f t="shared" si="2"/>
        <v>10425.986946565852</v>
      </c>
      <c r="F211" s="30">
        <f t="shared" si="3"/>
        <v>31.104121502729114</v>
      </c>
      <c r="G211" s="30">
        <f t="shared" si="4"/>
        <v>9973.2472174378272</v>
      </c>
      <c r="H211" s="30">
        <f t="shared" si="5"/>
        <v>1948.3151334180748</v>
      </c>
      <c r="I211" s="30">
        <f t="shared" si="7"/>
        <v>10377.677697876064</v>
      </c>
      <c r="J211" s="30">
        <f t="shared" si="6"/>
        <v>2027.3223021239355</v>
      </c>
    </row>
    <row r="212" spans="1:10" ht="15" customHeight="1" x14ac:dyDescent="0.25">
      <c r="A212" s="27" t="s">
        <v>156</v>
      </c>
      <c r="B212" s="30">
        <f xml:space="preserve"> 8964</f>
        <v>8964</v>
      </c>
      <c r="C212" s="30">
        <v>1.0139715410282903</v>
      </c>
      <c r="D212" s="30">
        <f t="shared" ref="D212:D263" si="8">B212/C212</f>
        <v>8840.4848038529908</v>
      </c>
      <c r="E212" s="30">
        <f t="shared" si="2"/>
        <v>10081.432187421484</v>
      </c>
      <c r="F212" s="30">
        <f t="shared" si="3"/>
        <v>31.104121502729114</v>
      </c>
      <c r="G212" s="30">
        <f t="shared" si="4"/>
        <v>10457.091068068581</v>
      </c>
      <c r="H212" s="30">
        <f t="shared" si="5"/>
        <v>-1616.6062642155903</v>
      </c>
      <c r="I212" s="30">
        <f t="shared" ref="I212:I243" si="9">G212*C212</f>
        <v>10603.192744962669</v>
      </c>
      <c r="J212" s="30">
        <f t="shared" si="6"/>
        <v>-1639.1927449626692</v>
      </c>
    </row>
    <row r="213" spans="1:10" ht="15" customHeight="1" x14ac:dyDescent="0.25">
      <c r="A213" s="27" t="s">
        <v>157</v>
      </c>
      <c r="B213" s="30">
        <f xml:space="preserve"> 11521</f>
        <v>11521</v>
      </c>
      <c r="C213" s="30">
        <v>1.1066401628839515</v>
      </c>
      <c r="D213" s="30">
        <f t="shared" si="8"/>
        <v>10410.791498815461</v>
      </c>
      <c r="E213" s="30">
        <f t="shared" ref="E213:E263" si="10">$B$9*D213+(1-$B$9)*(E212+F212)</f>
        <v>10181.843358675193</v>
      </c>
      <c r="F213" s="30">
        <f t="shared" ref="F213:F263" si="11">$B$10*(E213-E212)+(1-$B$10)*F212</f>
        <v>31.104121502729114</v>
      </c>
      <c r="G213" s="30">
        <f t="shared" ref="G213:G263" si="12">E212+F212</f>
        <v>10112.536308924213</v>
      </c>
      <c r="H213" s="30">
        <f t="shared" ref="H213:H263" si="13">D213-G213</f>
        <v>298.25518989124794</v>
      </c>
      <c r="I213" s="30">
        <f t="shared" si="9"/>
        <v>11190.938828077764</v>
      </c>
      <c r="J213" s="30">
        <f t="shared" ref="J213:J263" si="14">B213-I213</f>
        <v>330.0611719222361</v>
      </c>
    </row>
    <row r="214" spans="1:10" ht="15" customHeight="1" x14ac:dyDescent="0.25">
      <c r="A214" s="27" t="s">
        <v>158</v>
      </c>
      <c r="B214" s="30">
        <f xml:space="preserve"> 12368</f>
        <v>12368</v>
      </c>
      <c r="C214" s="30">
        <v>1.2089882382274035</v>
      </c>
      <c r="D214" s="30">
        <f t="shared" si="8"/>
        <v>10230.041624005984</v>
      </c>
      <c r="E214" s="30">
        <f t="shared" si="10"/>
        <v>10216.919731849968</v>
      </c>
      <c r="F214" s="30">
        <f t="shared" si="11"/>
        <v>31.104121502729114</v>
      </c>
      <c r="G214" s="30">
        <f t="shared" si="12"/>
        <v>10212.947480177922</v>
      </c>
      <c r="H214" s="30">
        <f t="shared" si="13"/>
        <v>17.094143828062442</v>
      </c>
      <c r="I214" s="30">
        <f t="shared" si="9"/>
        <v>12347.333381169306</v>
      </c>
      <c r="J214" s="30">
        <f t="shared" si="14"/>
        <v>20.666618830693551</v>
      </c>
    </row>
    <row r="215" spans="1:10" ht="15" customHeight="1" x14ac:dyDescent="0.25">
      <c r="A215" s="27" t="s">
        <v>159</v>
      </c>
      <c r="B215" s="30">
        <f xml:space="preserve"> 12729</f>
        <v>12729</v>
      </c>
      <c r="C215" s="30">
        <v>1.1674732208152445</v>
      </c>
      <c r="D215" s="30">
        <f t="shared" si="8"/>
        <v>10903.033811012267</v>
      </c>
      <c r="E215" s="30">
        <f t="shared" si="10"/>
        <v>10400.231792263839</v>
      </c>
      <c r="F215" s="30">
        <f t="shared" si="11"/>
        <v>31.104121502729114</v>
      </c>
      <c r="G215" s="30">
        <f t="shared" si="12"/>
        <v>10248.023853352697</v>
      </c>
      <c r="H215" s="30">
        <f t="shared" si="13"/>
        <v>655.00995765956941</v>
      </c>
      <c r="I215" s="30">
        <f t="shared" si="9"/>
        <v>11964.293415065127</v>
      </c>
      <c r="J215" s="30">
        <f t="shared" si="14"/>
        <v>764.70658493487281</v>
      </c>
    </row>
    <row r="216" spans="1:10" ht="15" customHeight="1" x14ac:dyDescent="0.25">
      <c r="A216" s="27" t="s">
        <v>160</v>
      </c>
      <c r="B216" s="30">
        <f xml:space="preserve"> 10956</f>
        <v>10956</v>
      </c>
      <c r="C216" s="30">
        <v>0.96087205630662098</v>
      </c>
      <c r="D216" s="30">
        <f t="shared" si="8"/>
        <v>11402.142385233299</v>
      </c>
      <c r="E216" s="30">
        <f t="shared" si="10"/>
        <v>10656.92706757365</v>
      </c>
      <c r="F216" s="30">
        <f t="shared" si="11"/>
        <v>31.104121502729114</v>
      </c>
      <c r="G216" s="30">
        <f t="shared" si="12"/>
        <v>10431.335913766568</v>
      </c>
      <c r="H216" s="30">
        <f t="shared" si="13"/>
        <v>970.80647146673073</v>
      </c>
      <c r="I216" s="30">
        <f t="shared" si="9"/>
        <v>10023.179189485987</v>
      </c>
      <c r="J216" s="30">
        <f t="shared" si="14"/>
        <v>932.82081051401292</v>
      </c>
    </row>
    <row r="217" spans="1:10" ht="15" customHeight="1" x14ac:dyDescent="0.25">
      <c r="A217" s="27" t="s">
        <v>161</v>
      </c>
      <c r="B217" s="30">
        <f xml:space="preserve"> 12069</f>
        <v>12069</v>
      </c>
      <c r="C217" s="30">
        <v>0.99213853165653609</v>
      </c>
      <c r="D217" s="30">
        <f t="shared" si="8"/>
        <v>12164.631868342869</v>
      </c>
      <c r="E217" s="30">
        <f t="shared" si="10"/>
        <v>11031.156271920929</v>
      </c>
      <c r="F217" s="30">
        <f t="shared" si="11"/>
        <v>31.104121502729114</v>
      </c>
      <c r="G217" s="30">
        <f t="shared" si="12"/>
        <v>10688.031189076379</v>
      </c>
      <c r="H217" s="30">
        <f t="shared" si="13"/>
        <v>1476.6006792664903</v>
      </c>
      <c r="I217" s="30">
        <f t="shared" si="9"/>
        <v>10604.0075702295</v>
      </c>
      <c r="J217" s="30">
        <f t="shared" si="14"/>
        <v>1464.9924297705002</v>
      </c>
    </row>
    <row r="218" spans="1:10" ht="15" customHeight="1" x14ac:dyDescent="0.25">
      <c r="A218" s="27" t="s">
        <v>162</v>
      </c>
      <c r="B218" s="30">
        <f xml:space="preserve"> 9902</f>
        <v>9902</v>
      </c>
      <c r="C218" s="30">
        <v>0.86959779497816025</v>
      </c>
      <c r="D218" s="30">
        <f t="shared" si="8"/>
        <v>11386.873399614227</v>
      </c>
      <c r="E218" s="30">
        <f t="shared" si="10"/>
        <v>11137.692340737191</v>
      </c>
      <c r="F218" s="30">
        <f t="shared" si="11"/>
        <v>31.104121502729114</v>
      </c>
      <c r="G218" s="30">
        <f t="shared" si="12"/>
        <v>11062.260393423658</v>
      </c>
      <c r="H218" s="30">
        <f t="shared" si="13"/>
        <v>324.61300619056965</v>
      </c>
      <c r="I218" s="30">
        <f t="shared" si="9"/>
        <v>9619.7172455954478</v>
      </c>
      <c r="J218" s="30">
        <f t="shared" si="14"/>
        <v>282.28275440455218</v>
      </c>
    </row>
    <row r="219" spans="1:10" ht="15" customHeight="1" x14ac:dyDescent="0.25">
      <c r="A219" s="27" t="s">
        <v>163</v>
      </c>
      <c r="B219" s="30">
        <f xml:space="preserve"> 10091</f>
        <v>10091</v>
      </c>
      <c r="C219" s="30">
        <v>0.9108384700918547</v>
      </c>
      <c r="D219" s="30">
        <f t="shared" si="8"/>
        <v>11078.803027481217</v>
      </c>
      <c r="E219" s="30">
        <f t="shared" si="10"/>
        <v>11147.884237837867</v>
      </c>
      <c r="F219" s="30">
        <f t="shared" si="11"/>
        <v>31.104121502729114</v>
      </c>
      <c r="G219" s="30">
        <f t="shared" si="12"/>
        <v>11168.796462239919</v>
      </c>
      <c r="H219" s="30">
        <f t="shared" si="13"/>
        <v>-89.993434758702278</v>
      </c>
      <c r="I219" s="30">
        <f t="shared" si="9"/>
        <v>10172.969482433928</v>
      </c>
      <c r="J219" s="30">
        <f t="shared" si="14"/>
        <v>-81.969482433927624</v>
      </c>
    </row>
    <row r="220" spans="1:10" ht="15" customHeight="1" x14ac:dyDescent="0.25">
      <c r="A220" s="27" t="s">
        <v>164</v>
      </c>
      <c r="B220" s="30">
        <f xml:space="preserve"> 9769</f>
        <v>9769</v>
      </c>
      <c r="C220" s="30">
        <v>0.84712190854138225</v>
      </c>
      <c r="D220" s="30">
        <f t="shared" si="8"/>
        <v>11531.988373220996</v>
      </c>
      <c r="E220" s="30">
        <f t="shared" si="10"/>
        <v>11261.016737566053</v>
      </c>
      <c r="F220" s="30">
        <f t="shared" si="11"/>
        <v>31.104121502729114</v>
      </c>
      <c r="G220" s="30">
        <f t="shared" si="12"/>
        <v>11178.988359340596</v>
      </c>
      <c r="H220" s="30">
        <f t="shared" si="13"/>
        <v>353.00001388040073</v>
      </c>
      <c r="I220" s="30">
        <f t="shared" si="9"/>
        <v>9469.9659545265004</v>
      </c>
      <c r="J220" s="30">
        <f t="shared" si="14"/>
        <v>299.03404547349965</v>
      </c>
    </row>
    <row r="221" spans="1:10" ht="15" customHeight="1" x14ac:dyDescent="0.25">
      <c r="A221" s="27" t="s">
        <v>165</v>
      </c>
      <c r="B221" s="30">
        <f xml:space="preserve"> 8578</f>
        <v>8578</v>
      </c>
      <c r="C221" s="30">
        <v>0.90327235308033749</v>
      </c>
      <c r="D221" s="30">
        <f t="shared" si="8"/>
        <v>9496.5820339206912</v>
      </c>
      <c r="E221" s="30">
        <f t="shared" si="10"/>
        <v>10874.882524574994</v>
      </c>
      <c r="F221" s="30">
        <f t="shared" si="11"/>
        <v>31.104121502729114</v>
      </c>
      <c r="G221" s="30">
        <f t="shared" si="12"/>
        <v>11292.120859068782</v>
      </c>
      <c r="H221" s="30">
        <f t="shared" si="13"/>
        <v>-1795.5388251480908</v>
      </c>
      <c r="I221" s="30">
        <f t="shared" si="9"/>
        <v>10199.86057963862</v>
      </c>
      <c r="J221" s="30">
        <f t="shared" si="14"/>
        <v>-1621.86057963862</v>
      </c>
    </row>
    <row r="222" spans="1:10" ht="15" customHeight="1" x14ac:dyDescent="0.25">
      <c r="A222" s="27" t="s">
        <v>166</v>
      </c>
      <c r="B222" s="30">
        <f xml:space="preserve"> 9763</f>
        <v>9763</v>
      </c>
      <c r="C222" s="30">
        <v>0.97853401683850749</v>
      </c>
      <c r="D222" s="30">
        <f t="shared" si="8"/>
        <v>9977.1697580251202</v>
      </c>
      <c r="E222" s="30">
        <f t="shared" si="10"/>
        <v>10690.1528217165</v>
      </c>
      <c r="F222" s="30">
        <f t="shared" si="11"/>
        <v>31.104121502729114</v>
      </c>
      <c r="G222" s="30">
        <f t="shared" si="12"/>
        <v>10905.986646077723</v>
      </c>
      <c r="H222" s="30">
        <f t="shared" si="13"/>
        <v>-928.81688805260274</v>
      </c>
      <c r="I222" s="30">
        <f t="shared" si="9"/>
        <v>10671.878920373556</v>
      </c>
      <c r="J222" s="30">
        <f t="shared" si="14"/>
        <v>-908.87892037355596</v>
      </c>
    </row>
    <row r="223" spans="1:10" ht="15" customHeight="1" x14ac:dyDescent="0.25">
      <c r="A223" s="27" t="s">
        <v>167</v>
      </c>
      <c r="B223" s="30">
        <f xml:space="preserve"> 8348</f>
        <v>8348</v>
      </c>
      <c r="C223" s="30">
        <v>1.0405515346828169</v>
      </c>
      <c r="D223" s="30">
        <f t="shared" si="8"/>
        <v>8022.6684808500668</v>
      </c>
      <c r="E223" s="30">
        <f t="shared" si="10"/>
        <v>10094.172449276193</v>
      </c>
      <c r="F223" s="30">
        <f t="shared" si="11"/>
        <v>31.104121502729114</v>
      </c>
      <c r="G223" s="30">
        <f t="shared" si="12"/>
        <v>10721.256943219229</v>
      </c>
      <c r="H223" s="30">
        <f t="shared" si="13"/>
        <v>-2698.5884623691618</v>
      </c>
      <c r="I223" s="30">
        <f t="shared" si="9"/>
        <v>11156.020365995575</v>
      </c>
      <c r="J223" s="30">
        <f t="shared" si="14"/>
        <v>-2808.020365995575</v>
      </c>
    </row>
    <row r="224" spans="1:10" ht="15" customHeight="1" x14ac:dyDescent="0.25">
      <c r="A224" s="27" t="s">
        <v>168</v>
      </c>
      <c r="B224" s="30">
        <f xml:space="preserve"> 9237</f>
        <v>9237</v>
      </c>
      <c r="C224" s="30">
        <v>1.0139715410282903</v>
      </c>
      <c r="D224" s="30">
        <f t="shared" si="8"/>
        <v>9109.7231295392758</v>
      </c>
      <c r="E224" s="30">
        <f t="shared" si="10"/>
        <v>9889.2873398708598</v>
      </c>
      <c r="F224" s="30">
        <f t="shared" si="11"/>
        <v>31.104121502729114</v>
      </c>
      <c r="G224" s="30">
        <f t="shared" si="12"/>
        <v>10125.276570778922</v>
      </c>
      <c r="H224" s="30">
        <f t="shared" si="13"/>
        <v>-1015.5534412396464</v>
      </c>
      <c r="I224" s="30">
        <f t="shared" si="9"/>
        <v>10266.742287810346</v>
      </c>
      <c r="J224" s="30">
        <f t="shared" si="14"/>
        <v>-1029.7422878103462</v>
      </c>
    </row>
    <row r="225" spans="1:10" ht="15" customHeight="1" x14ac:dyDescent="0.25">
      <c r="A225" s="27" t="s">
        <v>169</v>
      </c>
      <c r="B225" s="30">
        <f xml:space="preserve"> 11204</f>
        <v>11204</v>
      </c>
      <c r="C225" s="30">
        <v>1.1066401628839515</v>
      </c>
      <c r="D225" s="30">
        <f t="shared" si="8"/>
        <v>10124.338855370925</v>
      </c>
      <c r="E225" s="30">
        <f t="shared" si="10"/>
        <v>9967.78373705372</v>
      </c>
      <c r="F225" s="30">
        <f t="shared" si="11"/>
        <v>31.104121502729114</v>
      </c>
      <c r="G225" s="30">
        <f t="shared" si="12"/>
        <v>9920.3914613735888</v>
      </c>
      <c r="H225" s="30">
        <f t="shared" si="13"/>
        <v>203.94739399733589</v>
      </c>
      <c r="I225" s="30">
        <f t="shared" si="9"/>
        <v>10978.30362268703</v>
      </c>
      <c r="J225" s="30">
        <f t="shared" si="14"/>
        <v>225.69637731297007</v>
      </c>
    </row>
    <row r="226" spans="1:10" ht="15" customHeight="1" x14ac:dyDescent="0.25">
      <c r="A226" s="27" t="s">
        <v>170</v>
      </c>
      <c r="B226" s="30">
        <f xml:space="preserve"> 10737</f>
        <v>10737</v>
      </c>
      <c r="C226" s="30">
        <v>1.2089882382274035</v>
      </c>
      <c r="D226" s="30">
        <f t="shared" si="8"/>
        <v>8880.9796989773804</v>
      </c>
      <c r="E226" s="30">
        <f t="shared" si="10"/>
        <v>9739.113949974264</v>
      </c>
      <c r="F226" s="30">
        <f t="shared" si="11"/>
        <v>31.104121502729114</v>
      </c>
      <c r="G226" s="30">
        <f t="shared" si="12"/>
        <v>9998.8878585564489</v>
      </c>
      <c r="H226" s="30">
        <f t="shared" si="13"/>
        <v>-1117.9081595790685</v>
      </c>
      <c r="I226" s="30">
        <f t="shared" si="9"/>
        <v>12088.537816349537</v>
      </c>
      <c r="J226" s="30">
        <f t="shared" si="14"/>
        <v>-1351.537816349537</v>
      </c>
    </row>
    <row r="227" spans="1:10" ht="15" customHeight="1" x14ac:dyDescent="0.25">
      <c r="A227" s="27" t="s">
        <v>171</v>
      </c>
      <c r="B227" s="30">
        <f xml:space="preserve"> 12276</f>
        <v>12276</v>
      </c>
      <c r="C227" s="30">
        <v>1.1674732208152445</v>
      </c>
      <c r="D227" s="30">
        <f t="shared" si="8"/>
        <v>10515.016345666319</v>
      </c>
      <c r="E227" s="30">
        <f t="shared" si="10"/>
        <v>9943.2905704417371</v>
      </c>
      <c r="F227" s="30">
        <f t="shared" si="11"/>
        <v>31.104121502729114</v>
      </c>
      <c r="G227" s="30">
        <f t="shared" si="12"/>
        <v>9770.2180714769929</v>
      </c>
      <c r="H227" s="30">
        <f t="shared" si="13"/>
        <v>744.79827418932655</v>
      </c>
      <c r="I227" s="30">
        <f t="shared" si="9"/>
        <v>11406.467959974552</v>
      </c>
      <c r="J227" s="30">
        <f t="shared" si="14"/>
        <v>869.53204002544771</v>
      </c>
    </row>
    <row r="228" spans="1:10" ht="15" customHeight="1" x14ac:dyDescent="0.25">
      <c r="A228" s="27" t="s">
        <v>172</v>
      </c>
      <c r="B228" s="30">
        <f xml:space="preserve"> 9230</f>
        <v>9230</v>
      </c>
      <c r="C228" s="30">
        <v>0.96087205630662098</v>
      </c>
      <c r="D228" s="30">
        <f t="shared" si="8"/>
        <v>9605.8574494070235</v>
      </c>
      <c r="E228" s="30">
        <f t="shared" si="10"/>
        <v>9888.7558502098291</v>
      </c>
      <c r="F228" s="30">
        <f t="shared" si="11"/>
        <v>31.104121502729114</v>
      </c>
      <c r="G228" s="30">
        <f t="shared" si="12"/>
        <v>9974.3946919444661</v>
      </c>
      <c r="H228" s="30">
        <f t="shared" si="13"/>
        <v>-368.53724253744258</v>
      </c>
      <c r="I228" s="30">
        <f t="shared" si="9"/>
        <v>9584.1171380625237</v>
      </c>
      <c r="J228" s="30">
        <f t="shared" si="14"/>
        <v>-354.11713806252374</v>
      </c>
    </row>
    <row r="229" spans="1:10" ht="15" customHeight="1" x14ac:dyDescent="0.25">
      <c r="A229" s="27" t="s">
        <v>173</v>
      </c>
      <c r="B229" s="30">
        <f xml:space="preserve"> 9405</f>
        <v>9405</v>
      </c>
      <c r="C229" s="30">
        <v>0.99213853165653609</v>
      </c>
      <c r="D229" s="30">
        <f t="shared" si="8"/>
        <v>9479.5229697377326</v>
      </c>
      <c r="E229" s="30">
        <f t="shared" si="10"/>
        <v>9817.5366608786571</v>
      </c>
      <c r="F229" s="30">
        <f t="shared" si="11"/>
        <v>31.104121502729114</v>
      </c>
      <c r="G229" s="30">
        <f t="shared" si="12"/>
        <v>9919.859971712558</v>
      </c>
      <c r="H229" s="30">
        <f t="shared" si="13"/>
        <v>-440.3370019748254</v>
      </c>
      <c r="I229" s="30">
        <f t="shared" si="9"/>
        <v>9841.8753065733454</v>
      </c>
      <c r="J229" s="30">
        <f t="shared" si="14"/>
        <v>-436.87530657334537</v>
      </c>
    </row>
    <row r="230" spans="1:10" ht="15" customHeight="1" x14ac:dyDescent="0.25">
      <c r="A230" s="27" t="s">
        <v>174</v>
      </c>
      <c r="B230" s="30">
        <f xml:space="preserve"> 10378</f>
        <v>10378</v>
      </c>
      <c r="C230" s="30">
        <v>0.86959779497816025</v>
      </c>
      <c r="D230" s="30">
        <f t="shared" si="8"/>
        <v>11934.252892465811</v>
      </c>
      <c r="E230" s="30">
        <f t="shared" si="10"/>
        <v>10333.284896462254</v>
      </c>
      <c r="F230" s="30">
        <f t="shared" si="11"/>
        <v>31.104121502729114</v>
      </c>
      <c r="G230" s="30">
        <f t="shared" si="12"/>
        <v>9848.6407823813861</v>
      </c>
      <c r="H230" s="30">
        <f t="shared" si="13"/>
        <v>2085.6121100844248</v>
      </c>
      <c r="I230" s="30">
        <f t="shared" si="9"/>
        <v>8564.3563078908355</v>
      </c>
      <c r="J230" s="30">
        <f t="shared" si="14"/>
        <v>1813.6436921091645</v>
      </c>
    </row>
    <row r="231" spans="1:10" ht="15" customHeight="1" x14ac:dyDescent="0.25">
      <c r="A231" s="27" t="s">
        <v>175</v>
      </c>
      <c r="B231" s="30">
        <f xml:space="preserve"> 8827</f>
        <v>8827</v>
      </c>
      <c r="C231" s="30">
        <v>0.9108384700918547</v>
      </c>
      <c r="D231" s="30">
        <f t="shared" si="8"/>
        <v>9691.0706890869787</v>
      </c>
      <c r="E231" s="30">
        <f t="shared" si="10"/>
        <v>10207.926671291956</v>
      </c>
      <c r="F231" s="30">
        <f t="shared" si="11"/>
        <v>31.104121502729114</v>
      </c>
      <c r="G231" s="30">
        <f t="shared" si="12"/>
        <v>10364.389017964982</v>
      </c>
      <c r="H231" s="30">
        <f t="shared" si="13"/>
        <v>-673.31832887800374</v>
      </c>
      <c r="I231" s="30">
        <f t="shared" si="9"/>
        <v>9440.2842365600445</v>
      </c>
      <c r="J231" s="30">
        <f t="shared" si="14"/>
        <v>-613.28423656004452</v>
      </c>
    </row>
    <row r="232" spans="1:10" ht="15" customHeight="1" x14ac:dyDescent="0.25">
      <c r="A232" s="27" t="s">
        <v>176</v>
      </c>
      <c r="B232" s="30">
        <f xml:space="preserve"> 8559</f>
        <v>8559</v>
      </c>
      <c r="C232" s="30">
        <v>0.84712190854138225</v>
      </c>
      <c r="D232" s="30">
        <f t="shared" si="8"/>
        <v>10103.622529061164</v>
      </c>
      <c r="E232" s="30">
        <f t="shared" si="10"/>
        <v>10207.565297509609</v>
      </c>
      <c r="F232" s="30">
        <f t="shared" si="11"/>
        <v>31.104121502729114</v>
      </c>
      <c r="G232" s="30">
        <f t="shared" si="12"/>
        <v>10239.030792794685</v>
      </c>
      <c r="H232" s="30">
        <f t="shared" si="13"/>
        <v>-135.40826373352138</v>
      </c>
      <c r="I232" s="30">
        <f t="shared" si="9"/>
        <v>8673.7073068062164</v>
      </c>
      <c r="J232" s="30">
        <f t="shared" si="14"/>
        <v>-114.70730680621637</v>
      </c>
    </row>
    <row r="233" spans="1:10" ht="15" customHeight="1" x14ac:dyDescent="0.25">
      <c r="A233" s="27" t="s">
        <v>177</v>
      </c>
      <c r="B233" s="30">
        <f xml:space="preserve"> 9143</f>
        <v>9143</v>
      </c>
      <c r="C233" s="30">
        <v>0.90327235308033749</v>
      </c>
      <c r="D233" s="30">
        <f t="shared" si="8"/>
        <v>10122.0855136555</v>
      </c>
      <c r="E233" s="30">
        <f t="shared" si="10"/>
        <v>10211.578234005043</v>
      </c>
      <c r="F233" s="30">
        <f t="shared" si="11"/>
        <v>31.104121502729114</v>
      </c>
      <c r="G233" s="30">
        <f t="shared" si="12"/>
        <v>10238.669419012338</v>
      </c>
      <c r="H233" s="30">
        <f t="shared" si="13"/>
        <v>-116.58390535683793</v>
      </c>
      <c r="I233" s="30">
        <f t="shared" si="9"/>
        <v>9248.3070185229662</v>
      </c>
      <c r="J233" s="30">
        <f t="shared" si="14"/>
        <v>-105.30701852296625</v>
      </c>
    </row>
    <row r="234" spans="1:10" ht="15" customHeight="1" x14ac:dyDescent="0.25">
      <c r="A234" s="27" t="s">
        <v>178</v>
      </c>
      <c r="B234" s="30">
        <f xml:space="preserve"> 9989</f>
        <v>9989</v>
      </c>
      <c r="C234" s="30">
        <v>0.97853401683850749</v>
      </c>
      <c r="D234" s="30">
        <f t="shared" si="8"/>
        <v>10208.127492872367</v>
      </c>
      <c r="E234" s="30">
        <f t="shared" si="10"/>
        <v>10234.65266930287</v>
      </c>
      <c r="F234" s="30">
        <f t="shared" si="11"/>
        <v>31.104121502729114</v>
      </c>
      <c r="G234" s="30">
        <f t="shared" si="12"/>
        <v>10242.682355507772</v>
      </c>
      <c r="H234" s="30">
        <f t="shared" si="13"/>
        <v>-34.554862635404788</v>
      </c>
      <c r="I234" s="30">
        <f t="shared" si="9"/>
        <v>10022.813108535925</v>
      </c>
      <c r="J234" s="30">
        <f t="shared" si="14"/>
        <v>-33.813108535925494</v>
      </c>
    </row>
    <row r="235" spans="1:10" ht="15" customHeight="1" x14ac:dyDescent="0.25">
      <c r="A235" s="27" t="s">
        <v>179</v>
      </c>
      <c r="B235" s="30">
        <f xml:space="preserve"> 9299</f>
        <v>9299</v>
      </c>
      <c r="C235" s="30">
        <v>1.0405515346828169</v>
      </c>
      <c r="D235" s="30">
        <f t="shared" si="8"/>
        <v>8936.6068763086696</v>
      </c>
      <c r="E235" s="30">
        <f t="shared" si="10"/>
        <v>9956.8955794243757</v>
      </c>
      <c r="F235" s="30">
        <f t="shared" si="11"/>
        <v>31.104121502729114</v>
      </c>
      <c r="G235" s="30">
        <f t="shared" si="12"/>
        <v>10265.756790805599</v>
      </c>
      <c r="H235" s="30">
        <f t="shared" si="13"/>
        <v>-1329.1499144969293</v>
      </c>
      <c r="I235" s="30">
        <f t="shared" si="9"/>
        <v>10682.048983353316</v>
      </c>
      <c r="J235" s="30">
        <f t="shared" si="14"/>
        <v>-1383.0489833533156</v>
      </c>
    </row>
    <row r="236" spans="1:10" ht="15" customHeight="1" x14ac:dyDescent="0.25">
      <c r="A236" s="27" t="s">
        <v>180</v>
      </c>
      <c r="B236" s="30">
        <f xml:space="preserve"> 10524</f>
        <v>10524</v>
      </c>
      <c r="C236" s="30">
        <v>1.0139715410282903</v>
      </c>
      <c r="D236" s="30">
        <f t="shared" si="8"/>
        <v>10378.989522060338</v>
      </c>
      <c r="E236" s="30">
        <f t="shared" si="10"/>
        <v>10078.855960612938</v>
      </c>
      <c r="F236" s="30">
        <f t="shared" si="11"/>
        <v>31.104121502729114</v>
      </c>
      <c r="G236" s="30">
        <f t="shared" si="12"/>
        <v>9987.9997009271046</v>
      </c>
      <c r="H236" s="30">
        <f t="shared" si="13"/>
        <v>390.98982113323291</v>
      </c>
      <c r="I236" s="30">
        <f t="shared" si="9"/>
        <v>10127.547448539159</v>
      </c>
      <c r="J236" s="30">
        <f t="shared" si="14"/>
        <v>396.45255146084128</v>
      </c>
    </row>
    <row r="237" spans="1:10" ht="15" customHeight="1" x14ac:dyDescent="0.25">
      <c r="A237" s="27" t="s">
        <v>181</v>
      </c>
      <c r="B237" s="30">
        <f xml:space="preserve"> 12887</f>
        <v>12887</v>
      </c>
      <c r="C237" s="30">
        <v>1.1066401628839515</v>
      </c>
      <c r="D237" s="30">
        <f t="shared" si="8"/>
        <v>11645.158410314631</v>
      </c>
      <c r="E237" s="30">
        <f t="shared" si="10"/>
        <v>10466.701793630902</v>
      </c>
      <c r="F237" s="30">
        <f t="shared" si="11"/>
        <v>31.104121502729114</v>
      </c>
      <c r="G237" s="30">
        <f t="shared" si="12"/>
        <v>10109.960082115667</v>
      </c>
      <c r="H237" s="30">
        <f t="shared" si="13"/>
        <v>1535.1983281989633</v>
      </c>
      <c r="I237" s="30">
        <f t="shared" si="9"/>
        <v>11188.08787202273</v>
      </c>
      <c r="J237" s="30">
        <f t="shared" si="14"/>
        <v>1698.9121279772698</v>
      </c>
    </row>
    <row r="238" spans="1:10" ht="15" customHeight="1" x14ac:dyDescent="0.25">
      <c r="A238" s="27" t="s">
        <v>182</v>
      </c>
      <c r="B238" s="30">
        <f xml:space="preserve"> 11145</f>
        <v>11145</v>
      </c>
      <c r="C238" s="30">
        <v>1.2089882382274035</v>
      </c>
      <c r="D238" s="30">
        <f t="shared" si="8"/>
        <v>9218.4519647110847</v>
      </c>
      <c r="E238" s="30">
        <f t="shared" si="10"/>
        <v>10200.516040904191</v>
      </c>
      <c r="F238" s="30">
        <f t="shared" si="11"/>
        <v>31.104121502729114</v>
      </c>
      <c r="G238" s="30">
        <f t="shared" si="12"/>
        <v>10497.805915133631</v>
      </c>
      <c r="H238" s="30">
        <f t="shared" si="13"/>
        <v>-1279.3539504225464</v>
      </c>
      <c r="I238" s="30">
        <f t="shared" si="9"/>
        <v>12691.723878590625</v>
      </c>
      <c r="J238" s="30">
        <f t="shared" si="14"/>
        <v>-1546.7238785906247</v>
      </c>
    </row>
    <row r="239" spans="1:10" ht="15" customHeight="1" x14ac:dyDescent="0.25">
      <c r="A239" s="27" t="s">
        <v>183</v>
      </c>
      <c r="B239" s="30">
        <f xml:space="preserve"> 11882</f>
        <v>11882</v>
      </c>
      <c r="C239" s="30">
        <v>1.1674732208152445</v>
      </c>
      <c r="D239" s="30">
        <f t="shared" si="8"/>
        <v>10177.535371391919</v>
      </c>
      <c r="E239" s="30">
        <f t="shared" si="10"/>
        <v>10219.052209094809</v>
      </c>
      <c r="F239" s="30">
        <f t="shared" si="11"/>
        <v>31.104121502729114</v>
      </c>
      <c r="G239" s="30">
        <f t="shared" si="12"/>
        <v>10231.62016240692</v>
      </c>
      <c r="H239" s="30">
        <f t="shared" si="13"/>
        <v>-54.084791015000519</v>
      </c>
      <c r="I239" s="30">
        <f t="shared" si="9"/>
        <v>11945.142545163402</v>
      </c>
      <c r="J239" s="30">
        <f t="shared" si="14"/>
        <v>-63.142545163402247</v>
      </c>
    </row>
    <row r="240" spans="1:10" ht="15" customHeight="1" x14ac:dyDescent="0.25">
      <c r="A240" s="27" t="s">
        <v>184</v>
      </c>
      <c r="B240" s="30">
        <f xml:space="preserve"> 9448</f>
        <v>9448</v>
      </c>
      <c r="C240" s="30">
        <v>0.96087205630662098</v>
      </c>
      <c r="D240" s="30">
        <f t="shared" si="8"/>
        <v>9832.7346892738424</v>
      </c>
      <c r="E240" s="30">
        <f t="shared" si="10"/>
        <v>10153.157976694943</v>
      </c>
      <c r="F240" s="30">
        <f t="shared" si="11"/>
        <v>31.104121502729114</v>
      </c>
      <c r="G240" s="30">
        <f t="shared" si="12"/>
        <v>10250.156330597538</v>
      </c>
      <c r="H240" s="30">
        <f t="shared" si="13"/>
        <v>-417.42164132369544</v>
      </c>
      <c r="I240" s="30">
        <f t="shared" si="9"/>
        <v>9849.0887908455843</v>
      </c>
      <c r="J240" s="30">
        <f t="shared" si="14"/>
        <v>-401.0887908455843</v>
      </c>
    </row>
    <row r="241" spans="1:10" ht="15" customHeight="1" x14ac:dyDescent="0.25">
      <c r="A241" s="27" t="s">
        <v>185</v>
      </c>
      <c r="B241" s="30">
        <f xml:space="preserve"> 7857</f>
        <v>7857</v>
      </c>
      <c r="C241" s="30">
        <v>0.99213853165653609</v>
      </c>
      <c r="D241" s="30">
        <f t="shared" si="8"/>
        <v>7919.2569881158279</v>
      </c>
      <c r="E241" s="30">
        <f t="shared" si="10"/>
        <v>9657.9315357424039</v>
      </c>
      <c r="F241" s="30">
        <f t="shared" si="11"/>
        <v>31.104121502729114</v>
      </c>
      <c r="G241" s="30">
        <f t="shared" si="12"/>
        <v>10184.262098197672</v>
      </c>
      <c r="H241" s="30">
        <f t="shared" si="13"/>
        <v>-2265.0051100818446</v>
      </c>
      <c r="I241" s="30">
        <f t="shared" si="9"/>
        <v>10104.198844111152</v>
      </c>
      <c r="J241" s="30">
        <f t="shared" si="14"/>
        <v>-2247.1988441111516</v>
      </c>
    </row>
    <row r="242" spans="1:10" ht="15" customHeight="1" x14ac:dyDescent="0.25">
      <c r="A242" s="27" t="s">
        <v>186</v>
      </c>
      <c r="B242" s="30">
        <f xml:space="preserve"> 8482</f>
        <v>8482</v>
      </c>
      <c r="C242" s="30">
        <v>0.86959779497816025</v>
      </c>
      <c r="D242" s="30">
        <f t="shared" si="8"/>
        <v>9753.9345764015234</v>
      </c>
      <c r="E242" s="30">
        <f t="shared" si="10"/>
        <v>9704.1165435840994</v>
      </c>
      <c r="F242" s="30">
        <f t="shared" si="11"/>
        <v>31.104121502729114</v>
      </c>
      <c r="G242" s="30">
        <f t="shared" si="12"/>
        <v>9689.0356572451328</v>
      </c>
      <c r="H242" s="30">
        <f t="shared" si="13"/>
        <v>64.898919156390548</v>
      </c>
      <c r="I242" s="30">
        <f t="shared" si="9"/>
        <v>8425.5640430051371</v>
      </c>
      <c r="J242" s="30">
        <f t="shared" si="14"/>
        <v>56.435956994862863</v>
      </c>
    </row>
    <row r="243" spans="1:10" ht="15" customHeight="1" x14ac:dyDescent="0.25">
      <c r="A243" s="27" t="s">
        <v>187</v>
      </c>
      <c r="B243" s="30">
        <f xml:space="preserve"> 9064</f>
        <v>9064</v>
      </c>
      <c r="C243" s="30">
        <v>0.9108384700918547</v>
      </c>
      <c r="D243" s="30">
        <f t="shared" si="8"/>
        <v>9951.2705025358991</v>
      </c>
      <c r="E243" s="30">
        <f t="shared" si="10"/>
        <v>9785.4252460640564</v>
      </c>
      <c r="F243" s="30">
        <f t="shared" si="11"/>
        <v>31.104121502729114</v>
      </c>
      <c r="G243" s="30">
        <f t="shared" si="12"/>
        <v>9735.2206650868284</v>
      </c>
      <c r="H243" s="30">
        <f t="shared" si="13"/>
        <v>216.04983744907076</v>
      </c>
      <c r="I243" s="30">
        <f t="shared" si="9"/>
        <v>8867.2134965942951</v>
      </c>
      <c r="J243" s="30">
        <f t="shared" si="14"/>
        <v>196.78650340570493</v>
      </c>
    </row>
    <row r="244" spans="1:10" ht="15" customHeight="1" x14ac:dyDescent="0.25">
      <c r="A244" s="27" t="s">
        <v>188</v>
      </c>
      <c r="B244" s="30">
        <f xml:space="preserve"> 7591</f>
        <v>7591</v>
      </c>
      <c r="C244" s="30">
        <v>0.84712190854138225</v>
      </c>
      <c r="D244" s="30">
        <f t="shared" si="8"/>
        <v>8960.9298537332979</v>
      </c>
      <c r="E244" s="30">
        <f t="shared" si="10"/>
        <v>9617.7094305397295</v>
      </c>
      <c r="F244" s="30">
        <f t="shared" si="11"/>
        <v>31.104121502729114</v>
      </c>
      <c r="G244" s="30">
        <f t="shared" si="12"/>
        <v>9816.5293675667854</v>
      </c>
      <c r="H244" s="30">
        <f t="shared" si="13"/>
        <v>-855.59951383348744</v>
      </c>
      <c r="I244" s="30">
        <f t="shared" ref="I244:I271" si="15">G244*C244</f>
        <v>8315.7970931057025</v>
      </c>
      <c r="J244" s="30">
        <f t="shared" si="14"/>
        <v>-724.79709310570252</v>
      </c>
    </row>
    <row r="245" spans="1:10" ht="15" customHeight="1" x14ac:dyDescent="0.25">
      <c r="A245" s="27" t="s">
        <v>189</v>
      </c>
      <c r="B245" s="30">
        <f xml:space="preserve"> 8801</f>
        <v>8801</v>
      </c>
      <c r="C245" s="30">
        <v>0.90327235308033749</v>
      </c>
      <c r="D245" s="30">
        <f t="shared" si="8"/>
        <v>9743.462168400094</v>
      </c>
      <c r="E245" s="30">
        <f t="shared" si="10"/>
        <v>9670.8075242685627</v>
      </c>
      <c r="F245" s="30">
        <f t="shared" si="11"/>
        <v>31.104121502729114</v>
      </c>
      <c r="G245" s="30">
        <f t="shared" si="12"/>
        <v>9648.8135520424585</v>
      </c>
      <c r="H245" s="30">
        <f t="shared" si="13"/>
        <v>94.648616357635547</v>
      </c>
      <c r="I245" s="30">
        <f t="shared" si="15"/>
        <v>8715.5065215868417</v>
      </c>
      <c r="J245" s="30">
        <f t="shared" si="14"/>
        <v>85.4934784131583</v>
      </c>
    </row>
    <row r="246" spans="1:10" ht="15" customHeight="1" x14ac:dyDescent="0.25">
      <c r="A246" s="27" t="s">
        <v>190</v>
      </c>
      <c r="B246" s="30">
        <f xml:space="preserve"> 10634</f>
        <v>10634</v>
      </c>
      <c r="C246" s="30">
        <v>0.97853401683850749</v>
      </c>
      <c r="D246" s="30">
        <f t="shared" si="8"/>
        <v>10867.276780378892</v>
      </c>
      <c r="E246" s="30">
        <f t="shared" si="10"/>
        <v>9972.7133689257334</v>
      </c>
      <c r="F246" s="30">
        <f t="shared" si="11"/>
        <v>31.104121502729114</v>
      </c>
      <c r="G246" s="30">
        <f t="shared" si="12"/>
        <v>9701.9116457712917</v>
      </c>
      <c r="H246" s="30">
        <f t="shared" si="13"/>
        <v>1165.3651346076003</v>
      </c>
      <c r="I246" s="30">
        <f t="shared" si="15"/>
        <v>9493.6505737488769</v>
      </c>
      <c r="J246" s="30">
        <f t="shared" si="14"/>
        <v>1140.3494262511231</v>
      </c>
    </row>
    <row r="247" spans="1:10" ht="15" customHeight="1" x14ac:dyDescent="0.25">
      <c r="A247" s="27" t="s">
        <v>191</v>
      </c>
      <c r="B247" s="30">
        <f xml:space="preserve"> 9951</f>
        <v>9951</v>
      </c>
      <c r="C247" s="30">
        <v>1.0405515346828169</v>
      </c>
      <c r="D247" s="30">
        <f t="shared" si="8"/>
        <v>9563.1976584737677</v>
      </c>
      <c r="E247" s="30">
        <f t="shared" si="10"/>
        <v>9901.4284569779902</v>
      </c>
      <c r="F247" s="30">
        <f t="shared" si="11"/>
        <v>31.104121502729114</v>
      </c>
      <c r="G247" s="30">
        <f t="shared" si="12"/>
        <v>10003.817490428462</v>
      </c>
      <c r="H247" s="30">
        <f t="shared" si="13"/>
        <v>-440.61983195469475</v>
      </c>
      <c r="I247" s="30">
        <f t="shared" si="15"/>
        <v>10409.487642352142</v>
      </c>
      <c r="J247" s="30">
        <f t="shared" si="14"/>
        <v>-458.48764235214185</v>
      </c>
    </row>
    <row r="248" spans="1:10" ht="15" customHeight="1" x14ac:dyDescent="0.25">
      <c r="A248" s="27" t="s">
        <v>192</v>
      </c>
      <c r="B248" s="30">
        <f xml:space="preserve"> 11214</f>
        <v>11214</v>
      </c>
      <c r="C248" s="30">
        <v>1.0139715410282903</v>
      </c>
      <c r="D248" s="30">
        <f t="shared" si="8"/>
        <v>11059.481993575127</v>
      </c>
      <c r="E248" s="30">
        <f t="shared" si="10"/>
        <v>10194.407448813283</v>
      </c>
      <c r="F248" s="30">
        <f t="shared" si="11"/>
        <v>31.104121502729114</v>
      </c>
      <c r="G248" s="30">
        <f t="shared" si="12"/>
        <v>9932.5325784807192</v>
      </c>
      <c r="H248" s="30">
        <f t="shared" si="13"/>
        <v>1126.9494150944083</v>
      </c>
      <c r="I248" s="30">
        <f t="shared" si="15"/>
        <v>10071.305364915794</v>
      </c>
      <c r="J248" s="30">
        <f t="shared" si="14"/>
        <v>1142.6946350842063</v>
      </c>
    </row>
    <row r="249" spans="1:10" ht="15" customHeight="1" x14ac:dyDescent="0.25">
      <c r="A249" s="27" t="s">
        <v>193</v>
      </c>
      <c r="B249" s="30">
        <f xml:space="preserve"> 10990</f>
        <v>10990</v>
      </c>
      <c r="C249" s="30">
        <v>1.1066401628839515</v>
      </c>
      <c r="D249" s="30">
        <f t="shared" si="8"/>
        <v>9930.9607301433844</v>
      </c>
      <c r="E249" s="30">
        <f t="shared" si="10"/>
        <v>10157.065318830897</v>
      </c>
      <c r="F249" s="30">
        <f t="shared" si="11"/>
        <v>31.104121502729114</v>
      </c>
      <c r="G249" s="30">
        <f t="shared" si="12"/>
        <v>10225.511570316012</v>
      </c>
      <c r="H249" s="30">
        <f t="shared" si="13"/>
        <v>-294.55084017262743</v>
      </c>
      <c r="I249" s="30">
        <f t="shared" si="15"/>
        <v>11315.961789746241</v>
      </c>
      <c r="J249" s="30">
        <f t="shared" si="14"/>
        <v>-325.96178974624127</v>
      </c>
    </row>
    <row r="250" spans="1:10" ht="15" customHeight="1" x14ac:dyDescent="0.25">
      <c r="A250" s="27" t="s">
        <v>194</v>
      </c>
      <c r="B250" s="30">
        <f xml:space="preserve"> 11975</f>
        <v>11975</v>
      </c>
      <c r="C250" s="30">
        <v>1.2089882382274035</v>
      </c>
      <c r="D250" s="30">
        <f t="shared" si="8"/>
        <v>9904.9764268654308</v>
      </c>
      <c r="E250" s="30">
        <f t="shared" si="10"/>
        <v>10122.362463828955</v>
      </c>
      <c r="F250" s="30">
        <f t="shared" si="11"/>
        <v>31.104121502729114</v>
      </c>
      <c r="G250" s="30">
        <f t="shared" si="12"/>
        <v>10188.169440333626</v>
      </c>
      <c r="H250" s="30">
        <f t="shared" si="13"/>
        <v>-283.1930134681952</v>
      </c>
      <c r="I250" s="30">
        <f t="shared" si="15"/>
        <v>12317.377022431223</v>
      </c>
      <c r="J250" s="30">
        <f t="shared" si="14"/>
        <v>-342.37702243122294</v>
      </c>
    </row>
    <row r="251" spans="1:10" ht="15" customHeight="1" x14ac:dyDescent="0.25">
      <c r="A251" s="27" t="s">
        <v>195</v>
      </c>
      <c r="B251" s="30">
        <f xml:space="preserve"> 12137</f>
        <v>12137</v>
      </c>
      <c r="C251" s="30">
        <v>1.1674732208152445</v>
      </c>
      <c r="D251" s="30">
        <f t="shared" si="8"/>
        <v>10395.955798904539</v>
      </c>
      <c r="E251" s="30">
        <f t="shared" si="10"/>
        <v>10209.815016335677</v>
      </c>
      <c r="F251" s="30">
        <f t="shared" si="11"/>
        <v>31.104121502729114</v>
      </c>
      <c r="G251" s="30">
        <f t="shared" si="12"/>
        <v>10153.466585331684</v>
      </c>
      <c r="H251" s="30">
        <f t="shared" si="13"/>
        <v>242.48921357285508</v>
      </c>
      <c r="I251" s="30">
        <f t="shared" si="15"/>
        <v>11853.900336817143</v>
      </c>
      <c r="J251" s="30">
        <f t="shared" si="14"/>
        <v>283.0996631828566</v>
      </c>
    </row>
    <row r="252" spans="1:10" ht="15" customHeight="1" x14ac:dyDescent="0.25">
      <c r="A252" s="27" t="s">
        <v>196</v>
      </c>
      <c r="B252" s="30">
        <f xml:space="preserve"> 10892</f>
        <v>10892</v>
      </c>
      <c r="C252" s="30">
        <v>0.96087205630662098</v>
      </c>
      <c r="D252" s="30">
        <f t="shared" si="8"/>
        <v>11335.536223070563</v>
      </c>
      <c r="E252" s="30">
        <f t="shared" si="10"/>
        <v>10495.280783019229</v>
      </c>
      <c r="F252" s="30">
        <f t="shared" si="11"/>
        <v>31.104121502729114</v>
      </c>
      <c r="G252" s="30">
        <f t="shared" si="12"/>
        <v>10240.919137838406</v>
      </c>
      <c r="H252" s="30">
        <f t="shared" si="13"/>
        <v>1094.6170852321575</v>
      </c>
      <c r="I252" s="30">
        <f t="shared" si="15"/>
        <v>9840.2130304446164</v>
      </c>
      <c r="J252" s="30">
        <f t="shared" si="14"/>
        <v>1051.7869695553836</v>
      </c>
    </row>
    <row r="253" spans="1:10" ht="15" customHeight="1" x14ac:dyDescent="0.25">
      <c r="A253" s="27" t="s">
        <v>197</v>
      </c>
      <c r="B253" s="30">
        <f xml:space="preserve"> 11249</f>
        <v>11249</v>
      </c>
      <c r="C253" s="30">
        <v>0.99213853165653609</v>
      </c>
      <c r="D253" s="30">
        <f t="shared" si="8"/>
        <v>11338.134384537985</v>
      </c>
      <c r="E253" s="30">
        <f t="shared" si="10"/>
        <v>10715.015189940681</v>
      </c>
      <c r="F253" s="30">
        <f t="shared" si="11"/>
        <v>31.104121502729114</v>
      </c>
      <c r="G253" s="30">
        <f t="shared" si="12"/>
        <v>10526.384904521958</v>
      </c>
      <c r="H253" s="30">
        <f t="shared" si="13"/>
        <v>811.74948001602752</v>
      </c>
      <c r="I253" s="30">
        <f t="shared" si="15"/>
        <v>10443.632062823943</v>
      </c>
      <c r="J253" s="30">
        <f t="shared" si="14"/>
        <v>805.36793717605724</v>
      </c>
    </row>
    <row r="254" spans="1:10" ht="15" customHeight="1" x14ac:dyDescent="0.25">
      <c r="A254" s="27" t="s">
        <v>198</v>
      </c>
      <c r="B254" s="30">
        <f xml:space="preserve"> 7531</f>
        <v>7531</v>
      </c>
      <c r="C254" s="30">
        <v>0.86959779497816025</v>
      </c>
      <c r="D254" s="30">
        <f t="shared" si="8"/>
        <v>8660.3255476161121</v>
      </c>
      <c r="E254" s="30">
        <f t="shared" si="10"/>
        <v>10261.432985574042</v>
      </c>
      <c r="F254" s="30">
        <f t="shared" si="11"/>
        <v>31.104121502729114</v>
      </c>
      <c r="G254" s="30">
        <f t="shared" si="12"/>
        <v>10746.11931144341</v>
      </c>
      <c r="H254" s="30">
        <f t="shared" si="13"/>
        <v>-2085.7937638272979</v>
      </c>
      <c r="I254" s="30">
        <f t="shared" si="15"/>
        <v>9344.8016578034149</v>
      </c>
      <c r="J254" s="30">
        <f t="shared" si="14"/>
        <v>-1813.8016578034149</v>
      </c>
    </row>
    <row r="255" spans="1:10" ht="15" customHeight="1" x14ac:dyDescent="0.25">
      <c r="A255" s="27" t="s">
        <v>199</v>
      </c>
      <c r="B255" s="30">
        <f xml:space="preserve"> 7992</f>
        <v>7992</v>
      </c>
      <c r="C255" s="30">
        <v>0.9108384700918547</v>
      </c>
      <c r="D255" s="30">
        <f t="shared" si="8"/>
        <v>8774.3329497205323</v>
      </c>
      <c r="E255" s="30">
        <f t="shared" si="10"/>
        <v>9939.7444160111154</v>
      </c>
      <c r="F255" s="30">
        <f t="shared" si="11"/>
        <v>31.104121502729114</v>
      </c>
      <c r="G255" s="30">
        <f t="shared" si="12"/>
        <v>10292.537107076771</v>
      </c>
      <c r="H255" s="30">
        <f t="shared" si="13"/>
        <v>-1518.2041573562383</v>
      </c>
      <c r="I255" s="30">
        <f t="shared" si="15"/>
        <v>9374.8387519734497</v>
      </c>
      <c r="J255" s="30">
        <f t="shared" si="14"/>
        <v>-1382.8387519734497</v>
      </c>
    </row>
    <row r="256" spans="1:10" ht="15" customHeight="1" x14ac:dyDescent="0.25">
      <c r="A256" s="27" t="s">
        <v>200</v>
      </c>
      <c r="B256" s="30">
        <f xml:space="preserve"> 9230</f>
        <v>9230</v>
      </c>
      <c r="C256" s="30">
        <v>0.84712190854138225</v>
      </c>
      <c r="D256" s="30">
        <f t="shared" si="8"/>
        <v>10895.716315367979</v>
      </c>
      <c r="E256" s="30">
        <f t="shared" si="10"/>
        <v>10185.764687392699</v>
      </c>
      <c r="F256" s="30">
        <f t="shared" si="11"/>
        <v>31.104121502729114</v>
      </c>
      <c r="G256" s="30">
        <f t="shared" si="12"/>
        <v>9970.8485375138443</v>
      </c>
      <c r="H256" s="30">
        <f t="shared" si="13"/>
        <v>924.86777785413506</v>
      </c>
      <c r="I256" s="30">
        <f t="shared" si="15"/>
        <v>8446.5242428757774</v>
      </c>
      <c r="J256" s="30">
        <f t="shared" si="14"/>
        <v>783.47575712422258</v>
      </c>
    </row>
    <row r="257" spans="1:10" ht="15" customHeight="1" x14ac:dyDescent="0.25">
      <c r="A257" s="27" t="s">
        <v>201</v>
      </c>
      <c r="B257" s="30">
        <f xml:space="preserve"> 10123</f>
        <v>10123</v>
      </c>
      <c r="C257" s="30">
        <v>0.90327235308033749</v>
      </c>
      <c r="D257" s="30">
        <f t="shared" si="8"/>
        <v>11207.029602399063</v>
      </c>
      <c r="E257" s="30">
        <f t="shared" si="10"/>
        <v>10446.957423285836</v>
      </c>
      <c r="F257" s="30">
        <f t="shared" si="11"/>
        <v>31.104121502729114</v>
      </c>
      <c r="G257" s="30">
        <f t="shared" si="12"/>
        <v>10216.868808895428</v>
      </c>
      <c r="H257" s="30">
        <f t="shared" si="13"/>
        <v>990.16079350363543</v>
      </c>
      <c r="I257" s="30">
        <f t="shared" si="15"/>
        <v>9228.615130124077</v>
      </c>
      <c r="J257" s="30">
        <f t="shared" si="14"/>
        <v>894.38486987592296</v>
      </c>
    </row>
    <row r="258" spans="1:10" ht="15" customHeight="1" x14ac:dyDescent="0.25">
      <c r="A258" s="27" t="s">
        <v>202</v>
      </c>
      <c r="B258" s="30">
        <f xml:space="preserve"> 11419</f>
        <v>11419</v>
      </c>
      <c r="C258" s="30">
        <v>0.97853401683850749</v>
      </c>
      <c r="D258" s="30">
        <f t="shared" si="8"/>
        <v>11669.497231065128</v>
      </c>
      <c r="E258" s="30">
        <f t="shared" si="10"/>
        <v>10754.921412387081</v>
      </c>
      <c r="F258" s="30">
        <f t="shared" si="11"/>
        <v>31.104121502729114</v>
      </c>
      <c r="G258" s="30">
        <f t="shared" si="12"/>
        <v>10478.061544788565</v>
      </c>
      <c r="H258" s="30">
        <f t="shared" si="13"/>
        <v>1191.4356862765635</v>
      </c>
      <c r="I258" s="30">
        <f t="shared" si="15"/>
        <v>10253.139652103051</v>
      </c>
      <c r="J258" s="30">
        <f t="shared" si="14"/>
        <v>1165.860347896949</v>
      </c>
    </row>
    <row r="259" spans="1:10" ht="15" customHeight="1" x14ac:dyDescent="0.25">
      <c r="A259" s="27" t="s">
        <v>203</v>
      </c>
      <c r="B259" s="30">
        <f xml:space="preserve"> 12102</f>
        <v>12102</v>
      </c>
      <c r="C259" s="30">
        <v>1.0405515346828169</v>
      </c>
      <c r="D259" s="30">
        <f t="shared" si="8"/>
        <v>11630.370622334392</v>
      </c>
      <c r="E259" s="30">
        <f t="shared" si="10"/>
        <v>10982.230223817121</v>
      </c>
      <c r="F259" s="30">
        <f t="shared" si="11"/>
        <v>31.104121502729114</v>
      </c>
      <c r="G259" s="30">
        <f t="shared" si="12"/>
        <v>10786.02553388981</v>
      </c>
      <c r="H259" s="30">
        <f t="shared" si="13"/>
        <v>844.34508844458287</v>
      </c>
      <c r="I259" s="30">
        <f t="shared" si="15"/>
        <v>11223.415422417091</v>
      </c>
      <c r="J259" s="30">
        <f t="shared" si="14"/>
        <v>878.58457758290933</v>
      </c>
    </row>
    <row r="260" spans="1:10" ht="15" customHeight="1" x14ac:dyDescent="0.25">
      <c r="A260" s="27" t="s">
        <v>204</v>
      </c>
      <c r="B260" s="30">
        <f xml:space="preserve"> 10903</f>
        <v>10903</v>
      </c>
      <c r="C260" s="30">
        <v>1.0139715410282903</v>
      </c>
      <c r="D260" s="30">
        <f t="shared" si="8"/>
        <v>10752.767270906867</v>
      </c>
      <c r="E260" s="30">
        <f t="shared" si="10"/>
        <v>10952.785071403134</v>
      </c>
      <c r="F260" s="30">
        <f t="shared" si="11"/>
        <v>31.104121502729114</v>
      </c>
      <c r="G260" s="30">
        <f t="shared" si="12"/>
        <v>11013.33434531985</v>
      </c>
      <c r="H260" s="30">
        <f t="shared" si="13"/>
        <v>-260.56707441298386</v>
      </c>
      <c r="I260" s="30">
        <f t="shared" si="15"/>
        <v>11167.207597983766</v>
      </c>
      <c r="J260" s="30">
        <f t="shared" si="14"/>
        <v>-264.20759798376639</v>
      </c>
    </row>
    <row r="261" spans="1:10" ht="15" customHeight="1" x14ac:dyDescent="0.25">
      <c r="A261" s="27" t="s">
        <v>205</v>
      </c>
      <c r="B261" s="30">
        <f xml:space="preserve"> 12513</f>
        <v>12513</v>
      </c>
      <c r="C261" s="30">
        <v>1.1066401628839515</v>
      </c>
      <c r="D261" s="30">
        <f t="shared" si="8"/>
        <v>11307.198509216028</v>
      </c>
      <c r="E261" s="30">
        <f t="shared" si="10"/>
        <v>11059.018195283439</v>
      </c>
      <c r="F261" s="30">
        <f t="shared" si="11"/>
        <v>31.104121502729114</v>
      </c>
      <c r="G261" s="30">
        <f t="shared" si="12"/>
        <v>10983.889192905863</v>
      </c>
      <c r="H261" s="30">
        <f t="shared" si="13"/>
        <v>323.30931631016574</v>
      </c>
      <c r="I261" s="30">
        <f t="shared" si="15"/>
        <v>12155.212925536618</v>
      </c>
      <c r="J261" s="30">
        <f t="shared" si="14"/>
        <v>357.78707446338194</v>
      </c>
    </row>
    <row r="262" spans="1:10" ht="15" customHeight="1" x14ac:dyDescent="0.25">
      <c r="A262" s="27" t="s">
        <v>206</v>
      </c>
      <c r="B262" s="30">
        <f xml:space="preserve"> 10696</f>
        <v>10696</v>
      </c>
      <c r="C262" s="30">
        <v>1.2089882382274035</v>
      </c>
      <c r="D262" s="30">
        <f t="shared" si="8"/>
        <v>8847.0670448227684</v>
      </c>
      <c r="E262" s="30">
        <f t="shared" si="10"/>
        <v>10568.892347963672</v>
      </c>
      <c r="F262" s="30">
        <f t="shared" si="11"/>
        <v>31.104121502729114</v>
      </c>
      <c r="G262" s="30">
        <f t="shared" si="12"/>
        <v>11090.122316786168</v>
      </c>
      <c r="H262" s="30">
        <f t="shared" si="13"/>
        <v>-2243.0552719633997</v>
      </c>
      <c r="I262" s="30">
        <f t="shared" si="15"/>
        <v>13407.82744149772</v>
      </c>
      <c r="J262" s="30">
        <f t="shared" si="14"/>
        <v>-2711.8274414977204</v>
      </c>
    </row>
    <row r="263" spans="1:10" ht="15" customHeight="1" x14ac:dyDescent="0.25">
      <c r="A263" s="40" t="s">
        <v>207</v>
      </c>
      <c r="B263" s="41">
        <f xml:space="preserve"> 13758</f>
        <v>13758</v>
      </c>
      <c r="C263" s="41">
        <v>1.1674732208152445</v>
      </c>
      <c r="D263" s="41">
        <f t="shared" si="8"/>
        <v>11784.424477327893</v>
      </c>
      <c r="E263" s="41">
        <f t="shared" si="10"/>
        <v>10875.227927793216</v>
      </c>
      <c r="F263" s="41">
        <f t="shared" si="11"/>
        <v>31.104121502729114</v>
      </c>
      <c r="G263" s="41">
        <f t="shared" si="12"/>
        <v>10599.996469466401</v>
      </c>
      <c r="H263" s="41">
        <f t="shared" si="13"/>
        <v>1184.428007861492</v>
      </c>
      <c r="I263" s="41">
        <f t="shared" si="15"/>
        <v>12375.21201883816</v>
      </c>
      <c r="J263" s="41">
        <f t="shared" si="14"/>
        <v>1382.7879811618404</v>
      </c>
    </row>
    <row r="264" spans="1:10" ht="15" customHeight="1" x14ac:dyDescent="0.25">
      <c r="A264" s="27" t="s">
        <v>208</v>
      </c>
      <c r="B264" s="30"/>
      <c r="C264" s="30">
        <v>0.96087205630662098</v>
      </c>
      <c r="D264" s="30"/>
      <c r="E264" s="30"/>
      <c r="F264" s="30"/>
      <c r="G264" s="30">
        <f>E263+(1*F263)</f>
        <v>10906.332049295945</v>
      </c>
      <c r="H264" s="30"/>
      <c r="I264" s="30">
        <f t="shared" si="15"/>
        <v>10479.589702969797</v>
      </c>
      <c r="J264" s="30"/>
    </row>
    <row r="265" spans="1:10" ht="15" customHeight="1" x14ac:dyDescent="0.25">
      <c r="A265" s="27" t="s">
        <v>213</v>
      </c>
      <c r="B265" s="30"/>
      <c r="C265" s="30">
        <v>0.99213853165653609</v>
      </c>
      <c r="D265" s="30"/>
      <c r="E265" s="30"/>
      <c r="F265" s="30"/>
      <c r="G265" s="30">
        <f>E263+(2*F263)</f>
        <v>10937.436170798674</v>
      </c>
      <c r="H265" s="30"/>
      <c r="I265" s="30">
        <f t="shared" si="15"/>
        <v>10851.451862583282</v>
      </c>
      <c r="J265" s="30"/>
    </row>
    <row r="266" spans="1:10" ht="15" customHeight="1" x14ac:dyDescent="0.25">
      <c r="A266" s="27" t="s">
        <v>214</v>
      </c>
      <c r="B266" s="30"/>
      <c r="C266" s="30">
        <v>0.86959779497816025</v>
      </c>
      <c r="D266" s="30"/>
      <c r="E266" s="30"/>
      <c r="F266" s="30"/>
      <c r="G266" s="30">
        <f>E263+(3*F263)</f>
        <v>10968.540292301403</v>
      </c>
      <c r="H266" s="30"/>
      <c r="I266" s="30">
        <f t="shared" si="15"/>
        <v>9538.2184523144042</v>
      </c>
      <c r="J266" s="30"/>
    </row>
    <row r="267" spans="1:10" ht="15" customHeight="1" x14ac:dyDescent="0.25">
      <c r="A267" s="27" t="s">
        <v>215</v>
      </c>
      <c r="B267" s="30"/>
      <c r="C267" s="30">
        <v>0.9108384700918547</v>
      </c>
      <c r="D267" s="30"/>
      <c r="E267" s="30"/>
      <c r="F267" s="30"/>
      <c r="G267" s="30">
        <f>E263+(4*F263)</f>
        <v>10999.644413804132</v>
      </c>
      <c r="H267" s="30"/>
      <c r="I267" s="30">
        <f t="shared" si="15"/>
        <v>10018.899289423771</v>
      </c>
      <c r="J267" s="30"/>
    </row>
    <row r="268" spans="1:10" ht="15" customHeight="1" x14ac:dyDescent="0.25">
      <c r="A268" s="27" t="s">
        <v>216</v>
      </c>
      <c r="B268" s="30"/>
      <c r="C268" s="30">
        <v>0.84712190854138225</v>
      </c>
      <c r="D268" s="30"/>
      <c r="E268" s="30"/>
      <c r="F268" s="30"/>
      <c r="G268" s="30">
        <f>E263+(5*F263)</f>
        <v>11030.748535306861</v>
      </c>
      <c r="H268" s="30"/>
      <c r="I268" s="30">
        <f t="shared" si="15"/>
        <v>9344.3887518692045</v>
      </c>
      <c r="J268" s="30"/>
    </row>
    <row r="269" spans="1:10" ht="15" customHeight="1" x14ac:dyDescent="0.25">
      <c r="A269" s="27" t="s">
        <v>217</v>
      </c>
      <c r="B269" s="30"/>
      <c r="C269" s="30">
        <v>0.90327235308033749</v>
      </c>
      <c r="D269" s="30"/>
      <c r="E269" s="30"/>
      <c r="F269" s="30"/>
      <c r="G269" s="30">
        <f>E263+(6*F263)</f>
        <v>11061.852656809591</v>
      </c>
      <c r="H269" s="30"/>
      <c r="I269" s="30">
        <f t="shared" si="15"/>
        <v>9991.8656787443833</v>
      </c>
      <c r="J269" s="30"/>
    </row>
    <row r="270" spans="1:10" ht="15" customHeight="1" x14ac:dyDescent="0.25">
      <c r="A270" s="27" t="s">
        <v>218</v>
      </c>
      <c r="B270" s="30"/>
      <c r="C270" s="30">
        <v>0.97853401683850749</v>
      </c>
      <c r="D270" s="30"/>
      <c r="E270" s="30"/>
      <c r="F270" s="30"/>
      <c r="G270" s="30">
        <f>E263+(7*F263)</f>
        <v>11092.95677831232</v>
      </c>
      <c r="H270" s="30"/>
      <c r="I270" s="30">
        <f t="shared" si="15"/>
        <v>10854.835554897903</v>
      </c>
      <c r="J270" s="30"/>
    </row>
    <row r="271" spans="1:10" ht="15" customHeight="1" x14ac:dyDescent="0.25">
      <c r="A271" s="27" t="s">
        <v>219</v>
      </c>
      <c r="B271" s="30"/>
      <c r="C271" s="30">
        <v>1.0405515346828169</v>
      </c>
      <c r="D271" s="30"/>
      <c r="E271" s="30"/>
      <c r="F271" s="30"/>
      <c r="G271" s="30">
        <f>E263+(8*F263)</f>
        <v>11124.060899815049</v>
      </c>
      <c r="H271" s="30"/>
      <c r="I271" s="30">
        <f t="shared" si="15"/>
        <v>11575.158641207667</v>
      </c>
      <c r="J271" s="30"/>
    </row>
  </sheetData>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9"/>
  <sheetViews>
    <sheetView showGridLines="0" topLeftCell="A114" workbookViewId="0">
      <selection activeCell="H15" sqref="H15"/>
    </sheetView>
  </sheetViews>
  <sheetFormatPr defaultColWidth="12.7109375" defaultRowHeight="15" x14ac:dyDescent="0.25"/>
  <cols>
    <col min="1" max="1" width="36.42578125" bestFit="1" customWidth="1"/>
    <col min="2" max="7" width="12.7109375" customWidth="1"/>
  </cols>
  <sheetData>
    <row r="1" spans="1:2" s="16" customFormat="1" ht="18.75" x14ac:dyDescent="0.3">
      <c r="A1" s="22" t="s">
        <v>75</v>
      </c>
      <c r="B1" s="20"/>
    </row>
    <row r="2" spans="1:2" s="16" customFormat="1" ht="11.25" x14ac:dyDescent="0.2">
      <c r="A2" s="18" t="s">
        <v>76</v>
      </c>
      <c r="B2" s="20" t="s">
        <v>77</v>
      </c>
    </row>
    <row r="3" spans="1:2" s="16" customFormat="1" ht="11.25" x14ac:dyDescent="0.2">
      <c r="A3" s="18" t="s">
        <v>78</v>
      </c>
      <c r="B3" s="20" t="s">
        <v>79</v>
      </c>
    </row>
    <row r="4" spans="1:2" s="16" customFormat="1" ht="11.25" x14ac:dyDescent="0.2">
      <c r="A4" s="18" t="s">
        <v>80</v>
      </c>
      <c r="B4" s="23">
        <v>45064</v>
      </c>
    </row>
    <row r="5" spans="1:2" s="17" customFormat="1" ht="11.25" x14ac:dyDescent="0.2">
      <c r="A5" s="19" t="s">
        <v>81</v>
      </c>
      <c r="B5" s="21" t="s">
        <v>82</v>
      </c>
    </row>
    <row r="7" spans="1:2" ht="15" customHeight="1" x14ac:dyDescent="0.25">
      <c r="A7" s="28" t="s">
        <v>227</v>
      </c>
      <c r="B7" s="25"/>
    </row>
    <row r="8" spans="1:2" ht="15" customHeight="1" thickBot="1" x14ac:dyDescent="0.3">
      <c r="A8" s="29" t="s">
        <v>226</v>
      </c>
      <c r="B8" s="26"/>
    </row>
    <row r="9" spans="1:2" ht="15" customHeight="1" thickTop="1" x14ac:dyDescent="0.25">
      <c r="A9" s="27" t="s">
        <v>229</v>
      </c>
      <c r="B9" s="35">
        <v>0.13859972799722856</v>
      </c>
    </row>
    <row r="10" spans="1:2" ht="15" customHeight="1" x14ac:dyDescent="0.25">
      <c r="A10" s="27" t="s">
        <v>230</v>
      </c>
      <c r="B10" s="35">
        <v>0</v>
      </c>
    </row>
    <row r="11" spans="1:2" ht="15" customHeight="1" x14ac:dyDescent="0.25">
      <c r="A11" s="27" t="s">
        <v>231</v>
      </c>
      <c r="B11" s="35">
        <v>0</v>
      </c>
    </row>
    <row r="12" spans="1:2" ht="15" customHeight="1" x14ac:dyDescent="0.25"/>
    <row r="13" spans="1:2" ht="15" customHeight="1" x14ac:dyDescent="0.25">
      <c r="A13" s="28"/>
      <c r="B13" s="25"/>
    </row>
    <row r="14" spans="1:2" ht="15" customHeight="1" thickBot="1" x14ac:dyDescent="0.3">
      <c r="A14" s="29" t="s">
        <v>228</v>
      </c>
      <c r="B14" s="26"/>
    </row>
    <row r="15" spans="1:2" ht="15" customHeight="1" thickTop="1" x14ac:dyDescent="0.25">
      <c r="A15" s="27" t="s">
        <v>88</v>
      </c>
      <c r="B15" s="30">
        <f>_xll.StatMeanAbs(G86:G201)</f>
        <v>455.84830659945669</v>
      </c>
    </row>
    <row r="16" spans="1:2" ht="15" customHeight="1" x14ac:dyDescent="0.25">
      <c r="A16" s="27" t="s">
        <v>89</v>
      </c>
      <c r="B16" s="30">
        <f>SQRT(SUMSQ(G86:G201)/_xll.StatCount(G86:G201))</f>
        <v>581.4451898256076</v>
      </c>
    </row>
    <row r="17" spans="1:2" ht="15" customHeight="1" x14ac:dyDescent="0.25">
      <c r="A17" s="27" t="s">
        <v>90</v>
      </c>
      <c r="B17" s="33">
        <f>_xll.StatPairMeanAbsQuotient(G86:G201,B86:B201)</f>
        <v>4.2310619574493682E-2</v>
      </c>
    </row>
    <row r="18" spans="1:2" ht="15" customHeight="1" x14ac:dyDescent="0.25"/>
    <row r="19" spans="1:2" ht="15" customHeight="1" x14ac:dyDescent="0.25"/>
    <row r="20" spans="1:2" ht="15" customHeight="1" x14ac:dyDescent="0.25"/>
    <row r="21" spans="1:2" ht="15" customHeight="1" x14ac:dyDescent="0.25"/>
    <row r="22" spans="1:2" ht="15" customHeight="1" x14ac:dyDescent="0.25"/>
    <row r="23" spans="1:2" ht="15" customHeight="1" x14ac:dyDescent="0.25"/>
    <row r="24" spans="1:2" ht="15" customHeight="1" x14ac:dyDescent="0.25"/>
    <row r="25" spans="1:2" ht="15" customHeight="1" x14ac:dyDescent="0.25"/>
    <row r="26" spans="1:2" ht="15" customHeight="1" x14ac:dyDescent="0.25"/>
    <row r="27" spans="1:2" ht="15" customHeight="1" x14ac:dyDescent="0.25"/>
    <row r="28" spans="1:2" ht="15" customHeight="1" x14ac:dyDescent="0.25"/>
    <row r="29" spans="1:2" ht="15" customHeight="1" x14ac:dyDescent="0.25"/>
    <row r="30" spans="1:2" ht="15" customHeight="1" x14ac:dyDescent="0.25"/>
    <row r="31" spans="1:2" ht="15" customHeight="1" x14ac:dyDescent="0.25"/>
    <row r="32" spans="1: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spans="1:11" ht="15" customHeight="1" x14ac:dyDescent="0.25"/>
    <row r="82" spans="1:11" ht="15" customHeight="1" x14ac:dyDescent="0.25">
      <c r="J82" s="47" t="s">
        <v>2</v>
      </c>
      <c r="K82" s="47"/>
    </row>
    <row r="83" spans="1:11" ht="15" customHeight="1" thickBot="1" x14ac:dyDescent="0.3">
      <c r="A83" s="28"/>
      <c r="B83" s="25"/>
      <c r="C83" s="25"/>
      <c r="D83" s="25"/>
      <c r="E83" s="25"/>
      <c r="F83" s="25"/>
      <c r="G83" s="25"/>
      <c r="J83" s="29" t="s">
        <v>86</v>
      </c>
      <c r="K83" s="26" t="s">
        <v>222</v>
      </c>
    </row>
    <row r="84" spans="1:11" ht="15" customHeight="1" thickTop="1" thickBot="1" x14ac:dyDescent="0.3">
      <c r="A84" s="29" t="s">
        <v>86</v>
      </c>
      <c r="B84" s="26" t="s">
        <v>2</v>
      </c>
      <c r="C84" s="26" t="s">
        <v>232</v>
      </c>
      <c r="D84" s="26" t="s">
        <v>212</v>
      </c>
      <c r="E84" s="26" t="s">
        <v>222</v>
      </c>
      <c r="F84" s="26" t="s">
        <v>77</v>
      </c>
      <c r="G84" s="26" t="s">
        <v>209</v>
      </c>
      <c r="J84" s="27" t="s">
        <v>96</v>
      </c>
      <c r="K84" s="34">
        <v>1.13054262838025</v>
      </c>
    </row>
    <row r="85" spans="1:11" ht="15" customHeight="1" thickTop="1" x14ac:dyDescent="0.25">
      <c r="A85" s="27" t="s">
        <v>91</v>
      </c>
      <c r="B85" s="30">
        <f xml:space="preserve"> 6722</f>
        <v>6722</v>
      </c>
      <c r="C85" s="30">
        <f>B85/ 0.658360141523892</f>
        <v>10210.217138055672</v>
      </c>
      <c r="D85" s="30">
        <f>(B201/ 1.28522036186931-B85/ 0.658360141523892)/ 117</f>
        <v>3.5819527350108222</v>
      </c>
      <c r="E85" s="30">
        <f>$B$11*(B85/C85)+(1-$B$11)* 0.658360141523892</f>
        <v>0.658360141523892</v>
      </c>
      <c r="F85" s="30"/>
      <c r="G85" s="30"/>
      <c r="J85" s="27" t="s">
        <v>97</v>
      </c>
      <c r="K85" s="34">
        <v>1.23042912848497</v>
      </c>
    </row>
    <row r="86" spans="1:11" ht="15" customHeight="1" x14ac:dyDescent="0.25">
      <c r="A86" s="27" t="s">
        <v>92</v>
      </c>
      <c r="B86" s="30">
        <f xml:space="preserve"> 7266</f>
        <v>7266</v>
      </c>
      <c r="C86" s="30">
        <f>$B$9*B86/ 0.727351446492961+(1-$B$9)*(C85+D85)</f>
        <v>10182.734683606068</v>
      </c>
      <c r="D86" s="30">
        <f>$B$10*(C86-C85)+(1-$B$10)*D85</f>
        <v>3.5819527350108222</v>
      </c>
      <c r="E86" s="30">
        <f>$B$11*(B86/C86)+(1-$B$11)* 0.727351446492961</f>
        <v>0.72735144649296102</v>
      </c>
      <c r="F86" s="30">
        <f>(C85+D85)* 0.727351446492961</f>
        <v>7429.0215428750926</v>
      </c>
      <c r="G86" s="30">
        <f>B86-F86</f>
        <v>-163.02154287509256</v>
      </c>
      <c r="J86" s="27" t="s">
        <v>98</v>
      </c>
      <c r="K86" s="34">
        <v>1.3819008428061601</v>
      </c>
    </row>
    <row r="87" spans="1:11" ht="15" customHeight="1" x14ac:dyDescent="0.25">
      <c r="A87" s="27" t="s">
        <v>93</v>
      </c>
      <c r="B87" s="30">
        <f xml:space="preserve"> 8341</f>
        <v>8341</v>
      </c>
      <c r="C87" s="30">
        <f>$B$9*B87/ 0.746509980746207+(1-$B$9)*(C86+D86)</f>
        <v>10323.115981319004</v>
      </c>
      <c r="D87" s="30">
        <f t="shared" ref="D87:D150" si="0">$B$10*(C87-C86)+(1-$B$10)*D86</f>
        <v>3.5819527350108222</v>
      </c>
      <c r="E87" s="30">
        <f>$B$11*(B87/C87)+(1-$B$11)* 0.746509980746207</f>
        <v>0.746509980746207</v>
      </c>
      <c r="F87" s="30">
        <f>(C86+D86)* 0.746509980746207</f>
        <v>7604.1870360697467</v>
      </c>
      <c r="G87" s="30">
        <f t="shared" ref="G87:G150" si="1">B87-F87</f>
        <v>736.81296393025332</v>
      </c>
      <c r="J87" s="27" t="s">
        <v>99</v>
      </c>
      <c r="K87" s="34">
        <v>1.2852203618693101</v>
      </c>
    </row>
    <row r="88" spans="1:11" ht="15" customHeight="1" x14ac:dyDescent="0.25">
      <c r="A88" s="27" t="s">
        <v>94</v>
      </c>
      <c r="B88" s="30">
        <f xml:space="preserve"> 10213</f>
        <v>10213</v>
      </c>
      <c r="C88" s="30">
        <f>$B$9*B88/ 0.882342630261445+(1-$B$9)*(C87+D87)</f>
        <v>10499.69404799143</v>
      </c>
      <c r="D88" s="30">
        <f t="shared" si="0"/>
        <v>3.5819527350108222</v>
      </c>
      <c r="E88" s="30">
        <f>$B$11*(B88/C88)+(1-$B$11)* 0.882342630261445</f>
        <v>0.88234263026144499</v>
      </c>
      <c r="F88" s="30">
        <f>(C87+D87)* 0.882342630261445</f>
        <v>9111.6858170486485</v>
      </c>
      <c r="G88" s="30">
        <f t="shared" si="1"/>
        <v>1101.3141829513515</v>
      </c>
      <c r="J88" s="27" t="s">
        <v>100</v>
      </c>
      <c r="K88" s="34">
        <v>1.1406877679904901</v>
      </c>
    </row>
    <row r="89" spans="1:11" ht="15" customHeight="1" x14ac:dyDescent="0.25">
      <c r="A89" s="27" t="s">
        <v>95</v>
      </c>
      <c r="B89" s="30">
        <f xml:space="preserve"> 11024</f>
        <v>11024</v>
      </c>
      <c r="C89" s="30">
        <f>$B$9*B89/ 0.927859790227399+(1-$B$9)*(C88+D88)</f>
        <v>10694.242786052897</v>
      </c>
      <c r="D89" s="30">
        <f t="shared" si="0"/>
        <v>3.5819527350108222</v>
      </c>
      <c r="E89" s="30">
        <f>$B$11*(B89/C89)+(1-$B$11)* 0.927859790227399</f>
        <v>0.92785979022739895</v>
      </c>
      <c r="F89" s="30">
        <f>(C88+D88)* 0.927859790227399</f>
        <v>9745.5674667345083</v>
      </c>
      <c r="G89" s="30">
        <f t="shared" si="1"/>
        <v>1278.4325332654917</v>
      </c>
      <c r="J89" s="27" t="s">
        <v>101</v>
      </c>
      <c r="K89" s="34">
        <v>1.0314769480730599</v>
      </c>
    </row>
    <row r="90" spans="1:11" ht="15" customHeight="1" x14ac:dyDescent="0.25">
      <c r="A90" s="27" t="s">
        <v>96</v>
      </c>
      <c r="B90" s="30">
        <f xml:space="preserve"> 12501</f>
        <v>12501</v>
      </c>
      <c r="C90" s="30">
        <f>$B$9*B90/ 1.13054262838025+(1-$B$9)*(C89+D89)</f>
        <v>10747.678683161241</v>
      </c>
      <c r="D90" s="30">
        <f t="shared" si="0"/>
        <v>3.5819527350108222</v>
      </c>
      <c r="E90" s="30">
        <f>$B$11*(B90/C90)+(1-$B$11)* 1.13054262838025</f>
        <v>1.13054262838025</v>
      </c>
      <c r="F90" s="30">
        <f>(C89+D89)* 1.13054262838025</f>
        <v>12094.346898140542</v>
      </c>
      <c r="G90" s="30">
        <f t="shared" si="1"/>
        <v>406.65310185945782</v>
      </c>
      <c r="J90" s="27" t="s">
        <v>102</v>
      </c>
      <c r="K90" s="34">
        <v>0.85731962540790396</v>
      </c>
    </row>
    <row r="91" spans="1:11" ht="15" customHeight="1" x14ac:dyDescent="0.25">
      <c r="A91" s="27" t="s">
        <v>97</v>
      </c>
      <c r="B91" s="30">
        <f xml:space="preserve"> 14247</f>
        <v>14247</v>
      </c>
      <c r="C91" s="30">
        <f>$B$9*B91/ 1.23042912848497+(1-$B$9)*(C90+D90)</f>
        <v>10865.969442840735</v>
      </c>
      <c r="D91" s="30">
        <f t="shared" si="0"/>
        <v>3.5819527350108222</v>
      </c>
      <c r="E91" s="30">
        <f>$B$11*(B91/C91)+(1-$B$11)* 1.23042912848497</f>
        <v>1.23042912848497</v>
      </c>
      <c r="F91" s="30">
        <f>(C90+D90)* 1.23042912848497</f>
        <v>13228.664254340589</v>
      </c>
      <c r="G91" s="30">
        <f t="shared" si="1"/>
        <v>1018.3357456594113</v>
      </c>
      <c r="J91" s="27" t="s">
        <v>103</v>
      </c>
      <c r="K91" s="34">
        <v>0.658360141523892</v>
      </c>
    </row>
    <row r="92" spans="1:11" ht="15" customHeight="1" x14ac:dyDescent="0.25">
      <c r="A92" s="27" t="s">
        <v>98</v>
      </c>
      <c r="B92" s="30">
        <f xml:space="preserve"> 15045</f>
        <v>15045</v>
      </c>
      <c r="C92" s="30">
        <f>$B$9*B92/ 1.38190084280616+(1-$B$9)*(C91+D91)</f>
        <v>10871.994392621818</v>
      </c>
      <c r="D92" s="30">
        <f t="shared" si="0"/>
        <v>3.5819527350108222</v>
      </c>
      <c r="E92" s="30">
        <f>$B$11*(B92/C92)+(1-$B$11)* 1.38190084280616</f>
        <v>1.3819008428061601</v>
      </c>
      <c r="F92" s="30">
        <f>(C91+D91)* 1.38190084280616</f>
        <v>15020.642234470995</v>
      </c>
      <c r="G92" s="30">
        <f t="shared" si="1"/>
        <v>24.35776552900461</v>
      </c>
      <c r="J92" s="27" t="s">
        <v>104</v>
      </c>
      <c r="K92" s="34">
        <v>0.72735144649296102</v>
      </c>
    </row>
    <row r="93" spans="1:11" ht="15" customHeight="1" x14ac:dyDescent="0.25">
      <c r="A93" s="27" t="s">
        <v>99</v>
      </c>
      <c r="B93" s="30">
        <f xml:space="preserve"> 13563</f>
        <v>13563</v>
      </c>
      <c r="C93" s="30">
        <f>$B$9*B93/ 1.28522036186931+(1-$B$9)*(C92+D92)</f>
        <v>10830.874848882115</v>
      </c>
      <c r="D93" s="30">
        <f t="shared" si="0"/>
        <v>3.5819527350108222</v>
      </c>
      <c r="E93" s="30">
        <f>$B$11*(B93/C93)+(1-$B$11)* 1.28522036186931</f>
        <v>1.2852203618693101</v>
      </c>
      <c r="F93" s="30">
        <f>(C92+D92)* 1.28522036186931</f>
        <v>13977.512166116812</v>
      </c>
      <c r="G93" s="30">
        <f t="shared" si="1"/>
        <v>-414.5121661168123</v>
      </c>
      <c r="J93" s="27" t="s">
        <v>105</v>
      </c>
      <c r="K93" s="34">
        <v>0.746509980746207</v>
      </c>
    </row>
    <row r="94" spans="1:11" ht="15" customHeight="1" x14ac:dyDescent="0.25">
      <c r="A94" s="27" t="s">
        <v>100</v>
      </c>
      <c r="B94" s="30">
        <f xml:space="preserve"> 12887</f>
        <v>12887</v>
      </c>
      <c r="C94" s="30">
        <f>$B$9*B94/ 1.14068776799049+(1-$B$9)*(C93+D93)</f>
        <v>10898.644176242939</v>
      </c>
      <c r="D94" s="30">
        <f t="shared" si="0"/>
        <v>3.5819527350108222</v>
      </c>
      <c r="E94" s="30">
        <f>$B$11*(B94/C94)+(1-$B$11)* 1.14068776799049</f>
        <v>1.1406877679904901</v>
      </c>
      <c r="F94" s="30">
        <f>(C93+D93)* 1.14068776799049</f>
        <v>12358.732346426023</v>
      </c>
      <c r="G94" s="30">
        <f t="shared" si="1"/>
        <v>528.26765357397744</v>
      </c>
      <c r="J94" s="27" t="s">
        <v>106</v>
      </c>
      <c r="K94" s="34">
        <v>0.88234263026144499</v>
      </c>
    </row>
    <row r="95" spans="1:11" ht="15" customHeight="1" x14ac:dyDescent="0.25">
      <c r="A95" s="27" t="s">
        <v>101</v>
      </c>
      <c r="B95" s="30">
        <f xml:space="preserve"> 11118</f>
        <v>11118</v>
      </c>
      <c r="C95" s="30">
        <f>$B$9*B95/ 1.03147694807306+(1-$B$9)*(C94+D94)</f>
        <v>10885.108050543449</v>
      </c>
      <c r="D95" s="30">
        <f t="shared" si="0"/>
        <v>3.5819527350108222</v>
      </c>
      <c r="E95" s="30">
        <f>$B$11*(B95/C95)+(1-$B$11)* 1.03147694807306</f>
        <v>1.0314769480730599</v>
      </c>
      <c r="F95" s="30">
        <f>(C94+D94)* 1.03147694807306</f>
        <v>11245.394934720545</v>
      </c>
      <c r="G95" s="30">
        <f t="shared" si="1"/>
        <v>-127.39493472054528</v>
      </c>
      <c r="J95" s="27" t="s">
        <v>107</v>
      </c>
      <c r="K95" s="34">
        <v>0.92785979022739895</v>
      </c>
    </row>
    <row r="96" spans="1:11" ht="15" customHeight="1" x14ac:dyDescent="0.25">
      <c r="A96" s="27" t="s">
        <v>102</v>
      </c>
      <c r="B96" s="30">
        <f xml:space="preserve"> 9484</f>
        <v>9484</v>
      </c>
      <c r="C96" s="30">
        <f>$B$9*B96/ 0.857319625407904+(1-$B$9)*(C95+D95)</f>
        <v>10912.764120680389</v>
      </c>
      <c r="D96" s="30">
        <f t="shared" si="0"/>
        <v>3.5819527350108222</v>
      </c>
      <c r="E96" s="30">
        <f>$B$11*(B96/C96)+(1-$B$11)* 0.857319625407904</f>
        <v>0.85731962540790396</v>
      </c>
      <c r="F96" s="30">
        <f>(C95+D95)* 0.857319625407904</f>
        <v>9335.0876347934773</v>
      </c>
      <c r="G96" s="30">
        <f t="shared" si="1"/>
        <v>148.91236520652274</v>
      </c>
    </row>
    <row r="97" spans="1:7" ht="15" customHeight="1" x14ac:dyDescent="0.25">
      <c r="A97" s="27" t="s">
        <v>103</v>
      </c>
      <c r="B97" s="30">
        <f xml:space="preserve"> 7312</f>
        <v>7312</v>
      </c>
      <c r="C97" s="30">
        <f>$B$9*B97/E85+(1-$B$9)*(C96+D96)</f>
        <v>10942.685164233546</v>
      </c>
      <c r="D97" s="30">
        <f t="shared" si="0"/>
        <v>3.5819527350108222</v>
      </c>
      <c r="E97" s="30">
        <f>$B$11*(B97/C97)+(1-$B$11)*E85</f>
        <v>0.658360141523892</v>
      </c>
      <c r="F97" s="30">
        <f>(C96+D96)*E85</f>
        <v>7186.8871458175454</v>
      </c>
      <c r="G97" s="30">
        <f t="shared" si="1"/>
        <v>125.11285418245461</v>
      </c>
    </row>
    <row r="98" spans="1:7" ht="15" customHeight="1" x14ac:dyDescent="0.25">
      <c r="A98" s="27" t="s">
        <v>104</v>
      </c>
      <c r="B98" s="30">
        <f xml:space="preserve"> 7790</f>
        <v>7790</v>
      </c>
      <c r="C98" s="30">
        <f t="shared" ref="C98:C161" si="2">$B$9*B98/E86+(1-$B$9)*(C97+D97)</f>
        <v>10913.533136922006</v>
      </c>
      <c r="D98" s="30">
        <f t="shared" si="0"/>
        <v>3.5819527350108222</v>
      </c>
      <c r="E98" s="30">
        <f t="shared" ref="E98:E161" si="3">$B$11*(B98/C98)+(1-$B$11)*E86</f>
        <v>0.72735144649296102</v>
      </c>
      <c r="F98" s="30">
        <f t="shared" ref="F98:F161" si="4">(C97+D97)*E86</f>
        <v>7961.7832212254134</v>
      </c>
      <c r="G98" s="30">
        <f t="shared" si="1"/>
        <v>-171.7832212254134</v>
      </c>
    </row>
    <row r="99" spans="1:7" ht="15" customHeight="1" x14ac:dyDescent="0.25">
      <c r="A99" s="27" t="s">
        <v>105</v>
      </c>
      <c r="B99" s="30">
        <f xml:space="preserve"> 7346</f>
        <v>7346</v>
      </c>
      <c r="C99" s="30">
        <f t="shared" si="2"/>
        <v>10767.890689068805</v>
      </c>
      <c r="D99" s="30">
        <f t="shared" si="0"/>
        <v>3.5819527350108222</v>
      </c>
      <c r="E99" s="30">
        <f t="shared" si="3"/>
        <v>0.746509980746207</v>
      </c>
      <c r="F99" s="30">
        <f t="shared" si="4"/>
        <v>8149.7353753839852</v>
      </c>
      <c r="G99" s="30">
        <f t="shared" si="1"/>
        <v>-803.73537538398523</v>
      </c>
    </row>
    <row r="100" spans="1:7" ht="15" customHeight="1" x14ac:dyDescent="0.25">
      <c r="A100" s="27" t="s">
        <v>106</v>
      </c>
      <c r="B100" s="30">
        <f xml:space="preserve"> 9951</f>
        <v>9951</v>
      </c>
      <c r="C100" s="30">
        <f t="shared" si="2"/>
        <v>10841.667742064406</v>
      </c>
      <c r="D100" s="30">
        <f t="shared" si="0"/>
        <v>3.5819527350108222</v>
      </c>
      <c r="E100" s="30">
        <f t="shared" si="3"/>
        <v>0.88234263026144499</v>
      </c>
      <c r="F100" s="30">
        <f t="shared" si="4"/>
        <v>9504.1295025583731</v>
      </c>
      <c r="G100" s="30">
        <f t="shared" si="1"/>
        <v>446.87049744162687</v>
      </c>
    </row>
    <row r="101" spans="1:7" ht="15" customHeight="1" x14ac:dyDescent="0.25">
      <c r="A101" s="27" t="s">
        <v>107</v>
      </c>
      <c r="B101" s="30">
        <f xml:space="preserve"> 9804</f>
        <v>9804</v>
      </c>
      <c r="C101" s="30">
        <f t="shared" si="2"/>
        <v>10806.580635784256</v>
      </c>
      <c r="D101" s="30">
        <f t="shared" si="0"/>
        <v>3.5819527350108222</v>
      </c>
      <c r="E101" s="30">
        <f t="shared" si="3"/>
        <v>0.92785979022739895</v>
      </c>
      <c r="F101" s="30">
        <f t="shared" si="4"/>
        <v>10062.871106780349</v>
      </c>
      <c r="G101" s="30">
        <f t="shared" si="1"/>
        <v>-258.87110678034878</v>
      </c>
    </row>
    <row r="102" spans="1:7" ht="15" customHeight="1" x14ac:dyDescent="0.25">
      <c r="A102" s="27" t="s">
        <v>108</v>
      </c>
      <c r="B102" s="30">
        <f xml:space="preserve"> 11158</f>
        <v>11158</v>
      </c>
      <c r="C102" s="30">
        <f t="shared" si="2"/>
        <v>10679.800437428523</v>
      </c>
      <c r="D102" s="30">
        <f t="shared" si="0"/>
        <v>3.5819527350108222</v>
      </c>
      <c r="E102" s="30">
        <f t="shared" si="3"/>
        <v>1.13054262838025</v>
      </c>
      <c r="F102" s="30">
        <f t="shared" si="4"/>
        <v>12221.349626042418</v>
      </c>
      <c r="G102" s="30">
        <f t="shared" si="1"/>
        <v>-1063.3496260424181</v>
      </c>
    </row>
    <row r="103" spans="1:7" ht="15" customHeight="1" x14ac:dyDescent="0.25">
      <c r="A103" s="27" t="s">
        <v>109</v>
      </c>
      <c r="B103" s="30">
        <f xml:space="preserve"> 13327</f>
        <v>13327</v>
      </c>
      <c r="C103" s="30">
        <f t="shared" si="2"/>
        <v>10703.867169891479</v>
      </c>
      <c r="D103" s="30">
        <f t="shared" si="0"/>
        <v>3.5819527350108222</v>
      </c>
      <c r="E103" s="30">
        <f t="shared" si="3"/>
        <v>1.23042912848497</v>
      </c>
      <c r="F103" s="30">
        <f t="shared" si="4"/>
        <v>13145.144883600591</v>
      </c>
      <c r="G103" s="30">
        <f t="shared" si="1"/>
        <v>181.85511639940887</v>
      </c>
    </row>
    <row r="104" spans="1:7" ht="15" customHeight="1" x14ac:dyDescent="0.25">
      <c r="A104" s="27" t="s">
        <v>110</v>
      </c>
      <c r="B104" s="30">
        <f xml:space="preserve"> 15167</f>
        <v>15167</v>
      </c>
      <c r="C104" s="30">
        <f t="shared" si="2"/>
        <v>10744.595615675789</v>
      </c>
      <c r="D104" s="30">
        <f t="shared" si="0"/>
        <v>3.5819527350108222</v>
      </c>
      <c r="E104" s="30">
        <f t="shared" si="3"/>
        <v>1.3819008428061601</v>
      </c>
      <c r="F104" s="30">
        <f t="shared" si="4"/>
        <v>14796.632966861625</v>
      </c>
      <c r="G104" s="30">
        <f t="shared" si="1"/>
        <v>370.36703313837461</v>
      </c>
    </row>
    <row r="105" spans="1:7" ht="15" customHeight="1" x14ac:dyDescent="0.25">
      <c r="A105" s="27" t="s">
        <v>111</v>
      </c>
      <c r="B105" s="30">
        <f xml:space="preserve"> 14777</f>
        <v>14777</v>
      </c>
      <c r="C105" s="30">
        <f t="shared" si="2"/>
        <v>10852.052745262718</v>
      </c>
      <c r="D105" s="30">
        <f t="shared" si="0"/>
        <v>3.5819527350108222</v>
      </c>
      <c r="E105" s="30">
        <f t="shared" si="3"/>
        <v>1.2852203618693101</v>
      </c>
      <c r="F105" s="30">
        <f t="shared" si="4"/>
        <v>13813.776663908529</v>
      </c>
      <c r="G105" s="30">
        <f t="shared" si="1"/>
        <v>963.22333609147063</v>
      </c>
    </row>
    <row r="106" spans="1:7" ht="15" customHeight="1" x14ac:dyDescent="0.25">
      <c r="A106" s="27" t="s">
        <v>112</v>
      </c>
      <c r="B106" s="30">
        <f xml:space="preserve"> 12486</f>
        <v>12486</v>
      </c>
      <c r="C106" s="30">
        <f t="shared" si="2"/>
        <v>10868.163154973385</v>
      </c>
      <c r="D106" s="30">
        <f t="shared" si="0"/>
        <v>3.5819527350108222</v>
      </c>
      <c r="E106" s="30">
        <f t="shared" si="3"/>
        <v>1.1406877679904901</v>
      </c>
      <c r="F106" s="30">
        <f t="shared" si="4"/>
        <v>12382.889713779146</v>
      </c>
      <c r="G106" s="30">
        <f t="shared" si="1"/>
        <v>103.1102862208536</v>
      </c>
    </row>
    <row r="107" spans="1:7" ht="15" customHeight="1" x14ac:dyDescent="0.25">
      <c r="A107" s="27" t="s">
        <v>113</v>
      </c>
      <c r="B107" s="30">
        <f xml:space="preserve"> 12014</f>
        <v>12014</v>
      </c>
      <c r="C107" s="30">
        <f t="shared" si="2"/>
        <v>10979.247358623674</v>
      </c>
      <c r="D107" s="30">
        <f t="shared" si="0"/>
        <v>3.5819527350108222</v>
      </c>
      <c r="E107" s="30">
        <f t="shared" si="3"/>
        <v>1.0314769480730599</v>
      </c>
      <c r="F107" s="30">
        <f t="shared" si="4"/>
        <v>11213.954463927275</v>
      </c>
      <c r="G107" s="30">
        <f t="shared" si="1"/>
        <v>800.04553607272464</v>
      </c>
    </row>
    <row r="108" spans="1:7" ht="15" customHeight="1" x14ac:dyDescent="0.25">
      <c r="A108" s="27" t="s">
        <v>114</v>
      </c>
      <c r="B108" s="30">
        <f xml:space="preserve"> 9619</f>
        <v>9619</v>
      </c>
      <c r="C108" s="30">
        <f t="shared" si="2"/>
        <v>11015.680702473494</v>
      </c>
      <c r="D108" s="30">
        <f t="shared" si="0"/>
        <v>3.5819527350108222</v>
      </c>
      <c r="E108" s="30">
        <f t="shared" si="3"/>
        <v>0.85731962540790396</v>
      </c>
      <c r="F108" s="30">
        <f t="shared" si="4"/>
        <v>9415.7951111329749</v>
      </c>
      <c r="G108" s="30">
        <f t="shared" si="1"/>
        <v>203.20488886702515</v>
      </c>
    </row>
    <row r="109" spans="1:7" ht="15" customHeight="1" x14ac:dyDescent="0.25">
      <c r="A109" s="27" t="s">
        <v>115</v>
      </c>
      <c r="B109" s="30">
        <f xml:space="preserve"> 7657</f>
        <v>7657</v>
      </c>
      <c r="C109" s="30">
        <f t="shared" si="2"/>
        <v>11103.967853360911</v>
      </c>
      <c r="D109" s="30">
        <f t="shared" si="0"/>
        <v>3.5819527350108222</v>
      </c>
      <c r="E109" s="30">
        <f t="shared" si="3"/>
        <v>0.658360141523892</v>
      </c>
      <c r="F109" s="30">
        <f t="shared" si="4"/>
        <v>7254.6433211720087</v>
      </c>
      <c r="G109" s="30">
        <f t="shared" si="1"/>
        <v>402.35667882799135</v>
      </c>
    </row>
    <row r="110" spans="1:7" ht="15" customHeight="1" x14ac:dyDescent="0.25">
      <c r="A110" s="27" t="s">
        <v>116</v>
      </c>
      <c r="B110" s="30">
        <f xml:space="preserve"> 7914</f>
        <v>7914</v>
      </c>
      <c r="C110" s="30">
        <f t="shared" si="2"/>
        <v>11076.090785284456</v>
      </c>
      <c r="D110" s="30">
        <f t="shared" si="0"/>
        <v>3.5819527350108222</v>
      </c>
      <c r="E110" s="30">
        <f t="shared" si="3"/>
        <v>0.72735144649296102</v>
      </c>
      <c r="F110" s="30">
        <f t="shared" si="4"/>
        <v>8079.0924184564774</v>
      </c>
      <c r="G110" s="30">
        <f t="shared" si="1"/>
        <v>-165.09241845647739</v>
      </c>
    </row>
    <row r="111" spans="1:7" ht="15" customHeight="1" x14ac:dyDescent="0.25">
      <c r="A111" s="27" t="s">
        <v>117</v>
      </c>
      <c r="B111" s="30">
        <f xml:space="preserve"> 7622</f>
        <v>7622</v>
      </c>
      <c r="C111" s="30">
        <f t="shared" si="2"/>
        <v>10959.161044273342</v>
      </c>
      <c r="D111" s="30">
        <f t="shared" si="0"/>
        <v>3.5819527350108222</v>
      </c>
      <c r="E111" s="30">
        <f t="shared" si="3"/>
        <v>0.746509980746207</v>
      </c>
      <c r="F111" s="30">
        <f t="shared" si="4"/>
        <v>8271.0862823331863</v>
      </c>
      <c r="G111" s="30">
        <f t="shared" si="1"/>
        <v>-649.08628233318632</v>
      </c>
    </row>
    <row r="112" spans="1:7" ht="15" customHeight="1" x14ac:dyDescent="0.25">
      <c r="A112" s="27" t="s">
        <v>118</v>
      </c>
      <c r="B112" s="30">
        <f xml:space="preserve"> 9501</f>
        <v>9501</v>
      </c>
      <c r="C112" s="30">
        <f t="shared" si="2"/>
        <v>10935.741390761392</v>
      </c>
      <c r="D112" s="30">
        <f t="shared" si="0"/>
        <v>3.5819527350108222</v>
      </c>
      <c r="E112" s="30">
        <f t="shared" si="3"/>
        <v>0.88234263026144499</v>
      </c>
      <c r="F112" s="30">
        <f t="shared" si="4"/>
        <v>9672.8954908605865</v>
      </c>
      <c r="G112" s="30">
        <f t="shared" si="1"/>
        <v>-171.89549086058651</v>
      </c>
    </row>
    <row r="113" spans="1:7" ht="15" customHeight="1" x14ac:dyDescent="0.25">
      <c r="A113" s="27" t="s">
        <v>119</v>
      </c>
      <c r="B113" s="30">
        <f xml:space="preserve"> 9487</f>
        <v>9487</v>
      </c>
      <c r="C113" s="30">
        <f t="shared" si="2"/>
        <v>10840.263597831114</v>
      </c>
      <c r="D113" s="30">
        <f t="shared" si="0"/>
        <v>3.5819527350108222</v>
      </c>
      <c r="E113" s="30">
        <f t="shared" si="3"/>
        <v>0.92785979022739895</v>
      </c>
      <c r="F113" s="30">
        <f t="shared" si="4"/>
        <v>10150.15826272626</v>
      </c>
      <c r="G113" s="30">
        <f t="shared" si="1"/>
        <v>-663.15826272625964</v>
      </c>
    </row>
    <row r="114" spans="1:7" ht="15" customHeight="1" x14ac:dyDescent="0.25">
      <c r="A114" s="27" t="s">
        <v>120</v>
      </c>
      <c r="B114" s="30">
        <f xml:space="preserve"> 12667</f>
        <v>12667</v>
      </c>
      <c r="C114" s="30">
        <f t="shared" si="2"/>
        <v>10893.811945608866</v>
      </c>
      <c r="D114" s="30">
        <f t="shared" si="0"/>
        <v>3.5819527350108222</v>
      </c>
      <c r="E114" s="30">
        <f t="shared" si="3"/>
        <v>1.13054262838025</v>
      </c>
      <c r="F114" s="30">
        <f t="shared" si="4"/>
        <v>12259.429650486505</v>
      </c>
      <c r="G114" s="30">
        <f t="shared" si="1"/>
        <v>407.57034951349488</v>
      </c>
    </row>
    <row r="115" spans="1:7" ht="15" customHeight="1" x14ac:dyDescent="0.25">
      <c r="A115" s="27" t="s">
        <v>121</v>
      </c>
      <c r="B115" s="30">
        <f xml:space="preserve"> 13970</f>
        <v>13970</v>
      </c>
      <c r="C115" s="30">
        <f t="shared" si="2"/>
        <v>10960.646451372064</v>
      </c>
      <c r="D115" s="30">
        <f t="shared" si="0"/>
        <v>3.5819527350108222</v>
      </c>
      <c r="E115" s="30">
        <f t="shared" si="3"/>
        <v>1.23042912848497</v>
      </c>
      <c r="F115" s="30">
        <f t="shared" si="4"/>
        <v>13408.470877096686</v>
      </c>
      <c r="G115" s="30">
        <f t="shared" si="1"/>
        <v>561.52912290331369</v>
      </c>
    </row>
    <row r="116" spans="1:7" ht="15" customHeight="1" x14ac:dyDescent="0.25">
      <c r="A116" s="27" t="s">
        <v>122</v>
      </c>
      <c r="B116" s="30">
        <f xml:space="preserve"> 15183</f>
        <v>15183</v>
      </c>
      <c r="C116" s="30">
        <f t="shared" si="2"/>
        <v>10967.390101547149</v>
      </c>
      <c r="D116" s="30">
        <f t="shared" si="0"/>
        <v>3.5819527350108222</v>
      </c>
      <c r="E116" s="30">
        <f t="shared" si="3"/>
        <v>1.3819008428061601</v>
      </c>
      <c r="F116" s="30">
        <f t="shared" si="4"/>
        <v>15151.476472354805</v>
      </c>
      <c r="G116" s="30">
        <f t="shared" si="1"/>
        <v>31.523527645194918</v>
      </c>
    </row>
    <row r="117" spans="1:7" ht="15" customHeight="1" x14ac:dyDescent="0.25">
      <c r="A117" s="27" t="s">
        <v>123</v>
      </c>
      <c r="B117" s="30">
        <f xml:space="preserve"> 14585</f>
        <v>14585</v>
      </c>
      <c r="C117" s="30">
        <f t="shared" si="2"/>
        <v>11023.262462320052</v>
      </c>
      <c r="D117" s="30">
        <f t="shared" si="0"/>
        <v>3.5819527350108222</v>
      </c>
      <c r="E117" s="30">
        <f t="shared" si="3"/>
        <v>1.2852203618693101</v>
      </c>
      <c r="F117" s="30">
        <f t="shared" si="4"/>
        <v>14100.116673662606</v>
      </c>
      <c r="G117" s="30">
        <f t="shared" si="1"/>
        <v>484.88332633739446</v>
      </c>
    </row>
    <row r="118" spans="1:7" ht="15" customHeight="1" x14ac:dyDescent="0.25">
      <c r="A118" s="27" t="s">
        <v>124</v>
      </c>
      <c r="B118" s="30">
        <f xml:space="preserve"> 13024</f>
        <v>13024</v>
      </c>
      <c r="C118" s="30">
        <f t="shared" si="2"/>
        <v>11081.013159125494</v>
      </c>
      <c r="D118" s="30">
        <f t="shared" si="0"/>
        <v>3.5819527350108222</v>
      </c>
      <c r="E118" s="30">
        <f t="shared" si="3"/>
        <v>1.1406877679904901</v>
      </c>
      <c r="F118" s="30">
        <f t="shared" si="4"/>
        <v>12578.18654378756</v>
      </c>
      <c r="G118" s="30">
        <f t="shared" si="1"/>
        <v>445.81345621243963</v>
      </c>
    </row>
    <row r="119" spans="1:7" ht="15" customHeight="1" x14ac:dyDescent="0.25">
      <c r="A119" s="27" t="s">
        <v>125</v>
      </c>
      <c r="B119" s="30">
        <f xml:space="preserve"> 11841</f>
        <v>11841</v>
      </c>
      <c r="C119" s="30">
        <f t="shared" si="2"/>
        <v>11139.350371502293</v>
      </c>
      <c r="D119" s="30">
        <f t="shared" si="0"/>
        <v>3.5819527350108222</v>
      </c>
      <c r="E119" s="30">
        <f t="shared" si="3"/>
        <v>1.0314769480730599</v>
      </c>
      <c r="F119" s="30">
        <f t="shared" si="4"/>
        <v>11433.504336607431</v>
      </c>
      <c r="G119" s="30">
        <f t="shared" si="1"/>
        <v>407.49566339256853</v>
      </c>
    </row>
    <row r="120" spans="1:7" ht="15" customHeight="1" x14ac:dyDescent="0.25">
      <c r="A120" s="27" t="s">
        <v>126</v>
      </c>
      <c r="B120" s="30">
        <f xml:space="preserve"> 9120</f>
        <v>9120</v>
      </c>
      <c r="C120" s="30">
        <f t="shared" si="2"/>
        <v>11072.921976522144</v>
      </c>
      <c r="D120" s="30">
        <f t="shared" si="0"/>
        <v>3.5819527350108222</v>
      </c>
      <c r="E120" s="30">
        <f t="shared" si="3"/>
        <v>0.85731962540790396</v>
      </c>
      <c r="F120" s="30">
        <f t="shared" si="4"/>
        <v>9553.0545661607484</v>
      </c>
      <c r="G120" s="30">
        <f t="shared" si="1"/>
        <v>-433.05456616074844</v>
      </c>
    </row>
    <row r="121" spans="1:7" ht="15" customHeight="1" x14ac:dyDescent="0.25">
      <c r="A121" s="27" t="s">
        <v>127</v>
      </c>
      <c r="B121" s="30">
        <f xml:space="preserve"> 7158</f>
        <v>7158</v>
      </c>
      <c r="C121" s="30">
        <f t="shared" si="2"/>
        <v>11048.224695233834</v>
      </c>
      <c r="D121" s="30">
        <f t="shared" si="0"/>
        <v>3.5819527350108222</v>
      </c>
      <c r="E121" s="30">
        <f t="shared" si="3"/>
        <v>0.658360141523892</v>
      </c>
      <c r="F121" s="30">
        <f t="shared" si="4"/>
        <v>7292.3286944556858</v>
      </c>
      <c r="G121" s="30">
        <f t="shared" si="1"/>
        <v>-134.32869445568576</v>
      </c>
    </row>
    <row r="122" spans="1:7" ht="15" customHeight="1" x14ac:dyDescent="0.25">
      <c r="A122" s="27" t="s">
        <v>128</v>
      </c>
      <c r="B122" s="30">
        <f xml:space="preserve"> 8923</f>
        <v>8923</v>
      </c>
      <c r="C122" s="30">
        <f t="shared" si="2"/>
        <v>11220.342600352684</v>
      </c>
      <c r="D122" s="30">
        <f t="shared" si="0"/>
        <v>3.5819527350108222</v>
      </c>
      <c r="E122" s="30">
        <f t="shared" si="3"/>
        <v>0.72735144649296102</v>
      </c>
      <c r="F122" s="30">
        <f t="shared" si="4"/>
        <v>8038.5475517606619</v>
      </c>
      <c r="G122" s="30">
        <f t="shared" si="1"/>
        <v>884.45244823933808</v>
      </c>
    </row>
    <row r="123" spans="1:7" ht="15" customHeight="1" x14ac:dyDescent="0.25">
      <c r="A123" s="27" t="s">
        <v>129</v>
      </c>
      <c r="B123" s="30">
        <f xml:space="preserve"> 9262</f>
        <v>9262</v>
      </c>
      <c r="C123" s="30">
        <f t="shared" si="2"/>
        <v>11387.907895596778</v>
      </c>
      <c r="D123" s="30">
        <f t="shared" si="0"/>
        <v>3.5819527350108222</v>
      </c>
      <c r="E123" s="30">
        <f t="shared" si="3"/>
        <v>0.746509980746207</v>
      </c>
      <c r="F123" s="30">
        <f t="shared" si="4"/>
        <v>8378.7717020223754</v>
      </c>
      <c r="G123" s="30">
        <f t="shared" si="1"/>
        <v>883.22829797762461</v>
      </c>
    </row>
    <row r="124" spans="1:7" ht="15" customHeight="1" x14ac:dyDescent="0.25">
      <c r="A124" s="27" t="s">
        <v>130</v>
      </c>
      <c r="B124" s="30">
        <f xml:space="preserve"> 8734</f>
        <v>8734</v>
      </c>
      <c r="C124" s="30">
        <f t="shared" si="2"/>
        <v>11184.582513643196</v>
      </c>
      <c r="D124" s="30">
        <f t="shared" si="0"/>
        <v>3.5819527350108222</v>
      </c>
      <c r="E124" s="30">
        <f t="shared" si="3"/>
        <v>0.88234263026144499</v>
      </c>
      <c r="F124" s="30">
        <f t="shared" si="4"/>
        <v>10051.197115373619</v>
      </c>
      <c r="G124" s="30">
        <f t="shared" si="1"/>
        <v>-1317.1971153736195</v>
      </c>
    </row>
    <row r="125" spans="1:7" ht="15" customHeight="1" x14ac:dyDescent="0.25">
      <c r="A125" s="27" t="s">
        <v>131</v>
      </c>
      <c r="B125" s="30">
        <f xml:space="preserve"> 10014</f>
        <v>10014</v>
      </c>
      <c r="C125" s="30">
        <f t="shared" si="2"/>
        <v>11133.336415349917</v>
      </c>
      <c r="D125" s="30">
        <f t="shared" si="0"/>
        <v>3.5819527350108222</v>
      </c>
      <c r="E125" s="30">
        <f t="shared" si="3"/>
        <v>0.92785979022739895</v>
      </c>
      <c r="F125" s="30">
        <f t="shared" si="4"/>
        <v>10381.047934803322</v>
      </c>
      <c r="G125" s="30">
        <f t="shared" si="1"/>
        <v>-367.04793480332228</v>
      </c>
    </row>
    <row r="126" spans="1:7" ht="15" customHeight="1" x14ac:dyDescent="0.25">
      <c r="A126" s="27" t="s">
        <v>132</v>
      </c>
      <c r="B126" s="30">
        <f xml:space="preserve"> 13052</f>
        <v>13052</v>
      </c>
      <c r="C126" s="30">
        <f t="shared" si="2"/>
        <v>11193.464316321508</v>
      </c>
      <c r="D126" s="30">
        <f t="shared" si="0"/>
        <v>3.5819527350108222</v>
      </c>
      <c r="E126" s="30">
        <f t="shared" si="3"/>
        <v>1.13054262838025</v>
      </c>
      <c r="F126" s="30">
        <f t="shared" si="4"/>
        <v>12590.760963911018</v>
      </c>
      <c r="G126" s="30">
        <f t="shared" si="1"/>
        <v>461.23903608898217</v>
      </c>
    </row>
    <row r="127" spans="1:7" ht="15" customHeight="1" x14ac:dyDescent="0.25">
      <c r="A127" s="27" t="s">
        <v>133</v>
      </c>
      <c r="B127" s="30">
        <f xml:space="preserve"> 14418</f>
        <v>14418</v>
      </c>
      <c r="C127" s="30">
        <f t="shared" si="2"/>
        <v>11269.231330943019</v>
      </c>
      <c r="D127" s="30">
        <f t="shared" si="0"/>
        <v>3.5819527350108222</v>
      </c>
      <c r="E127" s="30">
        <f t="shared" si="3"/>
        <v>1.23042912848497</v>
      </c>
      <c r="F127" s="30">
        <f t="shared" si="4"/>
        <v>13777.171882441096</v>
      </c>
      <c r="G127" s="30">
        <f t="shared" si="1"/>
        <v>640.82811755890361</v>
      </c>
    </row>
    <row r="128" spans="1:7" ht="15" customHeight="1" x14ac:dyDescent="0.25">
      <c r="A128" s="27" t="s">
        <v>134</v>
      </c>
      <c r="B128" s="30">
        <f xml:space="preserve"> 16075</f>
        <v>16075</v>
      </c>
      <c r="C128" s="30">
        <f t="shared" si="2"/>
        <v>11322.66962072696</v>
      </c>
      <c r="D128" s="30">
        <f t="shared" si="0"/>
        <v>3.5819527350108222</v>
      </c>
      <c r="E128" s="30">
        <f t="shared" si="3"/>
        <v>1.3819008428061601</v>
      </c>
      <c r="F128" s="30">
        <f t="shared" si="4"/>
        <v>15577.910177511147</v>
      </c>
      <c r="G128" s="30">
        <f t="shared" si="1"/>
        <v>497.08982248885332</v>
      </c>
    </row>
    <row r="129" spans="1:7" ht="15" customHeight="1" x14ac:dyDescent="0.25">
      <c r="A129" s="27" t="s">
        <v>135</v>
      </c>
      <c r="B129" s="30">
        <f xml:space="preserve"> 14566</f>
        <v>14566</v>
      </c>
      <c r="C129" s="30">
        <f t="shared" si="2"/>
        <v>11327.251353654667</v>
      </c>
      <c r="D129" s="30">
        <f t="shared" si="0"/>
        <v>3.5819527350108222</v>
      </c>
      <c r="E129" s="30">
        <f t="shared" si="3"/>
        <v>1.2852203618693101</v>
      </c>
      <c r="F129" s="30">
        <f t="shared" si="4"/>
        <v>14556.729145867635</v>
      </c>
      <c r="G129" s="30">
        <f t="shared" si="1"/>
        <v>9.2708541323645477</v>
      </c>
    </row>
    <row r="130" spans="1:7" ht="15" customHeight="1" x14ac:dyDescent="0.25">
      <c r="A130" s="27" t="s">
        <v>136</v>
      </c>
      <c r="B130" s="30">
        <f xml:space="preserve"> 11815</f>
        <v>11815</v>
      </c>
      <c r="C130" s="30">
        <f t="shared" si="2"/>
        <v>11195.969239466674</v>
      </c>
      <c r="D130" s="30">
        <f t="shared" si="0"/>
        <v>3.5819527350108222</v>
      </c>
      <c r="E130" s="30">
        <f t="shared" si="3"/>
        <v>1.1406877679904901</v>
      </c>
      <c r="F130" s="30">
        <f t="shared" si="4"/>
        <v>12924.942953737946</v>
      </c>
      <c r="G130" s="30">
        <f t="shared" si="1"/>
        <v>-1109.9429537379456</v>
      </c>
    </row>
    <row r="131" spans="1:7" ht="15" customHeight="1" x14ac:dyDescent="0.25">
      <c r="A131" s="27" t="s">
        <v>137</v>
      </c>
      <c r="B131" s="30">
        <f xml:space="preserve"> 12019</f>
        <v>12019</v>
      </c>
      <c r="C131" s="30">
        <f t="shared" si="2"/>
        <v>11262.291459796768</v>
      </c>
      <c r="D131" s="30">
        <f t="shared" si="0"/>
        <v>3.5819527350108222</v>
      </c>
      <c r="E131" s="30">
        <f t="shared" si="3"/>
        <v>1.0314769480730599</v>
      </c>
      <c r="F131" s="30">
        <f t="shared" si="4"/>
        <v>11552.078883520193</v>
      </c>
      <c r="G131" s="30">
        <f t="shared" si="1"/>
        <v>466.9211164798071</v>
      </c>
    </row>
    <row r="132" spans="1:7" ht="15" customHeight="1" x14ac:dyDescent="0.25">
      <c r="A132" s="27" t="s">
        <v>138</v>
      </c>
      <c r="B132" s="30">
        <f xml:space="preserve"> 9754</f>
        <v>9754</v>
      </c>
      <c r="C132" s="30">
        <f t="shared" si="2"/>
        <v>11281.319924419422</v>
      </c>
      <c r="D132" s="30">
        <f t="shared" si="0"/>
        <v>3.5819527350108222</v>
      </c>
      <c r="E132" s="30">
        <f t="shared" si="3"/>
        <v>0.85731962540790396</v>
      </c>
      <c r="F132" s="30">
        <f t="shared" si="4"/>
        <v>9658.4543739246092</v>
      </c>
      <c r="G132" s="30">
        <f t="shared" si="1"/>
        <v>95.545626075390828</v>
      </c>
    </row>
    <row r="133" spans="1:7" ht="15" customHeight="1" x14ac:dyDescent="0.25">
      <c r="A133" s="27" t="s">
        <v>139</v>
      </c>
      <c r="B133" s="30">
        <f xml:space="preserve"> 6934</f>
        <v>6934</v>
      </c>
      <c r="C133" s="30">
        <f t="shared" si="2"/>
        <v>11180.581668477105</v>
      </c>
      <c r="D133" s="30">
        <f t="shared" si="0"/>
        <v>3.5819527350108222</v>
      </c>
      <c r="E133" s="30">
        <f t="shared" si="3"/>
        <v>0.658360141523892</v>
      </c>
      <c r="F133" s="30">
        <f t="shared" si="4"/>
        <v>7429.5295969266263</v>
      </c>
      <c r="G133" s="30">
        <f t="shared" si="1"/>
        <v>-495.52959692662625</v>
      </c>
    </row>
    <row r="134" spans="1:7" ht="15" customHeight="1" x14ac:dyDescent="0.25">
      <c r="A134" s="27" t="s">
        <v>140</v>
      </c>
      <c r="B134" s="30">
        <f xml:space="preserve"> 7675</f>
        <v>7675</v>
      </c>
      <c r="C134" s="30">
        <f t="shared" si="2"/>
        <v>11096.543540312838</v>
      </c>
      <c r="D134" s="30">
        <f t="shared" si="0"/>
        <v>3.5819527350108222</v>
      </c>
      <c r="E134" s="30">
        <f t="shared" si="3"/>
        <v>0.72735144649296102</v>
      </c>
      <c r="F134" s="30">
        <f t="shared" si="4"/>
        <v>8134.8175877025851</v>
      </c>
      <c r="G134" s="30">
        <f t="shared" si="1"/>
        <v>-459.81758770258512</v>
      </c>
    </row>
    <row r="135" spans="1:7" ht="15" customHeight="1" x14ac:dyDescent="0.25">
      <c r="A135" s="27" t="s">
        <v>141</v>
      </c>
      <c r="B135" s="30">
        <f xml:space="preserve"> 8528</f>
        <v>8528</v>
      </c>
      <c r="C135" s="30">
        <f t="shared" si="2"/>
        <v>11144.990271627516</v>
      </c>
      <c r="D135" s="30">
        <f t="shared" si="0"/>
        <v>3.5819527350108222</v>
      </c>
      <c r="E135" s="30">
        <f t="shared" si="3"/>
        <v>0.746509980746207</v>
      </c>
      <c r="F135" s="30">
        <f t="shared" si="4"/>
        <v>8286.3544680956311</v>
      </c>
      <c r="G135" s="30">
        <f t="shared" si="1"/>
        <v>241.64553190436891</v>
      </c>
    </row>
    <row r="136" spans="1:7" ht="15" customHeight="1" x14ac:dyDescent="0.25">
      <c r="A136" s="27" t="s">
        <v>142</v>
      </c>
      <c r="B136" s="30">
        <f xml:space="preserve"> 10118</f>
        <v>10118</v>
      </c>
      <c r="C136" s="30">
        <f t="shared" si="2"/>
        <v>11192.734040118119</v>
      </c>
      <c r="D136" s="30">
        <f t="shared" si="0"/>
        <v>3.5819527350108222</v>
      </c>
      <c r="E136" s="30">
        <f t="shared" si="3"/>
        <v>0.88234263026144499</v>
      </c>
      <c r="F136" s="30">
        <f t="shared" si="4"/>
        <v>9836.8605401037203</v>
      </c>
      <c r="G136" s="30">
        <f t="shared" si="1"/>
        <v>281.13945989627973</v>
      </c>
    </row>
    <row r="137" spans="1:7" ht="15" customHeight="1" x14ac:dyDescent="0.25">
      <c r="A137" s="27" t="s">
        <v>143</v>
      </c>
      <c r="B137" s="30">
        <f xml:space="preserve"> 11197</f>
        <v>11197</v>
      </c>
      <c r="C137" s="30">
        <f t="shared" si="2"/>
        <v>11317.069624043095</v>
      </c>
      <c r="D137" s="30">
        <f t="shared" si="0"/>
        <v>3.5819527350108222</v>
      </c>
      <c r="E137" s="30">
        <f t="shared" si="3"/>
        <v>0.92785979022739895</v>
      </c>
      <c r="F137" s="30">
        <f t="shared" si="4"/>
        <v>10388.611408448376</v>
      </c>
      <c r="G137" s="30">
        <f t="shared" si="1"/>
        <v>808.3885915516239</v>
      </c>
    </row>
    <row r="138" spans="1:7" ht="15" customHeight="1" x14ac:dyDescent="0.25">
      <c r="A138" s="27" t="s">
        <v>144</v>
      </c>
      <c r="B138" s="30">
        <f xml:space="preserve"> 12917</f>
        <v>12917</v>
      </c>
      <c r="C138" s="30">
        <f t="shared" si="2"/>
        <v>11335.181725231938</v>
      </c>
      <c r="D138" s="30">
        <f t="shared" si="0"/>
        <v>3.5819527350108222</v>
      </c>
      <c r="E138" s="30">
        <f t="shared" si="3"/>
        <v>1.13054262838025</v>
      </c>
      <c r="F138" s="30">
        <f t="shared" si="4"/>
        <v>12798.47918858774</v>
      </c>
      <c r="G138" s="30">
        <f t="shared" si="1"/>
        <v>118.52081141225972</v>
      </c>
    </row>
    <row r="139" spans="1:7" ht="15" customHeight="1" x14ac:dyDescent="0.25">
      <c r="A139" s="27" t="s">
        <v>145</v>
      </c>
      <c r="B139" s="30">
        <f xml:space="preserve"> 13052</f>
        <v>13052</v>
      </c>
      <c r="C139" s="30">
        <f t="shared" si="2"/>
        <v>11237.435852793362</v>
      </c>
      <c r="D139" s="30">
        <f t="shared" si="0"/>
        <v>3.5819527350108222</v>
      </c>
      <c r="E139" s="30">
        <f t="shared" si="3"/>
        <v>1.23042912848497</v>
      </c>
      <c r="F139" s="30">
        <f t="shared" si="4"/>
        <v>13951.545110377905</v>
      </c>
      <c r="G139" s="30">
        <f t="shared" si="1"/>
        <v>-899.54511037790508</v>
      </c>
    </row>
    <row r="140" spans="1:7" ht="15" customHeight="1" x14ac:dyDescent="0.25">
      <c r="A140" s="27" t="s">
        <v>146</v>
      </c>
      <c r="B140" s="30">
        <f xml:space="preserve"> 14445</f>
        <v>14445</v>
      </c>
      <c r="C140" s="30">
        <f t="shared" si="2"/>
        <v>11131.797798220836</v>
      </c>
      <c r="D140" s="30">
        <f t="shared" si="0"/>
        <v>3.5819527350108222</v>
      </c>
      <c r="E140" s="30">
        <f t="shared" si="3"/>
        <v>1.3819008428061601</v>
      </c>
      <c r="F140" s="30">
        <f t="shared" si="4"/>
        <v>15533.971979458711</v>
      </c>
      <c r="G140" s="30">
        <f t="shared" si="1"/>
        <v>-1088.9719794587108</v>
      </c>
    </row>
    <row r="141" spans="1:7" ht="15" customHeight="1" x14ac:dyDescent="0.25">
      <c r="A141" s="27" t="s">
        <v>147</v>
      </c>
      <c r="B141" s="30">
        <f xml:space="preserve"> 14451</f>
        <v>14451</v>
      </c>
      <c r="C141" s="30">
        <f t="shared" si="2"/>
        <v>11150.432573869854</v>
      </c>
      <c r="D141" s="30">
        <f t="shared" si="0"/>
        <v>3.5819527350108222</v>
      </c>
      <c r="E141" s="30">
        <f t="shared" si="3"/>
        <v>1.2852203618693101</v>
      </c>
      <c r="F141" s="30">
        <f t="shared" si="4"/>
        <v>14311.416793075661</v>
      </c>
      <c r="G141" s="30">
        <f t="shared" si="1"/>
        <v>139.58320692433881</v>
      </c>
    </row>
    <row r="142" spans="1:7" ht="15" customHeight="1" x14ac:dyDescent="0.25">
      <c r="A142" s="27" t="s">
        <v>148</v>
      </c>
      <c r="B142" s="30">
        <f xml:space="preserve"> 12037</f>
        <v>12037</v>
      </c>
      <c r="C142" s="30">
        <f t="shared" si="2"/>
        <v>11070.631694135262</v>
      </c>
      <c r="D142" s="30">
        <f t="shared" si="0"/>
        <v>3.5819527350108222</v>
      </c>
      <c r="E142" s="30">
        <f t="shared" si="3"/>
        <v>1.1406877679904901</v>
      </c>
      <c r="F142" s="30">
        <f t="shared" si="4"/>
        <v>12723.247934486406</v>
      </c>
      <c r="G142" s="30">
        <f t="shared" si="1"/>
        <v>-686.24793448640594</v>
      </c>
    </row>
    <row r="143" spans="1:7" ht="15" customHeight="1" x14ac:dyDescent="0.25">
      <c r="A143" s="27" t="s">
        <v>149</v>
      </c>
      <c r="B143" s="30">
        <f xml:space="preserve"> 10517</f>
        <v>10517</v>
      </c>
      <c r="C143" s="30">
        <f t="shared" si="2"/>
        <v>10952.501675902451</v>
      </c>
      <c r="D143" s="30">
        <f t="shared" si="0"/>
        <v>3.5819527350108222</v>
      </c>
      <c r="E143" s="30">
        <f t="shared" si="3"/>
        <v>1.0314769480730599</v>
      </c>
      <c r="F143" s="30">
        <f t="shared" si="4"/>
        <v>11422.79609478278</v>
      </c>
      <c r="G143" s="30">
        <f t="shared" si="1"/>
        <v>-905.79609478277962</v>
      </c>
    </row>
    <row r="144" spans="1:7" ht="15" customHeight="1" x14ac:dyDescent="0.25">
      <c r="A144" s="27" t="s">
        <v>150</v>
      </c>
      <c r="B144" s="30">
        <f xml:space="preserve"> 10013</f>
        <v>10013</v>
      </c>
      <c r="C144" s="30">
        <f t="shared" si="2"/>
        <v>11056.338502957486</v>
      </c>
      <c r="D144" s="30">
        <f t="shared" si="0"/>
        <v>3.5819527350108222</v>
      </c>
      <c r="E144" s="30">
        <f t="shared" si="3"/>
        <v>0.85731962540790396</v>
      </c>
      <c r="F144" s="30">
        <f t="shared" si="4"/>
        <v>9392.865512441138</v>
      </c>
      <c r="G144" s="30">
        <f t="shared" si="1"/>
        <v>620.13448755886202</v>
      </c>
    </row>
    <row r="145" spans="1:7" ht="15" customHeight="1" x14ac:dyDescent="0.25">
      <c r="A145" s="27" t="s">
        <v>151</v>
      </c>
      <c r="B145" s="30">
        <f xml:space="preserve"> 7375</f>
        <v>7375</v>
      </c>
      <c r="C145" s="30">
        <f t="shared" si="2"/>
        <v>11079.62310373724</v>
      </c>
      <c r="D145" s="30">
        <f t="shared" si="0"/>
        <v>3.5819527350108222</v>
      </c>
      <c r="E145" s="30">
        <f t="shared" si="3"/>
        <v>0.658360141523892</v>
      </c>
      <c r="F145" s="30">
        <f t="shared" si="4"/>
        <v>7281.4107964526993</v>
      </c>
      <c r="G145" s="30">
        <f t="shared" si="1"/>
        <v>93.589203547300713</v>
      </c>
    </row>
    <row r="146" spans="1:7" ht="15" customHeight="1" x14ac:dyDescent="0.25">
      <c r="A146" s="27" t="s">
        <v>152</v>
      </c>
      <c r="B146" s="30">
        <f xml:space="preserve"> 8185</f>
        <v>8185</v>
      </c>
      <c r="C146" s="30">
        <f t="shared" si="2"/>
        <v>11106.760345508997</v>
      </c>
      <c r="D146" s="30">
        <f t="shared" si="0"/>
        <v>3.5819527350108222</v>
      </c>
      <c r="E146" s="30">
        <f t="shared" si="3"/>
        <v>0.72735144649296102</v>
      </c>
      <c r="F146" s="30">
        <f t="shared" si="4"/>
        <v>8061.385229603191</v>
      </c>
      <c r="G146" s="30">
        <f t="shared" si="1"/>
        <v>123.61477039680904</v>
      </c>
    </row>
    <row r="147" spans="1:7" ht="15" customHeight="1" x14ac:dyDescent="0.25">
      <c r="A147" s="27" t="s">
        <v>153</v>
      </c>
      <c r="B147" s="30">
        <f xml:space="preserve"> 8498</f>
        <v>8498</v>
      </c>
      <c r="C147" s="30">
        <f t="shared" si="2"/>
        <v>11148.221122501511</v>
      </c>
      <c r="D147" s="30">
        <f t="shared" si="0"/>
        <v>3.5819527350108222</v>
      </c>
      <c r="E147" s="30">
        <f t="shared" si="3"/>
        <v>0.746509980746207</v>
      </c>
      <c r="F147" s="30">
        <f t="shared" si="4"/>
        <v>8293.9814151459032</v>
      </c>
      <c r="G147" s="30">
        <f t="shared" si="1"/>
        <v>204.01858485409684</v>
      </c>
    </row>
    <row r="148" spans="1:7" ht="15" customHeight="1" x14ac:dyDescent="0.25">
      <c r="A148" s="27" t="s">
        <v>154</v>
      </c>
      <c r="B148" s="30">
        <f xml:space="preserve"> 9690</f>
        <v>9690</v>
      </c>
      <c r="C148" s="30">
        <f t="shared" si="2"/>
        <v>11128.286202238956</v>
      </c>
      <c r="D148" s="30">
        <f t="shared" si="0"/>
        <v>3.5819527350108222</v>
      </c>
      <c r="E148" s="30">
        <f t="shared" si="3"/>
        <v>0.88234263026144499</v>
      </c>
      <c r="F148" s="30">
        <f t="shared" si="4"/>
        <v>9839.711257561863</v>
      </c>
      <c r="G148" s="30">
        <f t="shared" si="1"/>
        <v>-149.71125756186302</v>
      </c>
    </row>
    <row r="149" spans="1:7" ht="15" customHeight="1" x14ac:dyDescent="0.25">
      <c r="A149" s="27" t="s">
        <v>155</v>
      </c>
      <c r="B149" s="30">
        <f xml:space="preserve"> 10048</f>
        <v>10048</v>
      </c>
      <c r="C149" s="30">
        <f t="shared" si="2"/>
        <v>11089.921532011809</v>
      </c>
      <c r="D149" s="30">
        <f t="shared" si="0"/>
        <v>3.5819527350108222</v>
      </c>
      <c r="E149" s="30">
        <f t="shared" si="3"/>
        <v>0.92785979022739895</v>
      </c>
      <c r="F149" s="30">
        <f t="shared" si="4"/>
        <v>10328.812851113207</v>
      </c>
      <c r="G149" s="30">
        <f t="shared" si="1"/>
        <v>-280.81285111320722</v>
      </c>
    </row>
    <row r="150" spans="1:7" ht="15" customHeight="1" x14ac:dyDescent="0.25">
      <c r="A150" s="27" t="s">
        <v>156</v>
      </c>
      <c r="B150" s="30">
        <f xml:space="preserve"> 12811</f>
        <v>12811</v>
      </c>
      <c r="C150" s="30">
        <f t="shared" si="2"/>
        <v>11126.521146855835</v>
      </c>
      <c r="D150" s="30">
        <f t="shared" si="0"/>
        <v>3.5819527350108222</v>
      </c>
      <c r="E150" s="30">
        <f t="shared" si="3"/>
        <v>1.13054262838025</v>
      </c>
      <c r="F150" s="30">
        <f t="shared" si="4"/>
        <v>12541.678587591132</v>
      </c>
      <c r="G150" s="30">
        <f t="shared" si="1"/>
        <v>269.32141240886813</v>
      </c>
    </row>
    <row r="151" spans="1:7" ht="15" customHeight="1" x14ac:dyDescent="0.25">
      <c r="A151" s="27" t="s">
        <v>157</v>
      </c>
      <c r="B151" s="30">
        <f xml:space="preserve"> 11745</f>
        <v>11745</v>
      </c>
      <c r="C151" s="30">
        <f t="shared" si="2"/>
        <v>10910.470642051201</v>
      </c>
      <c r="D151" s="30">
        <f t="shared" ref="D151:D201" si="5">$B$10*(C151-C150)+(1-$B$10)*D150</f>
        <v>3.5819527350108222</v>
      </c>
      <c r="E151" s="30">
        <f t="shared" si="3"/>
        <v>1.23042912848497</v>
      </c>
      <c r="F151" s="30">
        <f t="shared" si="4"/>
        <v>13694.803056777428</v>
      </c>
      <c r="G151" s="30">
        <f t="shared" ref="G151:G201" si="6">B151-F151</f>
        <v>-1949.8030567774276</v>
      </c>
    </row>
    <row r="152" spans="1:7" ht="15" customHeight="1" x14ac:dyDescent="0.25">
      <c r="A152" s="27" t="s">
        <v>158</v>
      </c>
      <c r="B152" s="30">
        <f xml:space="preserve"> 16120</f>
        <v>16120</v>
      </c>
      <c r="C152" s="30">
        <f t="shared" si="2"/>
        <v>11018.146405304702</v>
      </c>
      <c r="D152" s="30">
        <f t="shared" si="5"/>
        <v>3.5819527350108222</v>
      </c>
      <c r="E152" s="30">
        <f t="shared" si="3"/>
        <v>1.3819008428061601</v>
      </c>
      <c r="F152" s="30">
        <f t="shared" si="4"/>
        <v>15082.138479165824</v>
      </c>
      <c r="G152" s="30">
        <f t="shared" si="6"/>
        <v>1037.8615208341762</v>
      </c>
    </row>
    <row r="153" spans="1:7" ht="15" customHeight="1" x14ac:dyDescent="0.25">
      <c r="A153" s="27" t="s">
        <v>159</v>
      </c>
      <c r="B153" s="30">
        <f xml:space="preserve"> 13229</f>
        <v>13229</v>
      </c>
      <c r="C153" s="30">
        <f t="shared" si="2"/>
        <v>10920.751265867295</v>
      </c>
      <c r="D153" s="30">
        <f t="shared" si="5"/>
        <v>3.5819527350108222</v>
      </c>
      <c r="E153" s="30">
        <f t="shared" si="3"/>
        <v>1.2852203618693101</v>
      </c>
      <c r="F153" s="30">
        <f t="shared" si="4"/>
        <v>14165.349708745036</v>
      </c>
      <c r="G153" s="30">
        <f t="shared" si="6"/>
        <v>-936.34970874503597</v>
      </c>
    </row>
    <row r="154" spans="1:7" ht="15" customHeight="1" x14ac:dyDescent="0.25">
      <c r="A154" s="27" t="s">
        <v>160</v>
      </c>
      <c r="B154" s="30">
        <f xml:space="preserve"> 12419</f>
        <v>12419</v>
      </c>
      <c r="C154" s="30">
        <f t="shared" si="2"/>
        <v>10919.199217245661</v>
      </c>
      <c r="D154" s="30">
        <f t="shared" si="5"/>
        <v>3.5819527350108222</v>
      </c>
      <c r="E154" s="30">
        <f t="shared" si="3"/>
        <v>1.1406877679904901</v>
      </c>
      <c r="F154" s="30">
        <f t="shared" si="4"/>
        <v>12461.253275911831</v>
      </c>
      <c r="G154" s="30">
        <f t="shared" si="6"/>
        <v>-42.253275911831224</v>
      </c>
    </row>
    <row r="155" spans="1:7" ht="15" customHeight="1" x14ac:dyDescent="0.25">
      <c r="A155" s="27" t="s">
        <v>161</v>
      </c>
      <c r="B155" s="30">
        <f xml:space="preserve"> 11209</f>
        <v>11209</v>
      </c>
      <c r="C155" s="30">
        <f t="shared" si="2"/>
        <v>10915.041853494893</v>
      </c>
      <c r="D155" s="30">
        <f t="shared" si="5"/>
        <v>3.5819527350108222</v>
      </c>
      <c r="E155" s="30">
        <f t="shared" si="3"/>
        <v>1.0314769480730599</v>
      </c>
      <c r="F155" s="30">
        <f t="shared" si="4"/>
        <v>11266.59698568155</v>
      </c>
      <c r="G155" s="30">
        <f t="shared" si="6"/>
        <v>-57.596985681549995</v>
      </c>
    </row>
    <row r="156" spans="1:7" ht="15" customHeight="1" x14ac:dyDescent="0.25">
      <c r="A156" s="27" t="s">
        <v>162</v>
      </c>
      <c r="B156" s="30">
        <f xml:space="preserve"> 10227</f>
        <v>10227</v>
      </c>
      <c r="C156" s="30">
        <f t="shared" si="2"/>
        <v>11058.667198992531</v>
      </c>
      <c r="D156" s="30">
        <f t="shared" si="5"/>
        <v>3.5819527350108222</v>
      </c>
      <c r="E156" s="30">
        <f t="shared" si="3"/>
        <v>0.85731962540790396</v>
      </c>
      <c r="F156" s="30">
        <f t="shared" si="4"/>
        <v>9360.7504715268442</v>
      </c>
      <c r="G156" s="30">
        <f t="shared" si="6"/>
        <v>866.24952847315581</v>
      </c>
    </row>
    <row r="157" spans="1:7" ht="15" customHeight="1" x14ac:dyDescent="0.25">
      <c r="A157" s="27" t="s">
        <v>163</v>
      </c>
      <c r="B157" s="30">
        <f xml:space="preserve"> 7275</f>
        <v>7275</v>
      </c>
      <c r="C157" s="30">
        <f t="shared" si="2"/>
        <v>11060.576777170838</v>
      </c>
      <c r="D157" s="30">
        <f t="shared" si="5"/>
        <v>3.5819527350108222</v>
      </c>
      <c r="E157" s="30">
        <f t="shared" si="3"/>
        <v>0.658360141523892</v>
      </c>
      <c r="F157" s="30">
        <f t="shared" si="4"/>
        <v>7282.9439171038985</v>
      </c>
      <c r="G157" s="30">
        <f t="shared" si="6"/>
        <v>-7.9439171038984568</v>
      </c>
    </row>
    <row r="158" spans="1:7" ht="15" customHeight="1" x14ac:dyDescent="0.25">
      <c r="A158" s="27" t="s">
        <v>164</v>
      </c>
      <c r="B158" s="30">
        <f xml:space="preserve"> 8200</f>
        <v>8200</v>
      </c>
      <c r="C158" s="30">
        <f t="shared" si="2"/>
        <v>11093.212144633577</v>
      </c>
      <c r="D158" s="30">
        <f t="shared" si="5"/>
        <v>3.5819527350108222</v>
      </c>
      <c r="E158" s="30">
        <f t="shared" si="3"/>
        <v>0.72735144649296102</v>
      </c>
      <c r="F158" s="30">
        <f t="shared" si="4"/>
        <v>8047.5318564247409</v>
      </c>
      <c r="G158" s="30">
        <f t="shared" si="6"/>
        <v>152.46814357525909</v>
      </c>
    </row>
    <row r="159" spans="1:7" ht="15" customHeight="1" x14ac:dyDescent="0.25">
      <c r="A159" s="27" t="s">
        <v>165</v>
      </c>
      <c r="B159" s="30">
        <f xml:space="preserve"> 7470</f>
        <v>7470</v>
      </c>
      <c r="C159" s="30">
        <f t="shared" si="2"/>
        <v>10945.688521175447</v>
      </c>
      <c r="D159" s="30">
        <f t="shared" si="5"/>
        <v>3.5819527350108222</v>
      </c>
      <c r="E159" s="30">
        <f t="shared" si="3"/>
        <v>0.746509980746207</v>
      </c>
      <c r="F159" s="30">
        <f t="shared" si="4"/>
        <v>8283.8675479712474</v>
      </c>
      <c r="G159" s="30">
        <f t="shared" si="6"/>
        <v>-813.8675479712474</v>
      </c>
    </row>
    <row r="160" spans="1:7" ht="15" customHeight="1" x14ac:dyDescent="0.25">
      <c r="A160" s="27" t="s">
        <v>166</v>
      </c>
      <c r="B160" s="30">
        <f xml:space="preserve"> 10347</f>
        <v>10347</v>
      </c>
      <c r="C160" s="30">
        <f t="shared" si="2"/>
        <v>11057.027127828569</v>
      </c>
      <c r="D160" s="30">
        <f t="shared" si="5"/>
        <v>3.5819527350108222</v>
      </c>
      <c r="E160" s="30">
        <f t="shared" si="3"/>
        <v>0.88234263026144499</v>
      </c>
      <c r="F160" s="30">
        <f t="shared" si="4"/>
        <v>9661.0081093941317</v>
      </c>
      <c r="G160" s="30">
        <f t="shared" si="6"/>
        <v>685.99189060586832</v>
      </c>
    </row>
    <row r="161" spans="1:7" ht="15" customHeight="1" x14ac:dyDescent="0.25">
      <c r="A161" s="27" t="s">
        <v>167</v>
      </c>
      <c r="B161" s="30">
        <f xml:space="preserve"> 10090</f>
        <v>10090</v>
      </c>
      <c r="C161" s="30">
        <f t="shared" si="2"/>
        <v>11034.81272634282</v>
      </c>
      <c r="D161" s="30">
        <f t="shared" si="5"/>
        <v>3.5819527350108222</v>
      </c>
      <c r="E161" s="30">
        <f t="shared" si="3"/>
        <v>0.92785979022739895</v>
      </c>
      <c r="F161" s="30">
        <f t="shared" si="4"/>
        <v>10262.694421278988</v>
      </c>
      <c r="G161" s="30">
        <f t="shared" si="6"/>
        <v>-172.69442127898765</v>
      </c>
    </row>
    <row r="162" spans="1:7" ht="15" customHeight="1" x14ac:dyDescent="0.25">
      <c r="A162" s="27" t="s">
        <v>168</v>
      </c>
      <c r="B162" s="30">
        <f xml:space="preserve"> 12014</f>
        <v>12014</v>
      </c>
      <c r="C162" s="30">
        <f t="shared" ref="C162:C201" si="7">$B$9*B162/E150+(1-$B$9)*(C161+D161)</f>
        <v>10981.341589285403</v>
      </c>
      <c r="D162" s="30">
        <f t="shared" si="5"/>
        <v>3.5819527350108222</v>
      </c>
      <c r="E162" s="30">
        <f t="shared" ref="E162:E201" si="8">$B$11*(B162/C162)+(1-$B$11)*E150</f>
        <v>1.13054262838025</v>
      </c>
      <c r="F162" s="30">
        <f t="shared" ref="F162:F201" si="9">(C161+D161)*E150</f>
        <v>12479.375733583216</v>
      </c>
      <c r="G162" s="30">
        <f t="shared" si="6"/>
        <v>-465.37573358321606</v>
      </c>
    </row>
    <row r="163" spans="1:7" ht="15" customHeight="1" x14ac:dyDescent="0.25">
      <c r="A163" s="27" t="s">
        <v>169</v>
      </c>
      <c r="B163" s="30">
        <f xml:space="preserve"> 13217</f>
        <v>13217</v>
      </c>
      <c r="C163" s="30">
        <f t="shared" si="7"/>
        <v>10951.224025450021</v>
      </c>
      <c r="D163" s="30">
        <f t="shared" si="5"/>
        <v>3.5819527350108222</v>
      </c>
      <c r="E163" s="30">
        <f t="shared" si="8"/>
        <v>1.23042912848497</v>
      </c>
      <c r="F163" s="30">
        <f t="shared" si="9"/>
        <v>13516.169900282206</v>
      </c>
      <c r="G163" s="30">
        <f t="shared" si="6"/>
        <v>-299.16990028220607</v>
      </c>
    </row>
    <row r="164" spans="1:7" ht="15" customHeight="1" x14ac:dyDescent="0.25">
      <c r="A164" s="27" t="s">
        <v>170</v>
      </c>
      <c r="B164" s="30">
        <f xml:space="preserve"> 15777</f>
        <v>15777</v>
      </c>
      <c r="C164" s="30">
        <f t="shared" si="7"/>
        <v>11018.849703659303</v>
      </c>
      <c r="D164" s="30">
        <f t="shared" si="5"/>
        <v>3.5819527350108222</v>
      </c>
      <c r="E164" s="30">
        <f t="shared" si="8"/>
        <v>1.3819008428061601</v>
      </c>
      <c r="F164" s="30">
        <f t="shared" si="9"/>
        <v>15138.455614031856</v>
      </c>
      <c r="G164" s="30">
        <f t="shared" si="6"/>
        <v>638.54438596814362</v>
      </c>
    </row>
    <row r="165" spans="1:7" ht="15" customHeight="1" x14ac:dyDescent="0.25">
      <c r="A165" s="27" t="s">
        <v>171</v>
      </c>
      <c r="B165" s="30">
        <f xml:space="preserve"> 14014</f>
        <v>14014</v>
      </c>
      <c r="C165" s="30">
        <f t="shared" si="7"/>
        <v>11006.012442642932</v>
      </c>
      <c r="D165" s="30">
        <f t="shared" si="5"/>
        <v>3.5819527350108222</v>
      </c>
      <c r="E165" s="30">
        <f t="shared" si="8"/>
        <v>1.2852203618693101</v>
      </c>
      <c r="F165" s="30">
        <f t="shared" si="9"/>
        <v>14166.253602110839</v>
      </c>
      <c r="G165" s="30">
        <f t="shared" si="6"/>
        <v>-152.25360211083898</v>
      </c>
    </row>
    <row r="166" spans="1:7" ht="15" customHeight="1" x14ac:dyDescent="0.25">
      <c r="A166" s="27" t="s">
        <v>172</v>
      </c>
      <c r="B166" s="30">
        <f xml:space="preserve"> 11875</f>
        <v>11875</v>
      </c>
      <c r="C166" s="30">
        <f t="shared" si="7"/>
        <v>10926.544278378542</v>
      </c>
      <c r="D166" s="30">
        <f t="shared" si="5"/>
        <v>3.5819527350108222</v>
      </c>
      <c r="E166" s="30">
        <f t="shared" si="8"/>
        <v>1.1406877679904901</v>
      </c>
      <c r="F166" s="30">
        <f t="shared" si="9"/>
        <v>12558.509657344275</v>
      </c>
      <c r="G166" s="30">
        <f t="shared" si="6"/>
        <v>-683.50965734427518</v>
      </c>
    </row>
    <row r="167" spans="1:7" ht="15" customHeight="1" x14ac:dyDescent="0.25">
      <c r="A167" s="27" t="s">
        <v>173</v>
      </c>
      <c r="B167" s="30">
        <f xml:space="preserve"> 11140</f>
        <v>11140</v>
      </c>
      <c r="C167" s="30">
        <f t="shared" si="7"/>
        <v>10912.09734974817</v>
      </c>
      <c r="D167" s="30">
        <f t="shared" si="5"/>
        <v>3.5819527350108222</v>
      </c>
      <c r="E167" s="30">
        <f t="shared" si="8"/>
        <v>1.0314769480730599</v>
      </c>
      <c r="F167" s="30">
        <f t="shared" si="9"/>
        <v>11274.173246922304</v>
      </c>
      <c r="G167" s="30">
        <f t="shared" si="6"/>
        <v>-134.17324692230432</v>
      </c>
    </row>
    <row r="168" spans="1:7" ht="15" customHeight="1" x14ac:dyDescent="0.25">
      <c r="A168" s="27" t="s">
        <v>174</v>
      </c>
      <c r="B168" s="30">
        <f xml:space="preserve"> 9117</f>
        <v>9117</v>
      </c>
      <c r="C168" s="30">
        <f t="shared" si="7"/>
        <v>10876.681162742876</v>
      </c>
      <c r="D168" s="30">
        <f t="shared" si="5"/>
        <v>3.5819527350108222</v>
      </c>
      <c r="E168" s="30">
        <f t="shared" si="8"/>
        <v>0.85731962540790396</v>
      </c>
      <c r="F168" s="30">
        <f t="shared" si="9"/>
        <v>9358.2260906776901</v>
      </c>
      <c r="G168" s="30">
        <f t="shared" si="6"/>
        <v>-241.22609067769008</v>
      </c>
    </row>
    <row r="169" spans="1:7" ht="15" customHeight="1" x14ac:dyDescent="0.25">
      <c r="A169" s="27" t="s">
        <v>175</v>
      </c>
      <c r="B169" s="30">
        <f xml:space="preserve"> 7315</f>
        <v>7315</v>
      </c>
      <c r="C169" s="30">
        <f t="shared" si="7"/>
        <v>10912.23486243044</v>
      </c>
      <c r="D169" s="30">
        <f t="shared" si="5"/>
        <v>3.5819527350108222</v>
      </c>
      <c r="E169" s="30">
        <f t="shared" si="8"/>
        <v>0.658360141523892</v>
      </c>
      <c r="F169" s="30">
        <f t="shared" si="9"/>
        <v>7163.1315645232035</v>
      </c>
      <c r="G169" s="30">
        <f t="shared" si="6"/>
        <v>151.86843547679655</v>
      </c>
    </row>
    <row r="170" spans="1:7" ht="15" customHeight="1" x14ac:dyDescent="0.25">
      <c r="A170" s="27" t="s">
        <v>176</v>
      </c>
      <c r="B170" s="30">
        <f xml:space="preserve"> 8128</f>
        <v>8128</v>
      </c>
      <c r="C170" s="30">
        <f t="shared" si="7"/>
        <v>10951.710490881032</v>
      </c>
      <c r="D170" s="30">
        <f t="shared" si="5"/>
        <v>3.5819527350108222</v>
      </c>
      <c r="E170" s="30">
        <f t="shared" si="8"/>
        <v>0.72735144649296102</v>
      </c>
      <c r="F170" s="30">
        <f t="shared" si="9"/>
        <v>7939.6351501627769</v>
      </c>
      <c r="G170" s="30">
        <f t="shared" si="6"/>
        <v>188.36484983722312</v>
      </c>
    </row>
    <row r="171" spans="1:7" ht="15" customHeight="1" x14ac:dyDescent="0.25">
      <c r="A171" s="27" t="s">
        <v>177</v>
      </c>
      <c r="B171" s="30">
        <f xml:space="preserve"> 9076</f>
        <v>9076</v>
      </c>
      <c r="C171" s="30">
        <f t="shared" si="7"/>
        <v>11121.974694443157</v>
      </c>
      <c r="D171" s="30">
        <f t="shared" si="5"/>
        <v>3.5819527350108222</v>
      </c>
      <c r="E171" s="30">
        <f t="shared" si="8"/>
        <v>0.746509980746207</v>
      </c>
      <c r="F171" s="30">
        <f t="shared" si="9"/>
        <v>8178.2351511528796</v>
      </c>
      <c r="G171" s="30">
        <f t="shared" si="6"/>
        <v>897.76484884712045</v>
      </c>
    </row>
    <row r="172" spans="1:7" ht="15" customHeight="1" x14ac:dyDescent="0.25">
      <c r="A172" s="27" t="s">
        <v>178</v>
      </c>
      <c r="B172" s="30">
        <f xml:space="preserve"> 9826</f>
        <v>9826</v>
      </c>
      <c r="C172" s="30">
        <f t="shared" si="7"/>
        <v>11127.040609688407</v>
      </c>
      <c r="D172" s="30">
        <f t="shared" si="5"/>
        <v>3.5819527350108222</v>
      </c>
      <c r="E172" s="30">
        <f t="shared" si="8"/>
        <v>0.88234263026144499</v>
      </c>
      <c r="F172" s="30">
        <f t="shared" si="9"/>
        <v>9816.5529151938881</v>
      </c>
      <c r="G172" s="30">
        <f t="shared" si="6"/>
        <v>9.4470848061118886</v>
      </c>
    </row>
    <row r="173" spans="1:7" ht="15" customHeight="1" x14ac:dyDescent="0.25">
      <c r="A173" s="27" t="s">
        <v>179</v>
      </c>
      <c r="B173" s="30">
        <f xml:space="preserve"> 10262</f>
        <v>10262</v>
      </c>
      <c r="C173" s="30">
        <f t="shared" si="7"/>
        <v>11120.814983200149</v>
      </c>
      <c r="D173" s="30">
        <f t="shared" si="5"/>
        <v>3.5819527350108222</v>
      </c>
      <c r="E173" s="30">
        <f t="shared" si="8"/>
        <v>0.92785979022739895</v>
      </c>
      <c r="F173" s="30">
        <f t="shared" si="9"/>
        <v>10327.657115870546</v>
      </c>
      <c r="G173" s="30">
        <f t="shared" si="6"/>
        <v>-65.657115870546477</v>
      </c>
    </row>
    <row r="174" spans="1:7" ht="15" customHeight="1" x14ac:dyDescent="0.25">
      <c r="A174" s="27" t="s">
        <v>180</v>
      </c>
      <c r="B174" s="30">
        <f xml:space="preserve"> 13074</f>
        <v>13074</v>
      </c>
      <c r="C174" s="30">
        <f t="shared" si="7"/>
        <v>11185.375457889568</v>
      </c>
      <c r="D174" s="30">
        <f t="shared" si="5"/>
        <v>3.5819527350108222</v>
      </c>
      <c r="E174" s="30">
        <f t="shared" si="8"/>
        <v>1.13054262838025</v>
      </c>
      <c r="F174" s="30">
        <f t="shared" si="9"/>
        <v>12576.604951097335</v>
      </c>
      <c r="G174" s="30">
        <f t="shared" si="6"/>
        <v>497.39504890266471</v>
      </c>
    </row>
    <row r="175" spans="1:7" ht="15" customHeight="1" x14ac:dyDescent="0.25">
      <c r="A175" s="27" t="s">
        <v>181</v>
      </c>
      <c r="B175" s="30">
        <f xml:space="preserve"> 14261</f>
        <v>14261</v>
      </c>
      <c r="C175" s="30">
        <f t="shared" si="7"/>
        <v>11244.578571331851</v>
      </c>
      <c r="D175" s="30">
        <f t="shared" si="5"/>
        <v>3.5819527350108222</v>
      </c>
      <c r="E175" s="30">
        <f t="shared" si="8"/>
        <v>1.23042912848497</v>
      </c>
      <c r="F175" s="30">
        <f t="shared" si="9"/>
        <v>13767.219115410246</v>
      </c>
      <c r="G175" s="30">
        <f t="shared" si="6"/>
        <v>493.78088458975435</v>
      </c>
    </row>
    <row r="176" spans="1:7" ht="15" customHeight="1" x14ac:dyDescent="0.25">
      <c r="A176" s="27" t="s">
        <v>182</v>
      </c>
      <c r="B176" s="30">
        <f xml:space="preserve"> 14601</f>
        <v>14601</v>
      </c>
      <c r="C176" s="30">
        <f t="shared" si="7"/>
        <v>11153.596781765988</v>
      </c>
      <c r="D176" s="30">
        <f t="shared" si="5"/>
        <v>3.5819527350108222</v>
      </c>
      <c r="E176" s="30">
        <f t="shared" si="8"/>
        <v>1.3819008428061601</v>
      </c>
      <c r="F176" s="30">
        <f t="shared" si="9"/>
        <v>15543.842508226975</v>
      </c>
      <c r="G176" s="30">
        <f t="shared" si="6"/>
        <v>-942.84250822697504</v>
      </c>
    </row>
    <row r="177" spans="1:7" ht="15" customHeight="1" x14ac:dyDescent="0.25">
      <c r="A177" s="27" t="s">
        <v>183</v>
      </c>
      <c r="B177" s="30">
        <f xml:space="preserve"> 14353</f>
        <v>14353</v>
      </c>
      <c r="C177" s="30">
        <f t="shared" si="7"/>
        <v>11158.64178495445</v>
      </c>
      <c r="D177" s="30">
        <f t="shared" si="5"/>
        <v>3.5819527350108222</v>
      </c>
      <c r="E177" s="30">
        <f t="shared" si="8"/>
        <v>1.2852203618693101</v>
      </c>
      <c r="F177" s="30">
        <f t="shared" si="9"/>
        <v>14339.433290595944</v>
      </c>
      <c r="G177" s="30">
        <f t="shared" si="6"/>
        <v>13.566709404056382</v>
      </c>
    </row>
    <row r="178" spans="1:7" ht="15" customHeight="1" x14ac:dyDescent="0.25">
      <c r="A178" s="27" t="s">
        <v>184</v>
      </c>
      <c r="B178" s="30">
        <f xml:space="preserve"> 13868</f>
        <v>13868</v>
      </c>
      <c r="C178" s="30">
        <f t="shared" si="7"/>
        <v>11300.17950537549</v>
      </c>
      <c r="D178" s="30">
        <f t="shared" si="5"/>
        <v>3.5819527350108222</v>
      </c>
      <c r="E178" s="30">
        <f t="shared" si="8"/>
        <v>1.1406877679904901</v>
      </c>
      <c r="F178" s="30">
        <f t="shared" si="9"/>
        <v>12732.612081155457</v>
      </c>
      <c r="G178" s="30">
        <f t="shared" si="6"/>
        <v>1135.3879188445426</v>
      </c>
    </row>
    <row r="179" spans="1:7" ht="15" customHeight="1" x14ac:dyDescent="0.25">
      <c r="A179" s="27" t="s">
        <v>185</v>
      </c>
      <c r="B179" s="30">
        <f xml:space="preserve"> 11311</f>
        <v>11311</v>
      </c>
      <c r="C179" s="30">
        <f t="shared" si="7"/>
        <v>11256.924134176394</v>
      </c>
      <c r="D179" s="30">
        <f t="shared" si="5"/>
        <v>3.5819527350108222</v>
      </c>
      <c r="E179" s="30">
        <f t="shared" si="8"/>
        <v>1.0314769480730599</v>
      </c>
      <c r="F179" s="30">
        <f t="shared" si="9"/>
        <v>11659.569370557701</v>
      </c>
      <c r="G179" s="30">
        <f t="shared" si="6"/>
        <v>-348.5693705577014</v>
      </c>
    </row>
    <row r="180" spans="1:7" ht="15" customHeight="1" x14ac:dyDescent="0.25">
      <c r="A180" s="27" t="s">
        <v>186</v>
      </c>
      <c r="B180" s="30">
        <f xml:space="preserve"> 9305</f>
        <v>9305</v>
      </c>
      <c r="C180" s="30">
        <f t="shared" si="7"/>
        <v>11204.108320990223</v>
      </c>
      <c r="D180" s="30">
        <f t="shared" si="5"/>
        <v>3.5819527350108222</v>
      </c>
      <c r="E180" s="30">
        <f t="shared" si="8"/>
        <v>0.85731962540790396</v>
      </c>
      <c r="F180" s="30">
        <f t="shared" si="9"/>
        <v>9653.8528603343075</v>
      </c>
      <c r="G180" s="30">
        <f t="shared" si="6"/>
        <v>-348.85286033430748</v>
      </c>
    </row>
    <row r="181" spans="1:7" ht="15" customHeight="1" x14ac:dyDescent="0.25">
      <c r="A181" s="27" t="s">
        <v>187</v>
      </c>
      <c r="B181" s="30">
        <f xml:space="preserve"> 7075</f>
        <v>7075</v>
      </c>
      <c r="C181" s="30">
        <f t="shared" si="7"/>
        <v>11143.755267291232</v>
      </c>
      <c r="D181" s="30">
        <f t="shared" si="5"/>
        <v>3.5819527350108222</v>
      </c>
      <c r="E181" s="30">
        <f t="shared" si="8"/>
        <v>0.658360141523892</v>
      </c>
      <c r="F181" s="30">
        <f t="shared" si="9"/>
        <v>7378.6965547656919</v>
      </c>
      <c r="G181" s="30">
        <f t="shared" si="6"/>
        <v>-303.69655476569187</v>
      </c>
    </row>
    <row r="182" spans="1:7" ht="15" customHeight="1" x14ac:dyDescent="0.25">
      <c r="A182" s="27" t="s">
        <v>188</v>
      </c>
      <c r="B182" s="30">
        <f xml:space="preserve"> 7826</f>
        <v>7826</v>
      </c>
      <c r="C182" s="30">
        <f t="shared" si="7"/>
        <v>11093.594922410399</v>
      </c>
      <c r="D182" s="30">
        <f t="shared" si="5"/>
        <v>3.5819527350108222</v>
      </c>
      <c r="E182" s="30">
        <f t="shared" si="8"/>
        <v>0.72735144649296102</v>
      </c>
      <c r="F182" s="30">
        <f t="shared" si="9"/>
        <v>8108.03185153091</v>
      </c>
      <c r="G182" s="30">
        <f t="shared" si="6"/>
        <v>-282.03185153090999</v>
      </c>
    </row>
    <row r="183" spans="1:7" ht="15" customHeight="1" x14ac:dyDescent="0.25">
      <c r="A183" s="27" t="s">
        <v>189</v>
      </c>
      <c r="B183" s="30">
        <f xml:space="preserve"> 8147</f>
        <v>8147</v>
      </c>
      <c r="C183" s="30">
        <f t="shared" si="7"/>
        <v>11071.71250102191</v>
      </c>
      <c r="D183" s="30">
        <f t="shared" si="5"/>
        <v>3.5819527350108222</v>
      </c>
      <c r="E183" s="30">
        <f t="shared" si="8"/>
        <v>0.746509980746207</v>
      </c>
      <c r="F183" s="30">
        <f t="shared" si="9"/>
        <v>8284.1532954020531</v>
      </c>
      <c r="G183" s="30">
        <f t="shared" si="6"/>
        <v>-137.15329540205312</v>
      </c>
    </row>
    <row r="184" spans="1:7" ht="15" customHeight="1" x14ac:dyDescent="0.25">
      <c r="A184" s="27" t="s">
        <v>190</v>
      </c>
      <c r="B184" s="30">
        <f xml:space="preserve"> 9648</f>
        <v>9648</v>
      </c>
      <c r="C184" s="30">
        <f t="shared" si="7"/>
        <v>11055.784230737658</v>
      </c>
      <c r="D184" s="30">
        <f t="shared" si="5"/>
        <v>3.5819527350108222</v>
      </c>
      <c r="E184" s="30">
        <f t="shared" si="8"/>
        <v>0.88234263026144499</v>
      </c>
      <c r="F184" s="30">
        <f t="shared" si="9"/>
        <v>9772.2044392478747</v>
      </c>
      <c r="G184" s="30">
        <f t="shared" si="6"/>
        <v>-124.20443924787469</v>
      </c>
    </row>
    <row r="185" spans="1:7" ht="15" customHeight="1" x14ac:dyDescent="0.25">
      <c r="A185" s="27" t="s">
        <v>191</v>
      </c>
      <c r="B185" s="30">
        <f xml:space="preserve"> 10941</f>
        <v>10941</v>
      </c>
      <c r="C185" s="30">
        <f t="shared" si="7"/>
        <v>11160.860835631063</v>
      </c>
      <c r="D185" s="30">
        <f t="shared" si="5"/>
        <v>3.5819527350108222</v>
      </c>
      <c r="E185" s="30">
        <f t="shared" si="8"/>
        <v>0.92785979022739895</v>
      </c>
      <c r="F185" s="30">
        <f t="shared" si="9"/>
        <v>10261.541187044939</v>
      </c>
      <c r="G185" s="30">
        <f t="shared" si="6"/>
        <v>679.45881295506115</v>
      </c>
    </row>
    <row r="186" spans="1:7" ht="15" customHeight="1" x14ac:dyDescent="0.25">
      <c r="A186" s="27" t="s">
        <v>192</v>
      </c>
      <c r="B186" s="30">
        <f xml:space="preserve"> 12023</f>
        <v>12023</v>
      </c>
      <c r="C186" s="30">
        <f t="shared" si="7"/>
        <v>11091.022826713986</v>
      </c>
      <c r="D186" s="30">
        <f t="shared" si="5"/>
        <v>3.5819527350108222</v>
      </c>
      <c r="E186" s="30">
        <f t="shared" si="8"/>
        <v>1.13054262838025</v>
      </c>
      <c r="F186" s="30">
        <f t="shared" si="9"/>
        <v>12621.878494360308</v>
      </c>
      <c r="G186" s="30">
        <f t="shared" si="6"/>
        <v>-598.87849436030774</v>
      </c>
    </row>
    <row r="187" spans="1:7" ht="15" customHeight="1" x14ac:dyDescent="0.25">
      <c r="A187" s="27" t="s">
        <v>193</v>
      </c>
      <c r="B187" s="30">
        <f xml:space="preserve"> 13805</f>
        <v>13805</v>
      </c>
      <c r="C187" s="30">
        <f t="shared" si="7"/>
        <v>11111.937795991416</v>
      </c>
      <c r="D187" s="30">
        <f t="shared" si="5"/>
        <v>3.5819527350108222</v>
      </c>
      <c r="E187" s="30">
        <f t="shared" si="8"/>
        <v>1.23042912848497</v>
      </c>
      <c r="F187" s="30">
        <f t="shared" si="9"/>
        <v>13651.124889662611</v>
      </c>
      <c r="G187" s="30">
        <f t="shared" si="6"/>
        <v>153.87511033738883</v>
      </c>
    </row>
    <row r="188" spans="1:7" ht="15" customHeight="1" x14ac:dyDescent="0.25">
      <c r="A188" s="27" t="s">
        <v>194</v>
      </c>
      <c r="B188" s="30">
        <f xml:space="preserve"> 14622</f>
        <v>14622</v>
      </c>
      <c r="C188" s="30">
        <f t="shared" si="7"/>
        <v>11041.44620694317</v>
      </c>
      <c r="D188" s="30">
        <f t="shared" si="5"/>
        <v>3.5819527350108222</v>
      </c>
      <c r="E188" s="30">
        <f t="shared" si="8"/>
        <v>1.3819008428061601</v>
      </c>
      <c r="F188" s="30">
        <f t="shared" si="9"/>
        <v>15360.546108993565</v>
      </c>
      <c r="G188" s="30">
        <f t="shared" si="6"/>
        <v>-738.54610899356521</v>
      </c>
    </row>
    <row r="189" spans="1:7" ht="15" customHeight="1" x14ac:dyDescent="0.25">
      <c r="A189" s="27" t="s">
        <v>195</v>
      </c>
      <c r="B189" s="30">
        <f xml:space="preserve"> 13921</f>
        <v>13921</v>
      </c>
      <c r="C189" s="30">
        <f t="shared" si="7"/>
        <v>11015.44784353262</v>
      </c>
      <c r="D189" s="30">
        <f t="shared" si="5"/>
        <v>3.5819527350108222</v>
      </c>
      <c r="E189" s="30">
        <f t="shared" si="8"/>
        <v>1.2852203618693101</v>
      </c>
      <c r="F189" s="30">
        <f t="shared" si="9"/>
        <v>14195.295088238312</v>
      </c>
      <c r="G189" s="30">
        <f t="shared" si="6"/>
        <v>-274.29508823831202</v>
      </c>
    </row>
    <row r="190" spans="1:7" ht="15" customHeight="1" x14ac:dyDescent="0.25">
      <c r="A190" s="27" t="s">
        <v>196</v>
      </c>
      <c r="B190" s="30">
        <f xml:space="preserve"> 12680</f>
        <v>12680</v>
      </c>
      <c r="C190" s="30">
        <f t="shared" si="7"/>
        <v>11032.483785427637</v>
      </c>
      <c r="D190" s="30">
        <f t="shared" si="5"/>
        <v>3.5819527350108222</v>
      </c>
      <c r="E190" s="30">
        <f t="shared" si="8"/>
        <v>1.1406877679904901</v>
      </c>
      <c r="F190" s="30">
        <f t="shared" si="9"/>
        <v>12569.272503725228</v>
      </c>
      <c r="G190" s="30">
        <f t="shared" si="6"/>
        <v>110.72749627477242</v>
      </c>
    </row>
    <row r="191" spans="1:7" ht="15" customHeight="1" x14ac:dyDescent="0.25">
      <c r="A191" s="27" t="s">
        <v>197</v>
      </c>
      <c r="B191" s="30">
        <f xml:space="preserve"> 11076</f>
        <v>11076</v>
      </c>
      <c r="C191" s="30">
        <f t="shared" si="7"/>
        <v>10994.753979358047</v>
      </c>
      <c r="D191" s="30">
        <f t="shared" si="5"/>
        <v>3.5819527350108222</v>
      </c>
      <c r="E191" s="30">
        <f t="shared" si="8"/>
        <v>1.0314769480730599</v>
      </c>
      <c r="F191" s="30">
        <f t="shared" si="9"/>
        <v>11383.447406333669</v>
      </c>
      <c r="G191" s="30">
        <f t="shared" si="6"/>
        <v>-307.44740633366928</v>
      </c>
    </row>
    <row r="192" spans="1:7" ht="15" customHeight="1" x14ac:dyDescent="0.25">
      <c r="A192" s="27" t="s">
        <v>198</v>
      </c>
      <c r="B192" s="30">
        <f xml:space="preserve"> 8288</f>
        <v>8288</v>
      </c>
      <c r="C192" s="30">
        <f t="shared" si="7"/>
        <v>10813.860208228622</v>
      </c>
      <c r="D192" s="30">
        <f t="shared" si="5"/>
        <v>3.5819527350108222</v>
      </c>
      <c r="E192" s="30">
        <f t="shared" si="8"/>
        <v>0.85731962540790396</v>
      </c>
      <c r="F192" s="30">
        <f t="shared" si="9"/>
        <v>9429.08924141231</v>
      </c>
      <c r="G192" s="30">
        <f t="shared" si="6"/>
        <v>-1141.08924141231</v>
      </c>
    </row>
    <row r="193" spans="1:7" ht="15" customHeight="1" x14ac:dyDescent="0.25">
      <c r="A193" s="27" t="s">
        <v>199</v>
      </c>
      <c r="B193" s="30">
        <f xml:space="preserve"> 7061</f>
        <v>7061</v>
      </c>
      <c r="C193" s="30">
        <f t="shared" si="7"/>
        <v>10804.648119574802</v>
      </c>
      <c r="D193" s="30">
        <f t="shared" si="5"/>
        <v>3.5819527350108222</v>
      </c>
      <c r="E193" s="30">
        <f t="shared" si="8"/>
        <v>0.658360141523892</v>
      </c>
      <c r="F193" s="30">
        <f t="shared" si="9"/>
        <v>7121.7727520185326</v>
      </c>
      <c r="G193" s="30">
        <f t="shared" si="6"/>
        <v>-60.772752018532628</v>
      </c>
    </row>
    <row r="194" spans="1:7" ht="15" customHeight="1" x14ac:dyDescent="0.25">
      <c r="A194" s="27" t="s">
        <v>200</v>
      </c>
      <c r="B194" s="30">
        <f xml:space="preserve"> 7365</f>
        <v>7365</v>
      </c>
      <c r="C194" s="30">
        <f t="shared" si="7"/>
        <v>10713.642538836433</v>
      </c>
      <c r="D194" s="30">
        <f t="shared" si="5"/>
        <v>3.5819527350108222</v>
      </c>
      <c r="E194" s="30">
        <f t="shared" si="8"/>
        <v>0.72735144649296102</v>
      </c>
      <c r="F194" s="30">
        <f t="shared" si="9"/>
        <v>7861.3817771232625</v>
      </c>
      <c r="G194" s="30">
        <f t="shared" si="6"/>
        <v>-496.38177712326251</v>
      </c>
    </row>
    <row r="195" spans="1:7" ht="15" customHeight="1" x14ac:dyDescent="0.25">
      <c r="A195" s="27" t="s">
        <v>201</v>
      </c>
      <c r="B195" s="30">
        <f xml:space="preserve"> 7969</f>
        <v>7969</v>
      </c>
      <c r="C195" s="30">
        <f t="shared" si="7"/>
        <v>10711.373294250727</v>
      </c>
      <c r="D195" s="30">
        <f t="shared" si="5"/>
        <v>3.5819527350108222</v>
      </c>
      <c r="E195" s="30">
        <f t="shared" si="8"/>
        <v>0.746509980746207</v>
      </c>
      <c r="F195" s="30">
        <f t="shared" si="9"/>
        <v>8000.5150488557765</v>
      </c>
      <c r="G195" s="30">
        <f t="shared" si="6"/>
        <v>-31.515048855776513</v>
      </c>
    </row>
    <row r="196" spans="1:7" ht="15" customHeight="1" x14ac:dyDescent="0.25">
      <c r="A196" s="27" t="s">
        <v>202</v>
      </c>
      <c r="B196" s="30">
        <f xml:space="preserve"> 10018</f>
        <v>10018</v>
      </c>
      <c r="C196" s="30">
        <f t="shared" si="7"/>
        <v>10803.508105126897</v>
      </c>
      <c r="D196" s="30">
        <f t="shared" si="5"/>
        <v>3.5819527350108222</v>
      </c>
      <c r="E196" s="30">
        <f t="shared" si="8"/>
        <v>0.88234263026144499</v>
      </c>
      <c r="F196" s="30">
        <f t="shared" si="9"/>
        <v>9454.2617957590664</v>
      </c>
      <c r="G196" s="30">
        <f t="shared" si="6"/>
        <v>563.73820424093356</v>
      </c>
    </row>
    <row r="197" spans="1:7" ht="15" customHeight="1" x14ac:dyDescent="0.25">
      <c r="A197" s="27" t="s">
        <v>203</v>
      </c>
      <c r="B197" s="30">
        <f xml:space="preserve"> 10512</f>
        <v>10512</v>
      </c>
      <c r="C197" s="30">
        <f t="shared" si="7"/>
        <v>10879.467926785705</v>
      </c>
      <c r="D197" s="30">
        <f t="shared" si="5"/>
        <v>3.5819527350108222</v>
      </c>
      <c r="E197" s="30">
        <f t="shared" si="8"/>
        <v>0.92785979022739895</v>
      </c>
      <c r="F197" s="30">
        <f t="shared" si="9"/>
        <v>10027.464314056358</v>
      </c>
      <c r="G197" s="30">
        <f t="shared" si="6"/>
        <v>484.53568594364151</v>
      </c>
    </row>
    <row r="198" spans="1:7" ht="15" customHeight="1" x14ac:dyDescent="0.25">
      <c r="A198" s="27" t="s">
        <v>204</v>
      </c>
      <c r="B198" s="30">
        <f xml:space="preserve"> 11937</f>
        <v>11937</v>
      </c>
      <c r="C198" s="30">
        <f t="shared" si="7"/>
        <v>10838.087663495622</v>
      </c>
      <c r="D198" s="30">
        <f t="shared" si="5"/>
        <v>3.5819527350108222</v>
      </c>
      <c r="E198" s="30">
        <f t="shared" si="8"/>
        <v>1.13054262838025</v>
      </c>
      <c r="F198" s="30">
        <f t="shared" si="9"/>
        <v>12303.751815586713</v>
      </c>
      <c r="G198" s="30">
        <f t="shared" si="6"/>
        <v>-366.75181558671284</v>
      </c>
    </row>
    <row r="199" spans="1:7" ht="15" customHeight="1" x14ac:dyDescent="0.25">
      <c r="A199" s="27" t="s">
        <v>205</v>
      </c>
      <c r="B199" s="30">
        <f xml:space="preserve"> 13453</f>
        <v>13453</v>
      </c>
      <c r="C199" s="30">
        <f t="shared" si="7"/>
        <v>10854.408898648844</v>
      </c>
      <c r="D199" s="30">
        <f t="shared" si="5"/>
        <v>3.5819527350108222</v>
      </c>
      <c r="E199" s="30">
        <f t="shared" si="8"/>
        <v>1.23042912848497</v>
      </c>
      <c r="F199" s="30">
        <f t="shared" si="9"/>
        <v>13339.906097220637</v>
      </c>
      <c r="G199" s="30">
        <f t="shared" si="6"/>
        <v>113.09390277936291</v>
      </c>
    </row>
    <row r="200" spans="1:7" ht="15" customHeight="1" x14ac:dyDescent="0.25">
      <c r="A200" s="27" t="s">
        <v>206</v>
      </c>
      <c r="B200" s="30">
        <f xml:space="preserve"> 14793</f>
        <v>14793</v>
      </c>
      <c r="C200" s="30">
        <f t="shared" si="7"/>
        <v>10836.761435101314</v>
      </c>
      <c r="D200" s="30">
        <f t="shared" si="5"/>
        <v>3.5819527350108222</v>
      </c>
      <c r="E200" s="30">
        <f t="shared" si="8"/>
        <v>1.3819008428061601</v>
      </c>
      <c r="F200" s="30">
        <f t="shared" si="9"/>
        <v>15004.666708708924</v>
      </c>
      <c r="G200" s="30">
        <f t="shared" si="6"/>
        <v>-211.66670870892449</v>
      </c>
    </row>
    <row r="201" spans="1:7" ht="15" customHeight="1" x14ac:dyDescent="0.25">
      <c r="A201" s="31" t="s">
        <v>207</v>
      </c>
      <c r="B201" s="32">
        <f xml:space="preserve"> 13661</f>
        <v>13661</v>
      </c>
      <c r="C201" s="32">
        <f t="shared" si="7"/>
        <v>10811.09360896107</v>
      </c>
      <c r="D201" s="32">
        <f t="shared" si="5"/>
        <v>3.5819527350108222</v>
      </c>
      <c r="E201" s="32">
        <f t="shared" si="8"/>
        <v>1.2852203618693101</v>
      </c>
      <c r="F201" s="32">
        <f t="shared" si="9"/>
        <v>13932.230051702585</v>
      </c>
      <c r="G201" s="32">
        <f t="shared" si="6"/>
        <v>-271.23005170258511</v>
      </c>
    </row>
    <row r="202" spans="1:7" ht="15" customHeight="1" x14ac:dyDescent="0.25">
      <c r="A202" s="27" t="s">
        <v>208</v>
      </c>
      <c r="B202" s="30"/>
      <c r="C202" s="30"/>
      <c r="D202" s="30"/>
      <c r="E202" s="30"/>
      <c r="F202" s="30">
        <f>(C201+(1*D201))*E190</f>
        <v>12336.168128012401</v>
      </c>
      <c r="G202" s="30"/>
    </row>
    <row r="203" spans="1:7" ht="15" customHeight="1" x14ac:dyDescent="0.25">
      <c r="A203" s="27" t="s">
        <v>213</v>
      </c>
      <c r="B203" s="30"/>
      <c r="C203" s="30"/>
      <c r="D203" s="30"/>
      <c r="E203" s="30"/>
      <c r="F203" s="30">
        <f>(C201+(2*D201))*E191</f>
        <v>11158.783244453827</v>
      </c>
      <c r="G203" s="30"/>
    </row>
    <row r="204" spans="1:7" ht="15" customHeight="1" x14ac:dyDescent="0.25">
      <c r="A204" s="27" t="s">
        <v>214</v>
      </c>
      <c r="B204" s="30"/>
      <c r="C204" s="30"/>
      <c r="D204" s="30"/>
      <c r="E204" s="30"/>
      <c r="F204" s="30">
        <f>(C201+(3*D201))*E192</f>
        <v>9277.7753582153146</v>
      </c>
      <c r="G204" s="30"/>
    </row>
    <row r="205" spans="1:7" ht="15" customHeight="1" x14ac:dyDescent="0.25">
      <c r="A205" s="27" t="s">
        <v>215</v>
      </c>
      <c r="B205" s="30"/>
      <c r="C205" s="30"/>
      <c r="D205" s="30"/>
      <c r="E205" s="30"/>
      <c r="F205" s="30">
        <f>(C201+(4*D201))*E193</f>
        <v>7127.025978061869</v>
      </c>
      <c r="G205" s="30"/>
    </row>
    <row r="206" spans="1:7" ht="15" customHeight="1" x14ac:dyDescent="0.25">
      <c r="A206" s="27" t="s">
        <v>216</v>
      </c>
      <c r="B206" s="30"/>
      <c r="C206" s="30"/>
      <c r="D206" s="30"/>
      <c r="E206" s="30"/>
      <c r="F206" s="30">
        <f>(C201+(5*D201))*E194</f>
        <v>7876.4912671640377</v>
      </c>
      <c r="G206" s="30"/>
    </row>
    <row r="207" spans="1:7" ht="15" customHeight="1" x14ac:dyDescent="0.25">
      <c r="A207" s="27" t="s">
        <v>217</v>
      </c>
      <c r="B207" s="30"/>
      <c r="C207" s="30"/>
      <c r="D207" s="30"/>
      <c r="E207" s="30"/>
      <c r="F207" s="30">
        <f>(C201+(6*D201))*E195</f>
        <v>8086.6330626744493</v>
      </c>
      <c r="G207" s="30"/>
    </row>
    <row r="208" spans="1:7" ht="15" customHeight="1" x14ac:dyDescent="0.25">
      <c r="A208" s="27" t="s">
        <v>218</v>
      </c>
      <c r="B208" s="30"/>
      <c r="C208" s="30"/>
      <c r="D208" s="30"/>
      <c r="E208" s="30"/>
      <c r="F208" s="30">
        <f>(C201+(7*D201))*E196</f>
        <v>9561.2123381171805</v>
      </c>
      <c r="G208" s="30"/>
    </row>
    <row r="209" spans="1:7" ht="15" customHeight="1" x14ac:dyDescent="0.25">
      <c r="A209" s="27" t="s">
        <v>219</v>
      </c>
      <c r="B209" s="30"/>
      <c r="C209" s="30"/>
      <c r="D209" s="30"/>
      <c r="E209" s="30"/>
      <c r="F209" s="30">
        <f>(C201+(8*D201))*E197</f>
        <v>10057.767447445885</v>
      </c>
      <c r="G209" s="30"/>
    </row>
  </sheetData>
  <mergeCells count="1">
    <mergeCell ref="J82:K82"/>
  </mergeCells>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70"/>
  <sheetViews>
    <sheetView showGridLines="0" topLeftCell="A142" workbookViewId="0">
      <selection activeCell="E36" sqref="E36"/>
    </sheetView>
  </sheetViews>
  <sheetFormatPr defaultColWidth="12.7109375" defaultRowHeight="15" x14ac:dyDescent="0.25"/>
  <cols>
    <col min="1" max="1" width="26.28515625" bestFit="1" customWidth="1"/>
    <col min="2" max="8" width="12.7109375" customWidth="1"/>
  </cols>
  <sheetData>
    <row r="1" spans="1:3" s="16" customFormat="1" ht="18.75" x14ac:dyDescent="0.3">
      <c r="A1" s="22" t="s">
        <v>75</v>
      </c>
      <c r="B1" s="20"/>
    </row>
    <row r="2" spans="1:3" s="16" customFormat="1" ht="11.25" x14ac:dyDescent="0.2">
      <c r="A2" s="18" t="s">
        <v>76</v>
      </c>
      <c r="B2" s="20" t="s">
        <v>77</v>
      </c>
    </row>
    <row r="3" spans="1:3" s="16" customFormat="1" ht="11.25" x14ac:dyDescent="0.2">
      <c r="A3" s="18" t="s">
        <v>78</v>
      </c>
      <c r="B3" s="20" t="s">
        <v>79</v>
      </c>
    </row>
    <row r="4" spans="1:3" s="16" customFormat="1" ht="11.25" x14ac:dyDescent="0.2">
      <c r="A4" s="18" t="s">
        <v>80</v>
      </c>
      <c r="B4" s="23">
        <v>45067</v>
      </c>
    </row>
    <row r="5" spans="1:3" s="17" customFormat="1" ht="11.25" x14ac:dyDescent="0.2">
      <c r="A5" s="19" t="s">
        <v>81</v>
      </c>
      <c r="B5" s="21" t="s">
        <v>82</v>
      </c>
    </row>
    <row r="7" spans="1:3" ht="15" customHeight="1" x14ac:dyDescent="0.25">
      <c r="A7" s="28" t="s">
        <v>296</v>
      </c>
      <c r="B7" s="25"/>
    </row>
    <row r="8" spans="1:3" ht="15" customHeight="1" thickBot="1" x14ac:dyDescent="0.3">
      <c r="A8" s="39" t="s">
        <v>83</v>
      </c>
      <c r="B8" s="38"/>
    </row>
    <row r="9" spans="1:3" ht="15" customHeight="1" thickTop="1" x14ac:dyDescent="0.25">
      <c r="A9" s="27" t="s">
        <v>87</v>
      </c>
      <c r="B9" s="24">
        <v>4</v>
      </c>
    </row>
    <row r="10" spans="1:3" ht="15" customHeight="1" x14ac:dyDescent="0.25"/>
    <row r="11" spans="1:3" ht="15" customHeight="1" x14ac:dyDescent="0.25">
      <c r="A11" s="28"/>
      <c r="B11" s="25"/>
      <c r="C11" s="25" t="s">
        <v>220</v>
      </c>
    </row>
    <row r="12" spans="1:3" ht="15" customHeight="1" thickBot="1" x14ac:dyDescent="0.3">
      <c r="A12" s="39" t="s">
        <v>85</v>
      </c>
      <c r="B12" s="38"/>
      <c r="C12" s="38" t="s">
        <v>225</v>
      </c>
    </row>
    <row r="13" spans="1:3" ht="15" customHeight="1" thickTop="1" x14ac:dyDescent="0.25">
      <c r="A13" s="27" t="s">
        <v>88</v>
      </c>
      <c r="B13" s="30">
        <f>_xll.StatMeanAbs(H150:H262)</f>
        <v>480.73299285849731</v>
      </c>
      <c r="C13" s="30">
        <f>_xll.StatMeanAbs(F150:F262)</f>
        <v>483.01145470746638</v>
      </c>
    </row>
    <row r="14" spans="1:3" ht="15" customHeight="1" x14ac:dyDescent="0.25">
      <c r="A14" s="27" t="s">
        <v>89</v>
      </c>
      <c r="B14" s="30">
        <f>SQRT(SUMSQ(H150:H262)/_xll.StatCount(H150:H262))</f>
        <v>612.21527815933541</v>
      </c>
      <c r="C14" s="30">
        <f>SQRT(SUMSQ(F150:F262)/_xll.StatCount(F150:F262))</f>
        <v>606.08727748351816</v>
      </c>
    </row>
    <row r="15" spans="1:3" ht="15" customHeight="1" x14ac:dyDescent="0.25">
      <c r="A15" s="27" t="s">
        <v>90</v>
      </c>
      <c r="B15" s="33">
        <f>_xll.StatPairMeanAbsQuotient(H150:H262,B150:B262)</f>
        <v>4.4180150909325686E-2</v>
      </c>
      <c r="C15" s="33">
        <f>_xll.StatPairMeanAbsQuotient(F150:F262,D150:D262)</f>
        <v>4.4180150909325686E-2</v>
      </c>
    </row>
    <row r="16" spans="1:3"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spans="1:8" ht="15" customHeight="1" x14ac:dyDescent="0.25"/>
    <row r="130" spans="1:8" ht="15" customHeight="1" x14ac:dyDescent="0.25"/>
    <row r="131" spans="1:8" ht="15" customHeight="1" x14ac:dyDescent="0.25"/>
    <row r="132" spans="1:8" ht="15" customHeight="1" x14ac:dyDescent="0.25"/>
    <row r="133" spans="1:8" ht="15" customHeight="1" x14ac:dyDescent="0.25"/>
    <row r="134" spans="1:8" ht="15" customHeight="1" x14ac:dyDescent="0.25"/>
    <row r="135" spans="1:8" ht="15" customHeight="1" x14ac:dyDescent="0.25"/>
    <row r="136" spans="1:8" ht="15" customHeight="1" x14ac:dyDescent="0.25"/>
    <row r="137" spans="1:8" ht="15" customHeight="1" x14ac:dyDescent="0.25"/>
    <row r="138" spans="1:8" ht="15" customHeight="1" x14ac:dyDescent="0.25"/>
    <row r="139" spans="1:8" ht="15" customHeight="1" x14ac:dyDescent="0.25"/>
    <row r="140" spans="1:8" ht="15" customHeight="1" x14ac:dyDescent="0.25"/>
    <row r="141" spans="1:8" ht="15" customHeight="1" x14ac:dyDescent="0.25"/>
    <row r="142" spans="1:8" ht="15" customHeight="1" x14ac:dyDescent="0.25"/>
    <row r="143" spans="1:8" ht="15" customHeight="1" x14ac:dyDescent="0.25"/>
    <row r="144" spans="1:8" ht="15" customHeight="1" x14ac:dyDescent="0.25">
      <c r="A144" s="28"/>
      <c r="B144" s="25"/>
      <c r="C144" s="25" t="s">
        <v>222</v>
      </c>
      <c r="D144" s="25" t="s">
        <v>220</v>
      </c>
      <c r="E144" s="25" t="s">
        <v>221</v>
      </c>
      <c r="F144" s="25" t="s">
        <v>220</v>
      </c>
      <c r="G144" s="25" t="s">
        <v>222</v>
      </c>
      <c r="H144" s="25" t="s">
        <v>222</v>
      </c>
    </row>
    <row r="145" spans="1:8" ht="15" customHeight="1" thickBot="1" x14ac:dyDescent="0.3">
      <c r="A145" s="39" t="s">
        <v>86</v>
      </c>
      <c r="B145" s="38" t="s">
        <v>2</v>
      </c>
      <c r="C145" s="38" t="s">
        <v>223</v>
      </c>
      <c r="D145" s="38" t="s">
        <v>2</v>
      </c>
      <c r="E145" s="38" t="s">
        <v>77</v>
      </c>
      <c r="F145" s="38" t="s">
        <v>224</v>
      </c>
      <c r="G145" s="38" t="s">
        <v>77</v>
      </c>
      <c r="H145" s="38" t="s">
        <v>224</v>
      </c>
    </row>
    <row r="146" spans="1:8" ht="15" customHeight="1" thickTop="1" x14ac:dyDescent="0.25">
      <c r="A146" s="27" t="s">
        <v>91</v>
      </c>
      <c r="B146" s="30">
        <f xml:space="preserve"> 6722</f>
        <v>6722</v>
      </c>
      <c r="C146" s="30">
        <v>0.65836014152389244</v>
      </c>
      <c r="D146" s="30">
        <f>B146/C146</f>
        <v>10210.217138055665</v>
      </c>
      <c r="E146" s="30"/>
      <c r="F146" s="30"/>
      <c r="G146" s="30"/>
      <c r="H146" s="30"/>
    </row>
    <row r="147" spans="1:8" ht="15" customHeight="1" x14ac:dyDescent="0.25">
      <c r="A147" s="27" t="s">
        <v>92</v>
      </c>
      <c r="B147" s="30">
        <f xml:space="preserve"> 7266</f>
        <v>7266</v>
      </c>
      <c r="C147" s="30">
        <v>0.72735144649296102</v>
      </c>
      <c r="D147" s="30">
        <f t="shared" ref="D147:D210" si="0">B147/C147</f>
        <v>9989.6687289674865</v>
      </c>
      <c r="E147" s="30"/>
      <c r="F147" s="30"/>
      <c r="G147" s="30"/>
      <c r="H147" s="30"/>
    </row>
    <row r="148" spans="1:8" ht="15" customHeight="1" x14ac:dyDescent="0.25">
      <c r="A148" s="27" t="s">
        <v>93</v>
      </c>
      <c r="B148" s="30">
        <f xml:space="preserve"> 8341</f>
        <v>8341</v>
      </c>
      <c r="C148" s="30">
        <v>0.74650998074620667</v>
      </c>
      <c r="D148" s="30">
        <f t="shared" si="0"/>
        <v>11173.326834374524</v>
      </c>
      <c r="E148" s="30"/>
      <c r="F148" s="30"/>
      <c r="G148" s="30"/>
      <c r="H148" s="30"/>
    </row>
    <row r="149" spans="1:8" ht="15" customHeight="1" x14ac:dyDescent="0.25">
      <c r="A149" s="27" t="s">
        <v>94</v>
      </c>
      <c r="B149" s="30">
        <f xml:space="preserve"> 10213</f>
        <v>10213</v>
      </c>
      <c r="C149" s="30">
        <v>0.88234263026144533</v>
      </c>
      <c r="D149" s="30">
        <f t="shared" si="0"/>
        <v>11574.868593818033</v>
      </c>
      <c r="E149" s="30"/>
      <c r="F149" s="30"/>
      <c r="G149" s="30"/>
      <c r="H149" s="30"/>
    </row>
    <row r="150" spans="1:8" ht="15" customHeight="1" x14ac:dyDescent="0.25">
      <c r="A150" s="27" t="s">
        <v>95</v>
      </c>
      <c r="B150" s="30">
        <f xml:space="preserve"> 11024</f>
        <v>11024</v>
      </c>
      <c r="C150" s="30">
        <v>0.92785979022739862</v>
      </c>
      <c r="D150" s="30">
        <f t="shared" si="0"/>
        <v>11881.105438676519</v>
      </c>
      <c r="E150" s="30">
        <f>_xll.StatMean(D146:D149)</f>
        <v>10737.020323803927</v>
      </c>
      <c r="F150" s="30">
        <f>D150-E150</f>
        <v>1144.0851148725924</v>
      </c>
      <c r="G150" s="30">
        <f t="shared" ref="G150:G181" si="1">E150*C150</f>
        <v>9962.4494253120265</v>
      </c>
      <c r="H150" s="30">
        <f>B150-G150</f>
        <v>1061.5505746879735</v>
      </c>
    </row>
    <row r="151" spans="1:8" ht="15" customHeight="1" x14ac:dyDescent="0.25">
      <c r="A151" s="27" t="s">
        <v>96</v>
      </c>
      <c r="B151" s="30">
        <f xml:space="preserve"> 12501</f>
        <v>12501</v>
      </c>
      <c r="C151" s="30">
        <v>1.1305426283802498</v>
      </c>
      <c r="D151" s="30">
        <f t="shared" si="0"/>
        <v>11057.522013044678</v>
      </c>
      <c r="E151" s="30">
        <f>_xll.StatMean(D147:D150)</f>
        <v>11154.742398959141</v>
      </c>
      <c r="F151" s="30">
        <f t="shared" ref="F151:F214" si="2">D151-E151</f>
        <v>-97.220385914462895</v>
      </c>
      <c r="G151" s="30">
        <f t="shared" si="1"/>
        <v>12610.911790623879</v>
      </c>
      <c r="H151" s="30">
        <f t="shared" ref="H151:H214" si="3">B151-G151</f>
        <v>-109.91179062387891</v>
      </c>
    </row>
    <row r="152" spans="1:8" ht="15" customHeight="1" x14ac:dyDescent="0.25">
      <c r="A152" s="27" t="s">
        <v>97</v>
      </c>
      <c r="B152" s="30">
        <f xml:space="preserve"> 14247</f>
        <v>14247</v>
      </c>
      <c r="C152" s="30">
        <v>1.2304291284849682</v>
      </c>
      <c r="D152" s="30">
        <f t="shared" si="0"/>
        <v>11578.887129844188</v>
      </c>
      <c r="E152" s="30">
        <f>_xll.StatMean(D148:D151)</f>
        <v>11421.705719978438</v>
      </c>
      <c r="F152" s="30">
        <f t="shared" si="2"/>
        <v>157.18140986575054</v>
      </c>
      <c r="G152" s="30">
        <f t="shared" si="1"/>
        <v>14053.599414844846</v>
      </c>
      <c r="H152" s="30">
        <f t="shared" si="3"/>
        <v>193.40058515515375</v>
      </c>
    </row>
    <row r="153" spans="1:8" ht="15" customHeight="1" x14ac:dyDescent="0.25">
      <c r="A153" s="27" t="s">
        <v>98</v>
      </c>
      <c r="B153" s="30">
        <f xml:space="preserve"> 15045</f>
        <v>15045</v>
      </c>
      <c r="C153" s="30">
        <v>1.3819008428061568</v>
      </c>
      <c r="D153" s="30">
        <f t="shared" si="0"/>
        <v>10887.177671481026</v>
      </c>
      <c r="E153" s="30">
        <f>_xll.StatMean(D149:D152)</f>
        <v>11523.095793845854</v>
      </c>
      <c r="F153" s="30">
        <f t="shared" si="2"/>
        <v>-635.91812236482838</v>
      </c>
      <c r="G153" s="30">
        <f t="shared" si="1"/>
        <v>15923.775789251666</v>
      </c>
      <c r="H153" s="30">
        <f t="shared" si="3"/>
        <v>-878.77578925166563</v>
      </c>
    </row>
    <row r="154" spans="1:8" ht="15" customHeight="1" x14ac:dyDescent="0.25">
      <c r="A154" s="27" t="s">
        <v>99</v>
      </c>
      <c r="B154" s="30">
        <f xml:space="preserve"> 13563</f>
        <v>13563</v>
      </c>
      <c r="C154" s="30">
        <v>1.285220361869311</v>
      </c>
      <c r="D154" s="30">
        <f t="shared" si="0"/>
        <v>10553.054092819584</v>
      </c>
      <c r="E154" s="30">
        <f>_xll.StatMean(D150:D153)</f>
        <v>11351.173063261602</v>
      </c>
      <c r="F154" s="30">
        <f t="shared" si="2"/>
        <v>-798.1189704420176</v>
      </c>
      <c r="G154" s="30">
        <f t="shared" si="1"/>
        <v>14588.758752006252</v>
      </c>
      <c r="H154" s="30">
        <f t="shared" si="3"/>
        <v>-1025.7587520062516</v>
      </c>
    </row>
    <row r="155" spans="1:8" ht="15" customHeight="1" x14ac:dyDescent="0.25">
      <c r="A155" s="27" t="s">
        <v>100</v>
      </c>
      <c r="B155" s="30">
        <f xml:space="preserve"> 12887</f>
        <v>12887</v>
      </c>
      <c r="C155" s="30">
        <v>1.1406877679904877</v>
      </c>
      <c r="D155" s="30">
        <f t="shared" si="0"/>
        <v>11297.570081515476</v>
      </c>
      <c r="E155" s="30">
        <f>_xll.StatMean(D151:D154)</f>
        <v>11019.160226797369</v>
      </c>
      <c r="F155" s="30">
        <f t="shared" si="2"/>
        <v>278.40985471810745</v>
      </c>
      <c r="G155" s="30">
        <f t="shared" si="1"/>
        <v>12569.421284235046</v>
      </c>
      <c r="H155" s="30">
        <f t="shared" si="3"/>
        <v>317.57871576495381</v>
      </c>
    </row>
    <row r="156" spans="1:8" ht="15" customHeight="1" x14ac:dyDescent="0.25">
      <c r="A156" s="27" t="s">
        <v>101</v>
      </c>
      <c r="B156" s="30">
        <f xml:space="preserve"> 11118</f>
        <v>11118</v>
      </c>
      <c r="C156" s="30">
        <v>1.0314769480730648</v>
      </c>
      <c r="D156" s="30">
        <f t="shared" si="0"/>
        <v>10778.718827182607</v>
      </c>
      <c r="E156" s="30">
        <f>_xll.StatMean(D152:D155)</f>
        <v>11079.172243915069</v>
      </c>
      <c r="F156" s="30">
        <f t="shared" si="2"/>
        <v>-300.45341673246185</v>
      </c>
      <c r="G156" s="30">
        <f t="shared" si="1"/>
        <v>11427.910773329324</v>
      </c>
      <c r="H156" s="30">
        <f t="shared" si="3"/>
        <v>-309.910773329324</v>
      </c>
    </row>
    <row r="157" spans="1:8" ht="15" customHeight="1" x14ac:dyDescent="0.25">
      <c r="A157" s="27" t="s">
        <v>102</v>
      </c>
      <c r="B157" s="30">
        <f xml:space="preserve"> 9484</f>
        <v>9484</v>
      </c>
      <c r="C157" s="30">
        <v>0.85731962540790363</v>
      </c>
      <c r="D157" s="30">
        <f t="shared" si="0"/>
        <v>11062.385274905626</v>
      </c>
      <c r="E157" s="30">
        <f>_xll.StatMean(D153:D156)</f>
        <v>10879.130168249674</v>
      </c>
      <c r="F157" s="30">
        <f t="shared" si="2"/>
        <v>183.25510665595175</v>
      </c>
      <c r="G157" s="30">
        <f t="shared" si="1"/>
        <v>9326.8918006076347</v>
      </c>
      <c r="H157" s="30">
        <f t="shared" si="3"/>
        <v>157.10819939236535</v>
      </c>
    </row>
    <row r="158" spans="1:8" ht="15" customHeight="1" x14ac:dyDescent="0.25">
      <c r="A158" s="27" t="s">
        <v>103</v>
      </c>
      <c r="B158" s="30">
        <f xml:space="preserve"> 7312</f>
        <v>7312</v>
      </c>
      <c r="C158" s="30">
        <v>0.65836014152389244</v>
      </c>
      <c r="D158" s="30">
        <f t="shared" si="0"/>
        <v>11106.383176653233</v>
      </c>
      <c r="E158" s="30">
        <f>_xll.StatMean(D154:D157)</f>
        <v>10922.932069105824</v>
      </c>
      <c r="F158" s="30">
        <f t="shared" si="2"/>
        <v>183.45110754740926</v>
      </c>
      <c r="G158" s="30">
        <f t="shared" si="1"/>
        <v>7191.2231028723736</v>
      </c>
      <c r="H158" s="30">
        <f t="shared" si="3"/>
        <v>120.7768971276264</v>
      </c>
    </row>
    <row r="159" spans="1:8" ht="15" customHeight="1" x14ac:dyDescent="0.25">
      <c r="A159" s="27" t="s">
        <v>104</v>
      </c>
      <c r="B159" s="30">
        <f xml:space="preserve"> 7790</f>
        <v>7790</v>
      </c>
      <c r="C159" s="30">
        <v>0.72735144649296102</v>
      </c>
      <c r="D159" s="30">
        <f t="shared" si="0"/>
        <v>10710.090751260213</v>
      </c>
      <c r="E159" s="30">
        <f>_xll.StatMean(D155:D158)</f>
        <v>11061.264340064236</v>
      </c>
      <c r="F159" s="30">
        <f t="shared" si="2"/>
        <v>-351.17358880402207</v>
      </c>
      <c r="G159" s="30">
        <f t="shared" si="1"/>
        <v>8045.4266177867294</v>
      </c>
      <c r="H159" s="30">
        <f t="shared" si="3"/>
        <v>-255.42661778672937</v>
      </c>
    </row>
    <row r="160" spans="1:8" ht="15" customHeight="1" x14ac:dyDescent="0.25">
      <c r="A160" s="27" t="s">
        <v>105</v>
      </c>
      <c r="B160" s="30">
        <f xml:space="preserve"> 7346</f>
        <v>7346</v>
      </c>
      <c r="C160" s="30">
        <v>0.74650998074620667</v>
      </c>
      <c r="D160" s="30">
        <f t="shared" si="0"/>
        <v>9840.457849815999</v>
      </c>
      <c r="E160" s="30">
        <f>_xll.StatMean(D156:D159)</f>
        <v>10914.394507500419</v>
      </c>
      <c r="F160" s="30">
        <f t="shared" si="2"/>
        <v>-1073.9366576844204</v>
      </c>
      <c r="G160" s="30">
        <f t="shared" si="1"/>
        <v>8147.7044336506415</v>
      </c>
      <c r="H160" s="30">
        <f t="shared" si="3"/>
        <v>-801.70443365064148</v>
      </c>
    </row>
    <row r="161" spans="1:8" ht="15" customHeight="1" x14ac:dyDescent="0.25">
      <c r="A161" s="27" t="s">
        <v>106</v>
      </c>
      <c r="B161" s="30">
        <f xml:space="preserve"> 9951</f>
        <v>9951</v>
      </c>
      <c r="C161" s="30">
        <v>0.88234263026144533</v>
      </c>
      <c r="D161" s="30">
        <f t="shared" si="0"/>
        <v>11277.931790569201</v>
      </c>
      <c r="E161" s="30">
        <f>_xll.StatMean(D157:D160)</f>
        <v>10679.829263158768</v>
      </c>
      <c r="F161" s="30">
        <f t="shared" si="2"/>
        <v>598.10252741043223</v>
      </c>
      <c r="G161" s="30">
        <f t="shared" si="1"/>
        <v>9423.2686427986609</v>
      </c>
      <c r="H161" s="30">
        <f t="shared" si="3"/>
        <v>527.73135720133905</v>
      </c>
    </row>
    <row r="162" spans="1:8" ht="15" customHeight="1" x14ac:dyDescent="0.25">
      <c r="A162" s="27" t="s">
        <v>107</v>
      </c>
      <c r="B162" s="30">
        <f xml:space="preserve"> 9804</f>
        <v>9804</v>
      </c>
      <c r="C162" s="30">
        <v>0.92785979022739862</v>
      </c>
      <c r="D162" s="30">
        <f t="shared" si="0"/>
        <v>10566.251607473203</v>
      </c>
      <c r="E162" s="30">
        <f>_xll.StatMean(D158:D161)</f>
        <v>10733.715892074661</v>
      </c>
      <c r="F162" s="30">
        <f t="shared" si="2"/>
        <v>-167.46428460145762</v>
      </c>
      <c r="G162" s="30">
        <f t="shared" si="1"/>
        <v>9959.3833759808895</v>
      </c>
      <c r="H162" s="30">
        <f t="shared" si="3"/>
        <v>-155.38337598088947</v>
      </c>
    </row>
    <row r="163" spans="1:8" ht="15" customHeight="1" x14ac:dyDescent="0.25">
      <c r="A163" s="27" t="s">
        <v>108</v>
      </c>
      <c r="B163" s="30">
        <f xml:space="preserve"> 11158</f>
        <v>11158</v>
      </c>
      <c r="C163" s="30">
        <v>1.1305426283802498</v>
      </c>
      <c r="D163" s="30">
        <f t="shared" si="0"/>
        <v>9869.5968819736427</v>
      </c>
      <c r="E163" s="30">
        <f>_xll.StatMean(D159:D162)</f>
        <v>10598.682999779654</v>
      </c>
      <c r="F163" s="30">
        <f t="shared" si="2"/>
        <v>-729.08611780601132</v>
      </c>
      <c r="G163" s="30">
        <f t="shared" si="1"/>
        <v>11982.26293593996</v>
      </c>
      <c r="H163" s="30">
        <f t="shared" si="3"/>
        <v>-824.26293593995979</v>
      </c>
    </row>
    <row r="164" spans="1:8" ht="15" customHeight="1" x14ac:dyDescent="0.25">
      <c r="A164" s="27" t="s">
        <v>109</v>
      </c>
      <c r="B164" s="30">
        <f xml:space="preserve"> 13327</f>
        <v>13327</v>
      </c>
      <c r="C164" s="30">
        <v>1.2304291284849682</v>
      </c>
      <c r="D164" s="30">
        <f t="shared" si="0"/>
        <v>10831.180513752615</v>
      </c>
      <c r="E164" s="30">
        <f>_xll.StatMean(D160:D163)</f>
        <v>10388.559532458012</v>
      </c>
      <c r="F164" s="30">
        <f t="shared" si="2"/>
        <v>442.62098129460355</v>
      </c>
      <c r="G164" s="30">
        <f t="shared" si="1"/>
        <v>12782.38625173652</v>
      </c>
      <c r="H164" s="30">
        <f t="shared" si="3"/>
        <v>544.61374826348037</v>
      </c>
    </row>
    <row r="165" spans="1:8" ht="15" customHeight="1" x14ac:dyDescent="0.25">
      <c r="A165" s="27" t="s">
        <v>110</v>
      </c>
      <c r="B165" s="30">
        <f xml:space="preserve"> 15167</f>
        <v>15167</v>
      </c>
      <c r="C165" s="30">
        <v>1.3819008428061568</v>
      </c>
      <c r="D165" s="30">
        <f t="shared" si="0"/>
        <v>10975.461863964952</v>
      </c>
      <c r="E165" s="30">
        <f>_xll.StatMean(D161:D164)</f>
        <v>10636.240198442167</v>
      </c>
      <c r="F165" s="30">
        <f t="shared" si="2"/>
        <v>339.22166552278577</v>
      </c>
      <c r="G165" s="30">
        <f t="shared" si="1"/>
        <v>14698.229294515955</v>
      </c>
      <c r="H165" s="30">
        <f t="shared" si="3"/>
        <v>468.77070548404481</v>
      </c>
    </row>
    <row r="166" spans="1:8" ht="15" customHeight="1" x14ac:dyDescent="0.25">
      <c r="A166" s="27" t="s">
        <v>111</v>
      </c>
      <c r="B166" s="30">
        <f xml:space="preserve"> 14777</f>
        <v>14777</v>
      </c>
      <c r="C166" s="30">
        <v>1.285220361869311</v>
      </c>
      <c r="D166" s="30">
        <f t="shared" si="0"/>
        <v>11497.639189677431</v>
      </c>
      <c r="E166" s="30">
        <f>_xll.StatMean(D162:D165)</f>
        <v>10560.622716791102</v>
      </c>
      <c r="F166" s="30">
        <f t="shared" si="2"/>
        <v>937.01647288632921</v>
      </c>
      <c r="G166" s="30">
        <f t="shared" si="1"/>
        <v>13572.727349639526</v>
      </c>
      <c r="H166" s="30">
        <f t="shared" si="3"/>
        <v>1204.2726503604736</v>
      </c>
    </row>
    <row r="167" spans="1:8" ht="15" customHeight="1" x14ac:dyDescent="0.25">
      <c r="A167" s="27" t="s">
        <v>112</v>
      </c>
      <c r="B167" s="30">
        <f xml:space="preserve"> 12486</f>
        <v>12486</v>
      </c>
      <c r="C167" s="30">
        <v>1.1406877679904877</v>
      </c>
      <c r="D167" s="30">
        <f t="shared" si="0"/>
        <v>10946.027782866628</v>
      </c>
      <c r="E167" s="30">
        <f>_xll.StatMean(D163:D166)</f>
        <v>10793.46961234216</v>
      </c>
      <c r="F167" s="30">
        <f t="shared" si="2"/>
        <v>152.55817052446764</v>
      </c>
      <c r="G167" s="30">
        <f t="shared" si="1"/>
        <v>12311.978760975733</v>
      </c>
      <c r="H167" s="30">
        <f t="shared" si="3"/>
        <v>174.02123902426683</v>
      </c>
    </row>
    <row r="168" spans="1:8" ht="15" customHeight="1" x14ac:dyDescent="0.25">
      <c r="A168" s="27" t="s">
        <v>113</v>
      </c>
      <c r="B168" s="30">
        <f xml:space="preserve"> 12014</f>
        <v>12014</v>
      </c>
      <c r="C168" s="30">
        <v>1.0314769480730648</v>
      </c>
      <c r="D168" s="30">
        <f t="shared" si="0"/>
        <v>11647.376145869028</v>
      </c>
      <c r="E168" s="30">
        <f>_xll.StatMean(D164:D167)</f>
        <v>11062.577337565406</v>
      </c>
      <c r="F168" s="30">
        <f t="shared" si="2"/>
        <v>584.79880830362163</v>
      </c>
      <c r="G168" s="30">
        <f t="shared" si="1"/>
        <v>11410.793509974215</v>
      </c>
      <c r="H168" s="30">
        <f t="shared" si="3"/>
        <v>603.20649002578466</v>
      </c>
    </row>
    <row r="169" spans="1:8" ht="15" customHeight="1" x14ac:dyDescent="0.25">
      <c r="A169" s="27" t="s">
        <v>114</v>
      </c>
      <c r="B169" s="30">
        <f xml:space="preserve"> 9619</f>
        <v>9619</v>
      </c>
      <c r="C169" s="30">
        <v>0.85731962540790363</v>
      </c>
      <c r="D169" s="30">
        <f t="shared" si="0"/>
        <v>11219.852800434122</v>
      </c>
      <c r="E169" s="30">
        <f>_xll.StatMean(D165:D168)</f>
        <v>11266.626245594511</v>
      </c>
      <c r="F169" s="30">
        <f t="shared" si="2"/>
        <v>-46.773445160388292</v>
      </c>
      <c r="G169" s="30">
        <f t="shared" si="1"/>
        <v>9659.0997924839412</v>
      </c>
      <c r="H169" s="30">
        <f t="shared" si="3"/>
        <v>-40.099792483941201</v>
      </c>
    </row>
    <row r="170" spans="1:8" ht="15" customHeight="1" x14ac:dyDescent="0.25">
      <c r="A170" s="27" t="s">
        <v>115</v>
      </c>
      <c r="B170" s="30">
        <f xml:space="preserve"> 7657</f>
        <v>7657</v>
      </c>
      <c r="C170" s="30">
        <v>0.65836014152389244</v>
      </c>
      <c r="D170" s="30">
        <f t="shared" si="0"/>
        <v>11630.412470409436</v>
      </c>
      <c r="E170" s="30">
        <f>_xll.StatMean(D166:D169)</f>
        <v>11327.723979711802</v>
      </c>
      <c r="F170" s="30">
        <f t="shared" si="2"/>
        <v>302.68849069763382</v>
      </c>
      <c r="G170" s="30">
        <f t="shared" si="1"/>
        <v>7457.7219624266518</v>
      </c>
      <c r="H170" s="30">
        <f t="shared" si="3"/>
        <v>199.27803757334823</v>
      </c>
    </row>
    <row r="171" spans="1:8" ht="15" customHeight="1" x14ac:dyDescent="0.25">
      <c r="A171" s="27" t="s">
        <v>116</v>
      </c>
      <c r="B171" s="30">
        <f xml:space="preserve"> 7914</f>
        <v>7914</v>
      </c>
      <c r="C171" s="30">
        <v>0.72735144649296102</v>
      </c>
      <c r="D171" s="30">
        <f t="shared" si="0"/>
        <v>10880.572298520325</v>
      </c>
      <c r="E171" s="30">
        <f>_xll.StatMean(D167:D170)</f>
        <v>11360.917299894803</v>
      </c>
      <c r="F171" s="30">
        <f t="shared" si="2"/>
        <v>-480.34500137447867</v>
      </c>
      <c r="G171" s="30">
        <f t="shared" si="1"/>
        <v>8263.3796315653908</v>
      </c>
      <c r="H171" s="30">
        <f t="shared" si="3"/>
        <v>-349.37963156539081</v>
      </c>
    </row>
    <row r="172" spans="1:8" ht="15" customHeight="1" x14ac:dyDescent="0.25">
      <c r="A172" s="27" t="s">
        <v>117</v>
      </c>
      <c r="B172" s="30">
        <f xml:space="preserve"> 7622</f>
        <v>7622</v>
      </c>
      <c r="C172" s="30">
        <v>0.74650998074620667</v>
      </c>
      <c r="D172" s="30">
        <f t="shared" si="0"/>
        <v>10210.178291763892</v>
      </c>
      <c r="E172" s="30">
        <f>_xll.StatMean(D168:D171)</f>
        <v>11344.553428808227</v>
      </c>
      <c r="F172" s="30">
        <f t="shared" si="2"/>
        <v>-1134.3751370443351</v>
      </c>
      <c r="G172" s="30">
        <f t="shared" si="1"/>
        <v>8468.8223617139429</v>
      </c>
      <c r="H172" s="30">
        <f t="shared" si="3"/>
        <v>-846.82236171394288</v>
      </c>
    </row>
    <row r="173" spans="1:8" ht="15" customHeight="1" x14ac:dyDescent="0.25">
      <c r="A173" s="27" t="s">
        <v>118</v>
      </c>
      <c r="B173" s="30">
        <f xml:space="preserve"> 9501</f>
        <v>9501</v>
      </c>
      <c r="C173" s="30">
        <v>0.88234263026144533</v>
      </c>
      <c r="D173" s="30">
        <f t="shared" si="0"/>
        <v>10767.925830790671</v>
      </c>
      <c r="E173" s="30">
        <f>_xll.StatMean(D169:D172)</f>
        <v>10985.253965281943</v>
      </c>
      <c r="F173" s="30">
        <f t="shared" si="2"/>
        <v>-217.32813449127207</v>
      </c>
      <c r="G173" s="30">
        <f t="shared" si="1"/>
        <v>9692.7578778168427</v>
      </c>
      <c r="H173" s="30">
        <f t="shared" si="3"/>
        <v>-191.75787781684267</v>
      </c>
    </row>
    <row r="174" spans="1:8" ht="15" customHeight="1" x14ac:dyDescent="0.25">
      <c r="A174" s="27" t="s">
        <v>119</v>
      </c>
      <c r="B174" s="30">
        <f xml:space="preserve"> 9487</f>
        <v>9487</v>
      </c>
      <c r="C174" s="30">
        <v>0.92785979022739862</v>
      </c>
      <c r="D174" s="30">
        <f t="shared" si="0"/>
        <v>10224.605161168736</v>
      </c>
      <c r="E174" s="30">
        <f>_xll.StatMean(D170:D173)</f>
        <v>10872.272222871081</v>
      </c>
      <c r="F174" s="30">
        <f t="shared" si="2"/>
        <v>-647.66706170234465</v>
      </c>
      <c r="G174" s="30">
        <f t="shared" si="1"/>
        <v>10087.944224008334</v>
      </c>
      <c r="H174" s="30">
        <f t="shared" si="3"/>
        <v>-600.94422400833355</v>
      </c>
    </row>
    <row r="175" spans="1:8" ht="15" customHeight="1" x14ac:dyDescent="0.25">
      <c r="A175" s="27" t="s">
        <v>120</v>
      </c>
      <c r="B175" s="30">
        <f xml:space="preserve"> 12667</f>
        <v>12667</v>
      </c>
      <c r="C175" s="30">
        <v>1.1305426283802498</v>
      </c>
      <c r="D175" s="30">
        <f t="shared" si="0"/>
        <v>11204.354158806249</v>
      </c>
      <c r="E175" s="30">
        <f>_xll.StatMean(D171:D174)</f>
        <v>10520.820395560906</v>
      </c>
      <c r="F175" s="30">
        <f t="shared" si="2"/>
        <v>683.53376324534293</v>
      </c>
      <c r="G175" s="30">
        <f t="shared" si="1"/>
        <v>11894.235942713965</v>
      </c>
      <c r="H175" s="30">
        <f t="shared" si="3"/>
        <v>772.76405728603459</v>
      </c>
    </row>
    <row r="176" spans="1:8" ht="15" customHeight="1" x14ac:dyDescent="0.25">
      <c r="A176" s="27" t="s">
        <v>121</v>
      </c>
      <c r="B176" s="30">
        <f xml:space="preserve"> 13970</f>
        <v>13970</v>
      </c>
      <c r="C176" s="30">
        <v>1.2304291284849682</v>
      </c>
      <c r="D176" s="30">
        <f t="shared" si="0"/>
        <v>11353.762420434008</v>
      </c>
      <c r="E176" s="30">
        <f>_xll.StatMean(D172:D175)</f>
        <v>10601.765860632388</v>
      </c>
      <c r="F176" s="30">
        <f t="shared" si="2"/>
        <v>751.99655980162061</v>
      </c>
      <c r="G176" s="30">
        <f t="shared" si="1"/>
        <v>13044.721528299599</v>
      </c>
      <c r="H176" s="30">
        <f t="shared" si="3"/>
        <v>925.2784717004015</v>
      </c>
    </row>
    <row r="177" spans="1:8" ht="15" customHeight="1" x14ac:dyDescent="0.25">
      <c r="A177" s="27" t="s">
        <v>122</v>
      </c>
      <c r="B177" s="30">
        <f xml:space="preserve"> 15183</f>
        <v>15183</v>
      </c>
      <c r="C177" s="30">
        <v>1.3819008428061568</v>
      </c>
      <c r="D177" s="30">
        <f t="shared" si="0"/>
        <v>10987.040118716943</v>
      </c>
      <c r="E177" s="30">
        <f>_xll.StatMean(D173:D176)</f>
        <v>10887.661892799917</v>
      </c>
      <c r="F177" s="30">
        <f t="shared" si="2"/>
        <v>99.378225917025702</v>
      </c>
      <c r="G177" s="30">
        <f t="shared" si="1"/>
        <v>15045.669145848682</v>
      </c>
      <c r="H177" s="30">
        <f t="shared" si="3"/>
        <v>137.33085415131791</v>
      </c>
    </row>
    <row r="178" spans="1:8" ht="15" customHeight="1" x14ac:dyDescent="0.25">
      <c r="A178" s="27" t="s">
        <v>123</v>
      </c>
      <c r="B178" s="30">
        <f xml:space="preserve"> 14585</f>
        <v>14585</v>
      </c>
      <c r="C178" s="30">
        <v>1.285220361869311</v>
      </c>
      <c r="D178" s="30">
        <f t="shared" si="0"/>
        <v>11348.248465956915</v>
      </c>
      <c r="E178" s="30">
        <f>_xll.StatMean(D174:D177)</f>
        <v>10942.440464781484</v>
      </c>
      <c r="F178" s="30">
        <f t="shared" si="2"/>
        <v>405.80800117543004</v>
      </c>
      <c r="G178" s="30">
        <f t="shared" si="1"/>
        <v>14063.447293879852</v>
      </c>
      <c r="H178" s="30">
        <f t="shared" si="3"/>
        <v>521.55270612014829</v>
      </c>
    </row>
    <row r="179" spans="1:8" ht="15" customHeight="1" x14ac:dyDescent="0.25">
      <c r="A179" s="27" t="s">
        <v>124</v>
      </c>
      <c r="B179" s="30">
        <f xml:space="preserve"> 13024</f>
        <v>13024</v>
      </c>
      <c r="C179" s="30">
        <v>1.1406877679904877</v>
      </c>
      <c r="D179" s="30">
        <f t="shared" si="0"/>
        <v>11417.673061353113</v>
      </c>
      <c r="E179" s="30">
        <f>_xll.StatMean(D175:D178)</f>
        <v>11223.35129097853</v>
      </c>
      <c r="F179" s="30">
        <f t="shared" si="2"/>
        <v>194.32177037458314</v>
      </c>
      <c r="G179" s="30">
        <f t="shared" si="1"/>
        <v>12802.339533479457</v>
      </c>
      <c r="H179" s="30">
        <f t="shared" si="3"/>
        <v>221.6604665205432</v>
      </c>
    </row>
    <row r="180" spans="1:8" ht="15" customHeight="1" x14ac:dyDescent="0.25">
      <c r="A180" s="27" t="s">
        <v>125</v>
      </c>
      <c r="B180" s="30">
        <f xml:space="preserve"> 11841</f>
        <v>11841</v>
      </c>
      <c r="C180" s="30">
        <v>1.0314769480730648</v>
      </c>
      <c r="D180" s="30">
        <f t="shared" si="0"/>
        <v>11479.655480542297</v>
      </c>
      <c r="E180" s="30">
        <f>_xll.StatMean(D176:D179)</f>
        <v>11276.681016615245</v>
      </c>
      <c r="F180" s="30">
        <f t="shared" si="2"/>
        <v>202.97446392705206</v>
      </c>
      <c r="G180" s="30">
        <f t="shared" si="1"/>
        <v>11631.636519411757</v>
      </c>
      <c r="H180" s="30">
        <f t="shared" si="3"/>
        <v>209.36348058824296</v>
      </c>
    </row>
    <row r="181" spans="1:8" ht="15" customHeight="1" x14ac:dyDescent="0.25">
      <c r="A181" s="27" t="s">
        <v>126</v>
      </c>
      <c r="B181" s="30">
        <f xml:space="preserve"> 9120</f>
        <v>9120</v>
      </c>
      <c r="C181" s="30">
        <v>0.85731962540790363</v>
      </c>
      <c r="D181" s="30">
        <f t="shared" si="0"/>
        <v>10637.806169036199</v>
      </c>
      <c r="E181" s="30">
        <f>_xll.StatMean(D177:D180)</f>
        <v>11308.154281642317</v>
      </c>
      <c r="F181" s="30">
        <f t="shared" si="2"/>
        <v>-670.34811260611787</v>
      </c>
      <c r="G181" s="30">
        <f t="shared" si="1"/>
        <v>9694.7025927923733</v>
      </c>
      <c r="H181" s="30">
        <f t="shared" si="3"/>
        <v>-574.70259279237325</v>
      </c>
    </row>
    <row r="182" spans="1:8" ht="15" customHeight="1" x14ac:dyDescent="0.25">
      <c r="A182" s="27" t="s">
        <v>127</v>
      </c>
      <c r="B182" s="30">
        <f xml:space="preserve"> 7158</f>
        <v>7158</v>
      </c>
      <c r="C182" s="30">
        <v>0.65836014152389244</v>
      </c>
      <c r="D182" s="30">
        <f t="shared" si="0"/>
        <v>10872.468651324376</v>
      </c>
      <c r="E182" s="30">
        <f>_xll.StatMean(D178:D181)</f>
        <v>11220.84579422213</v>
      </c>
      <c r="F182" s="30">
        <f t="shared" si="2"/>
        <v>-348.37714289775431</v>
      </c>
      <c r="G182" s="30">
        <f t="shared" ref="G182:G213" si="4">E182*C182</f>
        <v>7387.3576251018549</v>
      </c>
      <c r="H182" s="30">
        <f t="shared" si="3"/>
        <v>-229.35762510185486</v>
      </c>
    </row>
    <row r="183" spans="1:8" ht="15" customHeight="1" x14ac:dyDescent="0.25">
      <c r="A183" s="27" t="s">
        <v>128</v>
      </c>
      <c r="B183" s="30">
        <f xml:space="preserve"> 8923</f>
        <v>8923</v>
      </c>
      <c r="C183" s="30">
        <v>0.72735144649296102</v>
      </c>
      <c r="D183" s="30">
        <f t="shared" si="0"/>
        <v>12267.797146790101</v>
      </c>
      <c r="E183" s="30">
        <f>_xll.StatMean(D179:D182)</f>
        <v>11101.900840563998</v>
      </c>
      <c r="F183" s="30">
        <f t="shared" si="2"/>
        <v>1165.8963062261028</v>
      </c>
      <c r="G183" s="30">
        <f t="shared" si="4"/>
        <v>8074.9836352056436</v>
      </c>
      <c r="H183" s="30">
        <f t="shared" si="3"/>
        <v>848.01636479435638</v>
      </c>
    </row>
    <row r="184" spans="1:8" ht="15" customHeight="1" x14ac:dyDescent="0.25">
      <c r="A184" s="27" t="s">
        <v>129</v>
      </c>
      <c r="B184" s="30">
        <f xml:space="preserve"> 9262</f>
        <v>9262</v>
      </c>
      <c r="C184" s="30">
        <v>0.74650998074620667</v>
      </c>
      <c r="D184" s="30">
        <f t="shared" si="0"/>
        <v>12407.067874352815</v>
      </c>
      <c r="E184" s="30">
        <f>_xll.StatMean(D180:D183)</f>
        <v>11314.431861923242</v>
      </c>
      <c r="F184" s="30">
        <f t="shared" si="2"/>
        <v>1092.6360124295734</v>
      </c>
      <c r="G184" s="30">
        <f t="shared" si="4"/>
        <v>8446.336311398587</v>
      </c>
      <c r="H184" s="30">
        <f t="shared" si="3"/>
        <v>815.66368860141301</v>
      </c>
    </row>
    <row r="185" spans="1:8" ht="15" customHeight="1" x14ac:dyDescent="0.25">
      <c r="A185" s="27" t="s">
        <v>130</v>
      </c>
      <c r="B185" s="30">
        <f xml:space="preserve"> 8734</f>
        <v>8734</v>
      </c>
      <c r="C185" s="30">
        <v>0.88234263026144533</v>
      </c>
      <c r="D185" s="30">
        <f t="shared" si="0"/>
        <v>9898.6490060126016</v>
      </c>
      <c r="E185" s="30">
        <f>_xll.StatMean(D181:D184)</f>
        <v>11546.284960375873</v>
      </c>
      <c r="F185" s="30">
        <f t="shared" si="2"/>
        <v>-1647.6359543632716</v>
      </c>
      <c r="G185" s="30">
        <f t="shared" si="4"/>
        <v>10187.779441686216</v>
      </c>
      <c r="H185" s="30">
        <f t="shared" si="3"/>
        <v>-1453.7794416862162</v>
      </c>
    </row>
    <row r="186" spans="1:8" ht="15" customHeight="1" x14ac:dyDescent="0.25">
      <c r="A186" s="27" t="s">
        <v>131</v>
      </c>
      <c r="B186" s="30">
        <f xml:space="preserve"> 10014</f>
        <v>10014</v>
      </c>
      <c r="C186" s="30">
        <v>0.92785979022739862</v>
      </c>
      <c r="D186" s="30">
        <f t="shared" si="0"/>
        <v>10792.57890628689</v>
      </c>
      <c r="E186" s="30">
        <f>_xll.StatMean(D182:D185)</f>
        <v>11361.495669619973</v>
      </c>
      <c r="F186" s="30">
        <f t="shared" si="2"/>
        <v>-568.91676333308351</v>
      </c>
      <c r="G186" s="30">
        <f t="shared" si="4"/>
        <v>10541.874988683086</v>
      </c>
      <c r="H186" s="30">
        <f t="shared" si="3"/>
        <v>-527.87498868308649</v>
      </c>
    </row>
    <row r="187" spans="1:8" ht="15" customHeight="1" x14ac:dyDescent="0.25">
      <c r="A187" s="27" t="s">
        <v>132</v>
      </c>
      <c r="B187" s="30">
        <f xml:space="preserve"> 13052</f>
        <v>13052</v>
      </c>
      <c r="C187" s="30">
        <v>1.1305426283802498</v>
      </c>
      <c r="D187" s="30">
        <f t="shared" si="0"/>
        <v>11544.898593253271</v>
      </c>
      <c r="E187" s="30">
        <f>_xll.StatMean(D183:D186)</f>
        <v>11341.5232333606</v>
      </c>
      <c r="F187" s="30">
        <f t="shared" si="2"/>
        <v>203.37535989267053</v>
      </c>
      <c r="G187" s="30">
        <f t="shared" si="4"/>
        <v>12822.075486079162</v>
      </c>
      <c r="H187" s="30">
        <f t="shared" si="3"/>
        <v>229.92451392083785</v>
      </c>
    </row>
    <row r="188" spans="1:8" ht="15" customHeight="1" x14ac:dyDescent="0.25">
      <c r="A188" s="27" t="s">
        <v>133</v>
      </c>
      <c r="B188" s="30">
        <f xml:space="preserve"> 14418</f>
        <v>14418</v>
      </c>
      <c r="C188" s="30">
        <v>1.2304291284849682</v>
      </c>
      <c r="D188" s="30">
        <f t="shared" si="0"/>
        <v>11717.863033487296</v>
      </c>
      <c r="E188" s="30">
        <f>_xll.StatMean(D184:D187)</f>
        <v>11160.798594976393</v>
      </c>
      <c r="F188" s="30">
        <f t="shared" si="2"/>
        <v>557.06443851090262</v>
      </c>
      <c r="G188" s="30">
        <f t="shared" si="4"/>
        <v>13732.571688413062</v>
      </c>
      <c r="H188" s="30">
        <f t="shared" si="3"/>
        <v>685.42831158693843</v>
      </c>
    </row>
    <row r="189" spans="1:8" ht="15" customHeight="1" x14ac:dyDescent="0.25">
      <c r="A189" s="27" t="s">
        <v>134</v>
      </c>
      <c r="B189" s="30">
        <f xml:space="preserve"> 16075</f>
        <v>16075</v>
      </c>
      <c r="C189" s="30">
        <v>1.3819008428061568</v>
      </c>
      <c r="D189" s="30">
        <f t="shared" si="0"/>
        <v>11632.527821140411</v>
      </c>
      <c r="E189" s="30">
        <f>_xll.StatMean(D185:D188)</f>
        <v>10988.497384760014</v>
      </c>
      <c r="F189" s="30">
        <f t="shared" si="2"/>
        <v>644.03043638039708</v>
      </c>
      <c r="G189" s="30">
        <f t="shared" si="4"/>
        <v>15185.013797173113</v>
      </c>
      <c r="H189" s="30">
        <f t="shared" si="3"/>
        <v>889.98620282688717</v>
      </c>
    </row>
    <row r="190" spans="1:8" ht="15" customHeight="1" x14ac:dyDescent="0.25">
      <c r="A190" s="27" t="s">
        <v>135</v>
      </c>
      <c r="B190" s="30">
        <f xml:space="preserve"> 14566</f>
        <v>14566</v>
      </c>
      <c r="C190" s="30">
        <v>1.285220361869311</v>
      </c>
      <c r="D190" s="30">
        <f t="shared" si="0"/>
        <v>11333.465008922072</v>
      </c>
      <c r="E190" s="30">
        <f>_xll.StatMean(D186:D189)</f>
        <v>11421.967088541965</v>
      </c>
      <c r="F190" s="30">
        <f t="shared" si="2"/>
        <v>-88.502079619893266</v>
      </c>
      <c r="G190" s="30">
        <f t="shared" si="4"/>
        <v>14679.744674795265</v>
      </c>
      <c r="H190" s="30">
        <f t="shared" si="3"/>
        <v>-113.74467479526538</v>
      </c>
    </row>
    <row r="191" spans="1:8" ht="15" customHeight="1" x14ac:dyDescent="0.25">
      <c r="A191" s="27" t="s">
        <v>136</v>
      </c>
      <c r="B191" s="30">
        <f xml:space="preserve"> 11815</f>
        <v>11815</v>
      </c>
      <c r="C191" s="30">
        <v>1.1406877679904877</v>
      </c>
      <c r="D191" s="30">
        <f t="shared" si="0"/>
        <v>10357.786180888132</v>
      </c>
      <c r="E191" s="30">
        <f>_xll.StatMean(D187:D190)</f>
        <v>11557.188614200762</v>
      </c>
      <c r="F191" s="30">
        <f t="shared" si="2"/>
        <v>-1199.4024333126308</v>
      </c>
      <c r="G191" s="30">
        <f t="shared" si="4"/>
        <v>13183.143684577744</v>
      </c>
      <c r="H191" s="30">
        <f t="shared" si="3"/>
        <v>-1368.1436845777444</v>
      </c>
    </row>
    <row r="192" spans="1:8" ht="15" customHeight="1" x14ac:dyDescent="0.25">
      <c r="A192" s="27" t="s">
        <v>137</v>
      </c>
      <c r="B192" s="30">
        <f xml:space="preserve"> 12019</f>
        <v>12019</v>
      </c>
      <c r="C192" s="30">
        <v>1.0314769480730648</v>
      </c>
      <c r="D192" s="30">
        <f t="shared" si="0"/>
        <v>11652.223563942054</v>
      </c>
      <c r="E192" s="30">
        <f>_xll.StatMean(D188:D191)</f>
        <v>11260.41051110948</v>
      </c>
      <c r="F192" s="30">
        <f t="shared" si="2"/>
        <v>391.81305283257461</v>
      </c>
      <c r="G192" s="30">
        <f t="shared" si="4"/>
        <v>11614.853868049066</v>
      </c>
      <c r="H192" s="30">
        <f t="shared" si="3"/>
        <v>404.14613195093443</v>
      </c>
    </row>
    <row r="193" spans="1:8" ht="15" customHeight="1" x14ac:dyDescent="0.25">
      <c r="A193" s="27" t="s">
        <v>138</v>
      </c>
      <c r="B193" s="30">
        <f xml:space="preserve"> 9754</f>
        <v>9754</v>
      </c>
      <c r="C193" s="30">
        <v>0.85731962540790363</v>
      </c>
      <c r="D193" s="30">
        <f t="shared" si="0"/>
        <v>11377.320325962619</v>
      </c>
      <c r="E193" s="30">
        <f>_xll.StatMean(D189:D192)</f>
        <v>11244.000643723168</v>
      </c>
      <c r="F193" s="30">
        <f t="shared" si="2"/>
        <v>133.31968223945114</v>
      </c>
      <c r="G193" s="30">
        <f t="shared" si="4"/>
        <v>9639.7024199629741</v>
      </c>
      <c r="H193" s="30">
        <f t="shared" si="3"/>
        <v>114.29758003702591</v>
      </c>
    </row>
    <row r="194" spans="1:8" ht="15" customHeight="1" x14ac:dyDescent="0.25">
      <c r="A194" s="27" t="s">
        <v>139</v>
      </c>
      <c r="B194" s="30">
        <f xml:space="preserve"> 6934</f>
        <v>6934</v>
      </c>
      <c r="C194" s="30">
        <v>0.65836014152389244</v>
      </c>
      <c r="D194" s="30">
        <f t="shared" si="0"/>
        <v>10532.22934175513</v>
      </c>
      <c r="E194" s="30">
        <f>_xll.StatMean(D190:D193)</f>
        <v>11180.198769928718</v>
      </c>
      <c r="F194" s="30">
        <f t="shared" si="2"/>
        <v>-647.96942817358831</v>
      </c>
      <c r="G194" s="30">
        <f t="shared" si="4"/>
        <v>7360.5972444355193</v>
      </c>
      <c r="H194" s="30">
        <f t="shared" si="3"/>
        <v>-426.59724443551931</v>
      </c>
    </row>
    <row r="195" spans="1:8" ht="15" customHeight="1" x14ac:dyDescent="0.25">
      <c r="A195" s="27" t="s">
        <v>140</v>
      </c>
      <c r="B195" s="30">
        <f xml:space="preserve"> 7675</f>
        <v>7675</v>
      </c>
      <c r="C195" s="30">
        <v>0.72735144649296102</v>
      </c>
      <c r="D195" s="30">
        <f t="shared" si="0"/>
        <v>10551.982864688336</v>
      </c>
      <c r="E195" s="30">
        <f>_xll.StatMean(D191:D194)</f>
        <v>10979.889853136985</v>
      </c>
      <c r="F195" s="30">
        <f t="shared" si="2"/>
        <v>-427.90698844864892</v>
      </c>
      <c r="G195" s="30">
        <f t="shared" si="4"/>
        <v>7986.2387670125718</v>
      </c>
      <c r="H195" s="30">
        <f t="shared" si="3"/>
        <v>-311.23876701257177</v>
      </c>
    </row>
    <row r="196" spans="1:8" ht="15" customHeight="1" x14ac:dyDescent="0.25">
      <c r="A196" s="27" t="s">
        <v>141</v>
      </c>
      <c r="B196" s="30">
        <f xml:space="preserve"> 8528</f>
        <v>8528</v>
      </c>
      <c r="C196" s="30">
        <v>0.74650998074620667</v>
      </c>
      <c r="D196" s="30">
        <f t="shared" si="0"/>
        <v>11423.825829462407</v>
      </c>
      <c r="E196" s="30">
        <f>_xll.StatMean(D192:D195)</f>
        <v>11028.439024087034</v>
      </c>
      <c r="F196" s="30">
        <f t="shared" si="2"/>
        <v>395.38680537537221</v>
      </c>
      <c r="G196" s="30">
        <f t="shared" si="4"/>
        <v>8232.839803531926</v>
      </c>
      <c r="H196" s="30">
        <f t="shared" si="3"/>
        <v>295.16019646807399</v>
      </c>
    </row>
    <row r="197" spans="1:8" ht="15" customHeight="1" x14ac:dyDescent="0.25">
      <c r="A197" s="27" t="s">
        <v>142</v>
      </c>
      <c r="B197" s="30">
        <f xml:space="preserve"> 10118</f>
        <v>10118</v>
      </c>
      <c r="C197" s="30">
        <v>0.88234263026144533</v>
      </c>
      <c r="D197" s="30">
        <f t="shared" si="0"/>
        <v>11467.200668975898</v>
      </c>
      <c r="E197" s="30">
        <f>_xll.StatMean(D193:D196)</f>
        <v>10971.339590467123</v>
      </c>
      <c r="F197" s="30">
        <f t="shared" si="2"/>
        <v>495.86107850877488</v>
      </c>
      <c r="G197" s="30">
        <f t="shared" si="4"/>
        <v>9680.4806317442908</v>
      </c>
      <c r="H197" s="30">
        <f t="shared" si="3"/>
        <v>437.5193682557092</v>
      </c>
    </row>
    <row r="198" spans="1:8" ht="15" customHeight="1" x14ac:dyDescent="0.25">
      <c r="A198" s="27" t="s">
        <v>143</v>
      </c>
      <c r="B198" s="30">
        <f xml:space="preserve"> 11197</f>
        <v>11197</v>
      </c>
      <c r="C198" s="30">
        <v>0.92785979022739862</v>
      </c>
      <c r="D198" s="30">
        <f t="shared" si="0"/>
        <v>12067.556022937317</v>
      </c>
      <c r="E198" s="30">
        <f>_xll.StatMean(D194:D197)</f>
        <v>10993.809676220442</v>
      </c>
      <c r="F198" s="30">
        <f t="shared" si="2"/>
        <v>1073.7463467168745</v>
      </c>
      <c r="G198" s="30">
        <f t="shared" si="4"/>
        <v>10200.713939977844</v>
      </c>
      <c r="H198" s="30">
        <f t="shared" si="3"/>
        <v>996.28606002215565</v>
      </c>
    </row>
    <row r="199" spans="1:8" ht="15" customHeight="1" x14ac:dyDescent="0.25">
      <c r="A199" s="27" t="s">
        <v>144</v>
      </c>
      <c r="B199" s="30">
        <f xml:space="preserve"> 12917</f>
        <v>12917</v>
      </c>
      <c r="C199" s="30">
        <v>1.1305426283802498</v>
      </c>
      <c r="D199" s="30">
        <f t="shared" si="0"/>
        <v>11425.486908447172</v>
      </c>
      <c r="E199" s="30">
        <f>_xll.StatMean(D195:D198)</f>
        <v>11377.641346515989</v>
      </c>
      <c r="F199" s="30">
        <f t="shared" si="2"/>
        <v>47.845561931182601</v>
      </c>
      <c r="G199" s="30">
        <f t="shared" si="4"/>
        <v>12862.908552657991</v>
      </c>
      <c r="H199" s="30">
        <f t="shared" si="3"/>
        <v>54.091447342008905</v>
      </c>
    </row>
    <row r="200" spans="1:8" ht="15" customHeight="1" x14ac:dyDescent="0.25">
      <c r="A200" s="27" t="s">
        <v>145</v>
      </c>
      <c r="B200" s="30">
        <f xml:space="preserve"> 13052</f>
        <v>13052</v>
      </c>
      <c r="C200" s="30">
        <v>1.2304291284849682</v>
      </c>
      <c r="D200" s="30">
        <f t="shared" si="0"/>
        <v>10607.681253507852</v>
      </c>
      <c r="E200" s="30">
        <f>_xll.StatMean(D196:D199)</f>
        <v>11596.017357455697</v>
      </c>
      <c r="F200" s="30">
        <f t="shared" si="2"/>
        <v>-988.33610394784591</v>
      </c>
      <c r="G200" s="30">
        <f t="shared" si="4"/>
        <v>14268.077531030778</v>
      </c>
      <c r="H200" s="30">
        <f t="shared" si="3"/>
        <v>-1216.0775310307781</v>
      </c>
    </row>
    <row r="201" spans="1:8" ht="15" customHeight="1" x14ac:dyDescent="0.25">
      <c r="A201" s="27" t="s">
        <v>146</v>
      </c>
      <c r="B201" s="30">
        <f xml:space="preserve"> 14445</f>
        <v>14445</v>
      </c>
      <c r="C201" s="30">
        <v>1.3819008428061568</v>
      </c>
      <c r="D201" s="30">
        <f t="shared" si="0"/>
        <v>10452.993118281383</v>
      </c>
      <c r="E201" s="30">
        <f>_xll.StatMean(D197:D200)</f>
        <v>11391.981213467059</v>
      </c>
      <c r="F201" s="30">
        <f t="shared" si="2"/>
        <v>-938.98809518567577</v>
      </c>
      <c r="G201" s="30">
        <f t="shared" si="4"/>
        <v>15742.588440122034</v>
      </c>
      <c r="H201" s="30">
        <f t="shared" si="3"/>
        <v>-1297.5884401220337</v>
      </c>
    </row>
    <row r="202" spans="1:8" ht="15" customHeight="1" x14ac:dyDescent="0.25">
      <c r="A202" s="27" t="s">
        <v>147</v>
      </c>
      <c r="B202" s="30">
        <f xml:space="preserve"> 14451</f>
        <v>14451</v>
      </c>
      <c r="C202" s="30">
        <v>1.285220361869311</v>
      </c>
      <c r="D202" s="30">
        <f t="shared" si="0"/>
        <v>11243.986190026972</v>
      </c>
      <c r="E202" s="30">
        <f>_xll.StatMean(D198:D201)</f>
        <v>11138.42932579343</v>
      </c>
      <c r="F202" s="30">
        <f t="shared" si="2"/>
        <v>105.556864233542</v>
      </c>
      <c r="G202" s="30">
        <f t="shared" si="4"/>
        <v>14315.336168751977</v>
      </c>
      <c r="H202" s="30">
        <f t="shared" si="3"/>
        <v>135.66383124802269</v>
      </c>
    </row>
    <row r="203" spans="1:8" ht="15" customHeight="1" x14ac:dyDescent="0.25">
      <c r="A203" s="27" t="s">
        <v>148</v>
      </c>
      <c r="B203" s="30">
        <f xml:space="preserve"> 12037</f>
        <v>12037</v>
      </c>
      <c r="C203" s="30">
        <v>1.1406877679904877</v>
      </c>
      <c r="D203" s="30">
        <f t="shared" si="0"/>
        <v>10552.405608070287</v>
      </c>
      <c r="E203" s="30">
        <f>_xll.StatMean(D199:D202)</f>
        <v>10932.536867565843</v>
      </c>
      <c r="F203" s="30">
        <f t="shared" si="2"/>
        <v>-380.13125949555615</v>
      </c>
      <c r="G203" s="30">
        <f t="shared" si="4"/>
        <v>12470.611077937399</v>
      </c>
      <c r="H203" s="30">
        <f t="shared" si="3"/>
        <v>-433.61107793739939</v>
      </c>
    </row>
    <row r="204" spans="1:8" ht="15" customHeight="1" x14ac:dyDescent="0.25">
      <c r="A204" s="27" t="s">
        <v>149</v>
      </c>
      <c r="B204" s="30">
        <f xml:space="preserve"> 10517</f>
        <v>10517</v>
      </c>
      <c r="C204" s="30">
        <v>1.0314769480730648</v>
      </c>
      <c r="D204" s="30">
        <f t="shared" si="0"/>
        <v>10196.059174804774</v>
      </c>
      <c r="E204" s="30">
        <f>_xll.StatMean(D200:D203)</f>
        <v>10714.266542471623</v>
      </c>
      <c r="F204" s="30">
        <f t="shared" si="2"/>
        <v>-518.20736766684968</v>
      </c>
      <c r="G204" s="30">
        <f t="shared" si="4"/>
        <v>11051.518954069978</v>
      </c>
      <c r="H204" s="30">
        <f t="shared" si="3"/>
        <v>-534.51895406997755</v>
      </c>
    </row>
    <row r="205" spans="1:8" ht="15" customHeight="1" x14ac:dyDescent="0.25">
      <c r="A205" s="27" t="s">
        <v>150</v>
      </c>
      <c r="B205" s="30">
        <f xml:space="preserve"> 10013</f>
        <v>10013</v>
      </c>
      <c r="C205" s="30">
        <v>0.85731962540790363</v>
      </c>
      <c r="D205" s="30">
        <f t="shared" si="0"/>
        <v>11679.424689754325</v>
      </c>
      <c r="E205" s="30">
        <f>_xll.StatMean(D201:D204)</f>
        <v>10611.361022795854</v>
      </c>
      <c r="F205" s="30">
        <f t="shared" si="2"/>
        <v>1068.063666958471</v>
      </c>
      <c r="G205" s="30">
        <f t="shared" si="4"/>
        <v>9097.3280571313717</v>
      </c>
      <c r="H205" s="30">
        <f t="shared" si="3"/>
        <v>915.67194286862832</v>
      </c>
    </row>
    <row r="206" spans="1:8" ht="15" customHeight="1" x14ac:dyDescent="0.25">
      <c r="A206" s="27" t="s">
        <v>151</v>
      </c>
      <c r="B206" s="30">
        <f xml:space="preserve"> 7375</f>
        <v>7375</v>
      </c>
      <c r="C206" s="30">
        <v>0.65836014152389244</v>
      </c>
      <c r="D206" s="30">
        <f t="shared" si="0"/>
        <v>11202.075482469583</v>
      </c>
      <c r="E206" s="30">
        <f>_xll.StatMean(D202:D205)</f>
        <v>10917.968915664089</v>
      </c>
      <c r="F206" s="30">
        <f t="shared" si="2"/>
        <v>284.10656680549437</v>
      </c>
      <c r="G206" s="30">
        <f t="shared" si="4"/>
        <v>7187.9555604700681</v>
      </c>
      <c r="H206" s="30">
        <f t="shared" si="3"/>
        <v>187.04443952993188</v>
      </c>
    </row>
    <row r="207" spans="1:8" ht="15" customHeight="1" x14ac:dyDescent="0.25">
      <c r="A207" s="27" t="s">
        <v>152</v>
      </c>
      <c r="B207" s="30">
        <f xml:space="preserve"> 8185</f>
        <v>8185</v>
      </c>
      <c r="C207" s="30">
        <v>0.72735144649296102</v>
      </c>
      <c r="D207" s="30">
        <f t="shared" si="0"/>
        <v>11253.156970354923</v>
      </c>
      <c r="E207" s="30">
        <f>_xll.StatMean(D203:D206)</f>
        <v>10907.491238774743</v>
      </c>
      <c r="F207" s="30">
        <f t="shared" si="2"/>
        <v>345.66573158018036</v>
      </c>
      <c r="G207" s="30">
        <f t="shared" si="4"/>
        <v>7933.5795301321086</v>
      </c>
      <c r="H207" s="30">
        <f t="shared" si="3"/>
        <v>251.42046986789137</v>
      </c>
    </row>
    <row r="208" spans="1:8" ht="15" customHeight="1" x14ac:dyDescent="0.25">
      <c r="A208" s="27" t="s">
        <v>153</v>
      </c>
      <c r="B208" s="30">
        <f xml:space="preserve"> 8498</f>
        <v>8498</v>
      </c>
      <c r="C208" s="30">
        <v>0.74650998074620667</v>
      </c>
      <c r="D208" s="30">
        <f t="shared" si="0"/>
        <v>11383.638824902853</v>
      </c>
      <c r="E208" s="30">
        <f>_xll.StatMean(D204:D207)</f>
        <v>11082.679079345902</v>
      </c>
      <c r="F208" s="30">
        <f t="shared" si="2"/>
        <v>300.95974555695102</v>
      </c>
      <c r="G208" s="30">
        <f t="shared" si="4"/>
        <v>8273.3305461388973</v>
      </c>
      <c r="H208" s="30">
        <f t="shared" si="3"/>
        <v>224.66945386110274</v>
      </c>
    </row>
    <row r="209" spans="1:8" ht="15" customHeight="1" x14ac:dyDescent="0.25">
      <c r="A209" s="27" t="s">
        <v>154</v>
      </c>
      <c r="B209" s="30">
        <f xml:space="preserve"> 9690</f>
        <v>9690</v>
      </c>
      <c r="C209" s="30">
        <v>0.88234263026144533</v>
      </c>
      <c r="D209" s="30">
        <f t="shared" si="0"/>
        <v>10982.128333897654</v>
      </c>
      <c r="E209" s="30">
        <f>_xll.StatMean(D205:D208)</f>
        <v>11379.573991870422</v>
      </c>
      <c r="F209" s="30">
        <f t="shared" si="2"/>
        <v>-397.44565797276846</v>
      </c>
      <c r="G209" s="30">
        <f t="shared" si="4"/>
        <v>10040.683247241683</v>
      </c>
      <c r="H209" s="30">
        <f t="shared" si="3"/>
        <v>-350.68324724168269</v>
      </c>
    </row>
    <row r="210" spans="1:8" ht="15" customHeight="1" x14ac:dyDescent="0.25">
      <c r="A210" s="27" t="s">
        <v>155</v>
      </c>
      <c r="B210" s="30">
        <f xml:space="preserve"> 10048</f>
        <v>10048</v>
      </c>
      <c r="C210" s="30">
        <v>0.92785979022739862</v>
      </c>
      <c r="D210" s="30">
        <f t="shared" si="0"/>
        <v>10829.222373713867</v>
      </c>
      <c r="E210" s="30">
        <f>_xll.StatMean(D206:D209)</f>
        <v>11205.249902906253</v>
      </c>
      <c r="F210" s="30">
        <f t="shared" si="2"/>
        <v>-376.02752919238628</v>
      </c>
      <c r="G210" s="30">
        <f t="shared" si="4"/>
        <v>10396.900824356175</v>
      </c>
      <c r="H210" s="30">
        <f t="shared" si="3"/>
        <v>-348.90082435617478</v>
      </c>
    </row>
    <row r="211" spans="1:8" ht="15" customHeight="1" x14ac:dyDescent="0.25">
      <c r="A211" s="27" t="s">
        <v>156</v>
      </c>
      <c r="B211" s="30">
        <f xml:space="preserve"> 12811</f>
        <v>12811</v>
      </c>
      <c r="C211" s="30">
        <v>1.1305426283802498</v>
      </c>
      <c r="D211" s="30">
        <f t="shared" ref="D211:D262" si="5">B211/C211</f>
        <v>11331.726622599421</v>
      </c>
      <c r="E211" s="30">
        <f>_xll.StatMean(D207:D210)</f>
        <v>11112.036625717326</v>
      </c>
      <c r="F211" s="30">
        <f t="shared" si="2"/>
        <v>219.68999688209442</v>
      </c>
      <c r="G211" s="30">
        <f t="shared" si="4"/>
        <v>12562.631093496067</v>
      </c>
      <c r="H211" s="30">
        <f t="shared" si="3"/>
        <v>248.36890650393252</v>
      </c>
    </row>
    <row r="212" spans="1:8" ht="15" customHeight="1" x14ac:dyDescent="0.25">
      <c r="A212" s="27" t="s">
        <v>157</v>
      </c>
      <c r="B212" s="30">
        <f xml:space="preserve"> 11745</f>
        <v>11745</v>
      </c>
      <c r="C212" s="30">
        <v>1.2304291284849682</v>
      </c>
      <c r="D212" s="30">
        <f t="shared" si="5"/>
        <v>9545.4502239081903</v>
      </c>
      <c r="E212" s="30">
        <f>_xll.StatMean(D208:D211)</f>
        <v>11131.679038778449</v>
      </c>
      <c r="F212" s="30">
        <f t="shared" si="2"/>
        <v>-1586.2288148702592</v>
      </c>
      <c r="G212" s="30">
        <f t="shared" si="4"/>
        <v>13696.742138258556</v>
      </c>
      <c r="H212" s="30">
        <f t="shared" si="3"/>
        <v>-1951.7421382585562</v>
      </c>
    </row>
    <row r="213" spans="1:8" ht="15" customHeight="1" x14ac:dyDescent="0.25">
      <c r="A213" s="27" t="s">
        <v>158</v>
      </c>
      <c r="B213" s="30">
        <f xml:space="preserve"> 16120</f>
        <v>16120</v>
      </c>
      <c r="C213" s="30">
        <v>1.3819008428061568</v>
      </c>
      <c r="D213" s="30">
        <f t="shared" si="5"/>
        <v>11665.091662630384</v>
      </c>
      <c r="E213" s="30">
        <f>_xll.StatMean(D209:D212)</f>
        <v>10672.131888529784</v>
      </c>
      <c r="F213" s="30">
        <f t="shared" si="2"/>
        <v>992.95977410060004</v>
      </c>
      <c r="G213" s="30">
        <f t="shared" si="4"/>
        <v>14747.828051297771</v>
      </c>
      <c r="H213" s="30">
        <f t="shared" si="3"/>
        <v>1372.1719487022292</v>
      </c>
    </row>
    <row r="214" spans="1:8" ht="15" customHeight="1" x14ac:dyDescent="0.25">
      <c r="A214" s="27" t="s">
        <v>159</v>
      </c>
      <c r="B214" s="30">
        <f xml:space="preserve"> 13229</f>
        <v>13229</v>
      </c>
      <c r="C214" s="30">
        <v>1.285220361869311</v>
      </c>
      <c r="D214" s="30">
        <f t="shared" si="5"/>
        <v>10293.176479680769</v>
      </c>
      <c r="E214" s="30">
        <f>_xll.StatMean(D210:D213)</f>
        <v>10842.872720712967</v>
      </c>
      <c r="F214" s="30">
        <f t="shared" si="2"/>
        <v>-549.69624103219758</v>
      </c>
      <c r="G214" s="30">
        <f t="shared" ref="G214:G245" si="6">E214*C214</f>
        <v>13935.480801817599</v>
      </c>
      <c r="H214" s="30">
        <f t="shared" si="3"/>
        <v>-706.48080181759906</v>
      </c>
    </row>
    <row r="215" spans="1:8" ht="15" customHeight="1" x14ac:dyDescent="0.25">
      <c r="A215" s="27" t="s">
        <v>160</v>
      </c>
      <c r="B215" s="30">
        <f xml:space="preserve"> 12419</f>
        <v>12419</v>
      </c>
      <c r="C215" s="30">
        <v>1.1406877679904877</v>
      </c>
      <c r="D215" s="30">
        <f t="shared" si="5"/>
        <v>10887.291289077419</v>
      </c>
      <c r="E215" s="30">
        <f>_xll.StatMean(D211:D214)</f>
        <v>10708.861247204692</v>
      </c>
      <c r="F215" s="30">
        <f t="shared" ref="F215:F262" si="7">D215-E215</f>
        <v>178.43004187272709</v>
      </c>
      <c r="G215" s="30">
        <f t="shared" si="6"/>
        <v>12215.46703379375</v>
      </c>
      <c r="H215" s="30">
        <f t="shared" ref="H215:H262" si="8">B215-G215</f>
        <v>203.53296620625042</v>
      </c>
    </row>
    <row r="216" spans="1:8" ht="15" customHeight="1" x14ac:dyDescent="0.25">
      <c r="A216" s="27" t="s">
        <v>161</v>
      </c>
      <c r="B216" s="30">
        <f xml:space="preserve"> 11209</f>
        <v>11209</v>
      </c>
      <c r="C216" s="30">
        <v>1.0314769480730648</v>
      </c>
      <c r="D216" s="30">
        <f t="shared" si="5"/>
        <v>10866.941836111697</v>
      </c>
      <c r="E216" s="30">
        <f>_xll.StatMean(D212:D215)</f>
        <v>10597.75241382419</v>
      </c>
      <c r="F216" s="30">
        <f t="shared" si="7"/>
        <v>269.18942228750711</v>
      </c>
      <c r="G216" s="30">
        <f t="shared" si="6"/>
        <v>10931.33731624533</v>
      </c>
      <c r="H216" s="30">
        <f t="shared" si="8"/>
        <v>277.66268375467007</v>
      </c>
    </row>
    <row r="217" spans="1:8" ht="15" customHeight="1" x14ac:dyDescent="0.25">
      <c r="A217" s="27" t="s">
        <v>162</v>
      </c>
      <c r="B217" s="30">
        <f xml:space="preserve"> 10227</f>
        <v>10227</v>
      </c>
      <c r="C217" s="30">
        <v>0.85731962540790363</v>
      </c>
      <c r="D217" s="30">
        <f t="shared" si="5"/>
        <v>11929.039878369869</v>
      </c>
      <c r="E217" s="30">
        <f>_xll.StatMean(D213:D216)</f>
        <v>10928.125316875068</v>
      </c>
      <c r="F217" s="30">
        <f t="shared" si="7"/>
        <v>1000.9145614948011</v>
      </c>
      <c r="G217" s="30">
        <f t="shared" si="6"/>
        <v>9368.8963030739615</v>
      </c>
      <c r="H217" s="30">
        <f t="shared" si="8"/>
        <v>858.10369692603854</v>
      </c>
    </row>
    <row r="218" spans="1:8" ht="15" customHeight="1" x14ac:dyDescent="0.25">
      <c r="A218" s="27" t="s">
        <v>163</v>
      </c>
      <c r="B218" s="30">
        <f xml:space="preserve"> 7275</f>
        <v>7275</v>
      </c>
      <c r="C218" s="30">
        <v>0.65836014152389244</v>
      </c>
      <c r="D218" s="30">
        <f t="shared" si="5"/>
        <v>11050.182933554741</v>
      </c>
      <c r="E218" s="30">
        <f>_xll.StatMean(D214:D217)</f>
        <v>10994.112370809939</v>
      </c>
      <c r="F218" s="30">
        <f t="shared" si="7"/>
        <v>56.070562744802373</v>
      </c>
      <c r="G218" s="30">
        <f t="shared" si="6"/>
        <v>7238.0853763760078</v>
      </c>
      <c r="H218" s="30">
        <f t="shared" si="8"/>
        <v>36.914623623992156</v>
      </c>
    </row>
    <row r="219" spans="1:8" ht="15" customHeight="1" x14ac:dyDescent="0.25">
      <c r="A219" s="27" t="s">
        <v>164</v>
      </c>
      <c r="B219" s="30">
        <f xml:space="preserve"> 8200</f>
        <v>8200</v>
      </c>
      <c r="C219" s="30">
        <v>0.72735144649296102</v>
      </c>
      <c r="D219" s="30">
        <f t="shared" si="5"/>
        <v>11273.779738168647</v>
      </c>
      <c r="E219" s="30">
        <f>_xll.StatMean(D215:D218)</f>
        <v>11183.363984278432</v>
      </c>
      <c r="F219" s="30">
        <f t="shared" si="7"/>
        <v>90.415753890214546</v>
      </c>
      <c r="G219" s="30">
        <f t="shared" si="6"/>
        <v>8134.2359706222014</v>
      </c>
      <c r="H219" s="30">
        <f t="shared" si="8"/>
        <v>65.764029377798579</v>
      </c>
    </row>
    <row r="220" spans="1:8" ht="15" customHeight="1" x14ac:dyDescent="0.25">
      <c r="A220" s="27" t="s">
        <v>165</v>
      </c>
      <c r="B220" s="30">
        <f xml:space="preserve"> 7470</f>
        <v>7470</v>
      </c>
      <c r="C220" s="30">
        <v>0.74650998074620667</v>
      </c>
      <c r="D220" s="30">
        <f t="shared" si="5"/>
        <v>10006.564135328821</v>
      </c>
      <c r="E220" s="30">
        <f>_xll.StatMean(D216:D219)</f>
        <v>11279.98609655124</v>
      </c>
      <c r="F220" s="30">
        <f t="shared" si="7"/>
        <v>-1273.4219612224188</v>
      </c>
      <c r="G220" s="30">
        <f t="shared" si="6"/>
        <v>8420.6222037539446</v>
      </c>
      <c r="H220" s="30">
        <f t="shared" si="8"/>
        <v>-950.62220375394463</v>
      </c>
    </row>
    <row r="221" spans="1:8" ht="15" customHeight="1" x14ac:dyDescent="0.25">
      <c r="A221" s="27" t="s">
        <v>166</v>
      </c>
      <c r="B221" s="30">
        <f xml:space="preserve"> 10347</f>
        <v>10347</v>
      </c>
      <c r="C221" s="30">
        <v>0.88234263026144533</v>
      </c>
      <c r="D221" s="30">
        <f t="shared" si="5"/>
        <v>11726.737035174307</v>
      </c>
      <c r="E221" s="30">
        <f>_xll.StatMean(D217:D220)</f>
        <v>11064.891671355519</v>
      </c>
      <c r="F221" s="30">
        <f t="shared" si="7"/>
        <v>661.84536381878752</v>
      </c>
      <c r="G221" s="30">
        <f t="shared" si="6"/>
        <v>9763.0256208617884</v>
      </c>
      <c r="H221" s="30">
        <f t="shared" si="8"/>
        <v>583.97437913821159</v>
      </c>
    </row>
    <row r="222" spans="1:8" ht="15" customHeight="1" x14ac:dyDescent="0.25">
      <c r="A222" s="27" t="s">
        <v>167</v>
      </c>
      <c r="B222" s="30">
        <f xml:space="preserve"> 10090</f>
        <v>10090</v>
      </c>
      <c r="C222" s="30">
        <v>0.92785979022739862</v>
      </c>
      <c r="D222" s="30">
        <f t="shared" si="5"/>
        <v>10874.487833476604</v>
      </c>
      <c r="E222" s="30">
        <f>_xll.StatMean(D218:D221)</f>
        <v>11014.315960556629</v>
      </c>
      <c r="F222" s="30">
        <f t="shared" si="7"/>
        <v>-139.8281270800253</v>
      </c>
      <c r="G222" s="30">
        <f t="shared" si="6"/>
        <v>10219.740896660362</v>
      </c>
      <c r="H222" s="30">
        <f t="shared" si="8"/>
        <v>-129.74089666036161</v>
      </c>
    </row>
    <row r="223" spans="1:8" ht="15" customHeight="1" x14ac:dyDescent="0.25">
      <c r="A223" s="27" t="s">
        <v>168</v>
      </c>
      <c r="B223" s="30">
        <f xml:space="preserve"> 12014</f>
        <v>12014</v>
      </c>
      <c r="C223" s="30">
        <v>1.1305426283802498</v>
      </c>
      <c r="D223" s="30">
        <f t="shared" si="5"/>
        <v>10626.755416744161</v>
      </c>
      <c r="E223" s="30">
        <f>_xll.StatMean(D219:D222)</f>
        <v>10970.392185537095</v>
      </c>
      <c r="F223" s="30">
        <f t="shared" si="7"/>
        <v>-343.63676879293416</v>
      </c>
      <c r="G223" s="30">
        <f t="shared" si="6"/>
        <v>12402.496015799261</v>
      </c>
      <c r="H223" s="30">
        <f t="shared" si="8"/>
        <v>-388.49601579926093</v>
      </c>
    </row>
    <row r="224" spans="1:8" ht="15" customHeight="1" x14ac:dyDescent="0.25">
      <c r="A224" s="27" t="s">
        <v>169</v>
      </c>
      <c r="B224" s="30">
        <f xml:space="preserve"> 13217</f>
        <v>13217</v>
      </c>
      <c r="C224" s="30">
        <v>1.2304291284849682</v>
      </c>
      <c r="D224" s="30">
        <f t="shared" si="5"/>
        <v>10741.780809654709</v>
      </c>
      <c r="E224" s="30">
        <f>_xll.StatMean(D220:D223)</f>
        <v>10808.636105180973</v>
      </c>
      <c r="F224" s="30">
        <f t="shared" si="7"/>
        <v>-66.855295526263944</v>
      </c>
      <c r="G224" s="30">
        <f t="shared" si="6"/>
        <v>13299.260703008986</v>
      </c>
      <c r="H224" s="30">
        <f t="shared" si="8"/>
        <v>-82.260703008985729</v>
      </c>
    </row>
    <row r="225" spans="1:8" ht="15" customHeight="1" x14ac:dyDescent="0.25">
      <c r="A225" s="27" t="s">
        <v>170</v>
      </c>
      <c r="B225" s="30">
        <f xml:space="preserve"> 15777</f>
        <v>15777</v>
      </c>
      <c r="C225" s="30">
        <v>1.3819008428061568</v>
      </c>
      <c r="D225" s="30">
        <f t="shared" si="5"/>
        <v>11416.882826384588</v>
      </c>
      <c r="E225" s="30">
        <f>_xll.StatMean(D221:D224)</f>
        <v>10992.440273762446</v>
      </c>
      <c r="F225" s="30">
        <f t="shared" si="7"/>
        <v>424.4425526221421</v>
      </c>
      <c r="G225" s="30">
        <f t="shared" si="6"/>
        <v>15190.462478808664</v>
      </c>
      <c r="H225" s="30">
        <f t="shared" si="8"/>
        <v>586.53752119133605</v>
      </c>
    </row>
    <row r="226" spans="1:8" ht="15" customHeight="1" x14ac:dyDescent="0.25">
      <c r="A226" s="27" t="s">
        <v>171</v>
      </c>
      <c r="B226" s="30">
        <f xml:space="preserve"> 14014</f>
        <v>14014</v>
      </c>
      <c r="C226" s="30">
        <v>1.285220361869311</v>
      </c>
      <c r="D226" s="30">
        <f t="shared" si="5"/>
        <v>10903.966678225588</v>
      </c>
      <c r="E226" s="30">
        <f>_xll.StatMean(D222:D225)</f>
        <v>10914.976721565015</v>
      </c>
      <c r="F226" s="30">
        <f t="shared" si="7"/>
        <v>-11.010043339427284</v>
      </c>
      <c r="G226" s="30">
        <f t="shared" si="6"/>
        <v>14028.150331884895</v>
      </c>
      <c r="H226" s="30">
        <f t="shared" si="8"/>
        <v>-14.150331884895422</v>
      </c>
    </row>
    <row r="227" spans="1:8" ht="15" customHeight="1" x14ac:dyDescent="0.25">
      <c r="A227" s="27" t="s">
        <v>172</v>
      </c>
      <c r="B227" s="30">
        <f xml:space="preserve"> 11875</f>
        <v>11875</v>
      </c>
      <c r="C227" s="30">
        <v>1.1406877679904877</v>
      </c>
      <c r="D227" s="30">
        <f t="shared" si="5"/>
        <v>10410.386026072498</v>
      </c>
      <c r="E227" s="30">
        <f>_xll.StatMean(D223:D226)</f>
        <v>10922.346432752262</v>
      </c>
      <c r="F227" s="30">
        <f t="shared" si="7"/>
        <v>-511.96040667976376</v>
      </c>
      <c r="G227" s="30">
        <f t="shared" si="6"/>
        <v>12458.986973595041</v>
      </c>
      <c r="H227" s="30">
        <f t="shared" si="8"/>
        <v>-583.98697359504149</v>
      </c>
    </row>
    <row r="228" spans="1:8" ht="15" customHeight="1" x14ac:dyDescent="0.25">
      <c r="A228" s="27" t="s">
        <v>173</v>
      </c>
      <c r="B228" s="30">
        <f xml:space="preserve"> 11140</f>
        <v>11140</v>
      </c>
      <c r="C228" s="30">
        <v>1.0314769480730648</v>
      </c>
      <c r="D228" s="30">
        <f t="shared" si="5"/>
        <v>10800.047466703925</v>
      </c>
      <c r="E228" s="30">
        <f>_xll.StatMean(D224:D227)</f>
        <v>10868.254085084345</v>
      </c>
      <c r="F228" s="30">
        <f t="shared" si="7"/>
        <v>-68.206618380419968</v>
      </c>
      <c r="G228" s="30">
        <f t="shared" si="6"/>
        <v>11210.353554565419</v>
      </c>
      <c r="H228" s="30">
        <f t="shared" si="8"/>
        <v>-70.353554565419472</v>
      </c>
    </row>
    <row r="229" spans="1:8" ht="15" customHeight="1" x14ac:dyDescent="0.25">
      <c r="A229" s="27" t="s">
        <v>174</v>
      </c>
      <c r="B229" s="30">
        <f xml:space="preserve"> 9117</f>
        <v>9117</v>
      </c>
      <c r="C229" s="30">
        <v>0.85731962540790363</v>
      </c>
      <c r="D229" s="30">
        <f t="shared" si="5"/>
        <v>10634.306890691121</v>
      </c>
      <c r="E229" s="30">
        <f>_xll.StatMean(D225:D228)</f>
        <v>10882.820749346649</v>
      </c>
      <c r="F229" s="30">
        <f t="shared" si="7"/>
        <v>-248.51385865552766</v>
      </c>
      <c r="G229" s="30">
        <f t="shared" si="6"/>
        <v>9330.0558082112293</v>
      </c>
      <c r="H229" s="30">
        <f t="shared" si="8"/>
        <v>-213.05580821122931</v>
      </c>
    </row>
    <row r="230" spans="1:8" ht="15" customHeight="1" x14ac:dyDescent="0.25">
      <c r="A230" s="27" t="s">
        <v>175</v>
      </c>
      <c r="B230" s="30">
        <f xml:space="preserve"> 7315</f>
        <v>7315</v>
      </c>
      <c r="C230" s="30">
        <v>0.65836014152389244</v>
      </c>
      <c r="D230" s="30">
        <f t="shared" si="5"/>
        <v>11110.939953120678</v>
      </c>
      <c r="E230" s="30">
        <f>_xll.StatMean(D226:D229)</f>
        <v>10687.176765423283</v>
      </c>
      <c r="F230" s="30">
        <f t="shared" si="7"/>
        <v>423.76318769739555</v>
      </c>
      <c r="G230" s="30">
        <f t="shared" si="6"/>
        <v>7036.0112077749272</v>
      </c>
      <c r="H230" s="30">
        <f t="shared" si="8"/>
        <v>278.98879222507276</v>
      </c>
    </row>
    <row r="231" spans="1:8" ht="15" customHeight="1" x14ac:dyDescent="0.25">
      <c r="A231" s="27" t="s">
        <v>176</v>
      </c>
      <c r="B231" s="30">
        <f xml:space="preserve"> 8128</f>
        <v>8128</v>
      </c>
      <c r="C231" s="30">
        <v>0.72735144649296102</v>
      </c>
      <c r="D231" s="30">
        <f t="shared" si="5"/>
        <v>11174.790452662775</v>
      </c>
      <c r="E231" s="30">
        <f>_xll.StatMean(D227:D230)</f>
        <v>10738.920084147056</v>
      </c>
      <c r="F231" s="30">
        <f t="shared" si="7"/>
        <v>435.87036851571975</v>
      </c>
      <c r="G231" s="30">
        <f t="shared" si="6"/>
        <v>7810.9690569766717</v>
      </c>
      <c r="H231" s="30">
        <f t="shared" si="8"/>
        <v>317.03094302332829</v>
      </c>
    </row>
    <row r="232" spans="1:8" ht="15" customHeight="1" x14ac:dyDescent="0.25">
      <c r="A232" s="27" t="s">
        <v>177</v>
      </c>
      <c r="B232" s="30">
        <f xml:space="preserve"> 9076</f>
        <v>9076</v>
      </c>
      <c r="C232" s="30">
        <v>0.74650998074620667</v>
      </c>
      <c r="D232" s="30">
        <f t="shared" si="5"/>
        <v>12157.908446083584</v>
      </c>
      <c r="E232" s="30">
        <f>_xll.StatMean(D228:D231)</f>
        <v>10930.021190794625</v>
      </c>
      <c r="F232" s="30">
        <f t="shared" si="7"/>
        <v>1227.8872552889588</v>
      </c>
      <c r="G232" s="30">
        <f t="shared" si="6"/>
        <v>8159.3699086957267</v>
      </c>
      <c r="H232" s="30">
        <f t="shared" si="8"/>
        <v>916.63009130427326</v>
      </c>
    </row>
    <row r="233" spans="1:8" ht="15" customHeight="1" x14ac:dyDescent="0.25">
      <c r="A233" s="27" t="s">
        <v>178</v>
      </c>
      <c r="B233" s="30">
        <f xml:space="preserve"> 9826</f>
        <v>9826</v>
      </c>
      <c r="C233" s="30">
        <v>0.88234263026144533</v>
      </c>
      <c r="D233" s="30">
        <f t="shared" si="5"/>
        <v>11136.263468408499</v>
      </c>
      <c r="E233" s="30">
        <f>_xll.StatMean(D229:D232)</f>
        <v>11269.486435639541</v>
      </c>
      <c r="F233" s="30">
        <f t="shared" si="7"/>
        <v>-133.22296723104228</v>
      </c>
      <c r="G233" s="30">
        <f t="shared" si="6"/>
        <v>9943.5483033178734</v>
      </c>
      <c r="H233" s="30">
        <f t="shared" si="8"/>
        <v>-117.54830331787343</v>
      </c>
    </row>
    <row r="234" spans="1:8" ht="15" customHeight="1" x14ac:dyDescent="0.25">
      <c r="A234" s="27" t="s">
        <v>179</v>
      </c>
      <c r="B234" s="30">
        <f xml:space="preserve"> 10262</f>
        <v>10262</v>
      </c>
      <c r="C234" s="30">
        <v>0.92785979022739862</v>
      </c>
      <c r="D234" s="30">
        <f t="shared" si="5"/>
        <v>11059.860668695432</v>
      </c>
      <c r="E234" s="30">
        <f>_xll.StatMean(D230:D233)</f>
        <v>11394.975580068885</v>
      </c>
      <c r="F234" s="30">
        <f t="shared" si="7"/>
        <v>-335.11491137345365</v>
      </c>
      <c r="G234" s="30">
        <f t="shared" si="6"/>
        <v>10572.939651369046</v>
      </c>
      <c r="H234" s="30">
        <f t="shared" si="8"/>
        <v>-310.93965136904626</v>
      </c>
    </row>
    <row r="235" spans="1:8" ht="15" customHeight="1" x14ac:dyDescent="0.25">
      <c r="A235" s="27" t="s">
        <v>180</v>
      </c>
      <c r="B235" s="30">
        <f xml:space="preserve"> 13074</f>
        <v>13074</v>
      </c>
      <c r="C235" s="30">
        <v>1.1305426283802498</v>
      </c>
      <c r="D235" s="30">
        <f t="shared" si="5"/>
        <v>11564.358275221672</v>
      </c>
      <c r="E235" s="30">
        <f>_xll.StatMean(D231:D234)</f>
        <v>11382.205758962573</v>
      </c>
      <c r="F235" s="30">
        <f t="shared" si="7"/>
        <v>182.15251625909877</v>
      </c>
      <c r="G235" s="30">
        <f t="shared" si="6"/>
        <v>12868.068815502364</v>
      </c>
      <c r="H235" s="30">
        <f t="shared" si="8"/>
        <v>205.93118449763642</v>
      </c>
    </row>
    <row r="236" spans="1:8" ht="15" customHeight="1" x14ac:dyDescent="0.25">
      <c r="A236" s="27" t="s">
        <v>181</v>
      </c>
      <c r="B236" s="30">
        <f xml:space="preserve"> 14261</f>
        <v>14261</v>
      </c>
      <c r="C236" s="30">
        <v>1.2304291284849682</v>
      </c>
      <c r="D236" s="30">
        <f t="shared" si="5"/>
        <v>11590.265274002104</v>
      </c>
      <c r="E236" s="30">
        <f>_xll.StatMean(D232:D235)</f>
        <v>11479.597714602296</v>
      </c>
      <c r="F236" s="30">
        <f t="shared" si="7"/>
        <v>110.66755939980794</v>
      </c>
      <c r="G236" s="30">
        <f t="shared" si="6"/>
        <v>14124.831411336136</v>
      </c>
      <c r="H236" s="30">
        <f t="shared" si="8"/>
        <v>136.16858866386428</v>
      </c>
    </row>
    <row r="237" spans="1:8" ht="15" customHeight="1" x14ac:dyDescent="0.25">
      <c r="A237" s="27" t="s">
        <v>182</v>
      </c>
      <c r="B237" s="30">
        <f xml:space="preserve"> 14601</f>
        <v>14601</v>
      </c>
      <c r="C237" s="30">
        <v>1.3819008428061568</v>
      </c>
      <c r="D237" s="30">
        <f t="shared" si="5"/>
        <v>10565.88110211329</v>
      </c>
      <c r="E237" s="30">
        <f>_xll.StatMean(D233:D236)</f>
        <v>11337.686921581924</v>
      </c>
      <c r="F237" s="30">
        <f t="shared" si="7"/>
        <v>-771.80581946863458</v>
      </c>
      <c r="G237" s="30">
        <f t="shared" si="6"/>
        <v>15667.559112406403</v>
      </c>
      <c r="H237" s="30">
        <f t="shared" si="8"/>
        <v>-1066.5591124064031</v>
      </c>
    </row>
    <row r="238" spans="1:8" ht="15" customHeight="1" x14ac:dyDescent="0.25">
      <c r="A238" s="27" t="s">
        <v>183</v>
      </c>
      <c r="B238" s="30">
        <f xml:space="preserve"> 14353</f>
        <v>14353</v>
      </c>
      <c r="C238" s="30">
        <v>1.285220361869311</v>
      </c>
      <c r="D238" s="30">
        <f t="shared" si="5"/>
        <v>11167.734674794625</v>
      </c>
      <c r="E238" s="30">
        <f>_xll.StatMean(D234:D237)</f>
        <v>11195.091330008123</v>
      </c>
      <c r="F238" s="30">
        <f t="shared" si="7"/>
        <v>-27.356655213498016</v>
      </c>
      <c r="G238" s="30">
        <f t="shared" si="6"/>
        <v>14388.159330313027</v>
      </c>
      <c r="H238" s="30">
        <f t="shared" si="8"/>
        <v>-35.159330313026658</v>
      </c>
    </row>
    <row r="239" spans="1:8" ht="15" customHeight="1" x14ac:dyDescent="0.25">
      <c r="A239" s="27" t="s">
        <v>184</v>
      </c>
      <c r="B239" s="30">
        <f xml:space="preserve"> 13868</f>
        <v>13868</v>
      </c>
      <c r="C239" s="30">
        <v>1.1406877679904877</v>
      </c>
      <c r="D239" s="30">
        <f t="shared" si="5"/>
        <v>12157.577550279864</v>
      </c>
      <c r="E239" s="30">
        <f>_xll.StatMean(D235:D238)</f>
        <v>11222.059831532923</v>
      </c>
      <c r="F239" s="30">
        <f t="shared" si="7"/>
        <v>935.51771874694168</v>
      </c>
      <c r="G239" s="30">
        <f t="shared" si="6"/>
        <v>12800.866381486998</v>
      </c>
      <c r="H239" s="30">
        <f t="shared" si="8"/>
        <v>1067.1336185130021</v>
      </c>
    </row>
    <row r="240" spans="1:8" ht="15" customHeight="1" x14ac:dyDescent="0.25">
      <c r="A240" s="27" t="s">
        <v>185</v>
      </c>
      <c r="B240" s="30">
        <f xml:space="preserve"> 11311</f>
        <v>11311</v>
      </c>
      <c r="C240" s="30">
        <v>1.0314769480730648</v>
      </c>
      <c r="D240" s="30">
        <f t="shared" si="5"/>
        <v>10965.829164801446</v>
      </c>
      <c r="E240" s="30">
        <f>_xll.StatMean(D236:D239)</f>
        <v>11370.36465029747</v>
      </c>
      <c r="F240" s="30">
        <f t="shared" si="7"/>
        <v>-404.53548549602419</v>
      </c>
      <c r="G240" s="30">
        <f t="shared" si="6"/>
        <v>11728.269027966695</v>
      </c>
      <c r="H240" s="30">
        <f t="shared" si="8"/>
        <v>-417.26902796669492</v>
      </c>
    </row>
    <row r="241" spans="1:8" ht="15" customHeight="1" x14ac:dyDescent="0.25">
      <c r="A241" s="27" t="s">
        <v>186</v>
      </c>
      <c r="B241" s="30">
        <f xml:space="preserve"> 9305</f>
        <v>9305</v>
      </c>
      <c r="C241" s="30">
        <v>0.85731962540790363</v>
      </c>
      <c r="D241" s="30">
        <f t="shared" si="5"/>
        <v>10853.595000315991</v>
      </c>
      <c r="E241" s="30">
        <f>_xll.StatMean(D237:D240)</f>
        <v>11214.255622997305</v>
      </c>
      <c r="F241" s="30">
        <f t="shared" si="7"/>
        <v>-360.66062268131463</v>
      </c>
      <c r="G241" s="30">
        <f t="shared" si="6"/>
        <v>9614.2014299365273</v>
      </c>
      <c r="H241" s="30">
        <f t="shared" si="8"/>
        <v>-309.20142993652735</v>
      </c>
    </row>
    <row r="242" spans="1:8" ht="15" customHeight="1" x14ac:dyDescent="0.25">
      <c r="A242" s="27" t="s">
        <v>187</v>
      </c>
      <c r="B242" s="30">
        <f xml:space="preserve"> 7075</f>
        <v>7075</v>
      </c>
      <c r="C242" s="30">
        <v>0.65836014152389244</v>
      </c>
      <c r="D242" s="30">
        <f t="shared" si="5"/>
        <v>10746.397835725056</v>
      </c>
      <c r="E242" s="30">
        <f>_xll.StatMean(D238:D241)</f>
        <v>11286.184097547981</v>
      </c>
      <c r="F242" s="30">
        <f t="shared" si="7"/>
        <v>-539.78626182292464</v>
      </c>
      <c r="G242" s="30">
        <f t="shared" si="6"/>
        <v>7430.3737597263926</v>
      </c>
      <c r="H242" s="30">
        <f t="shared" si="8"/>
        <v>-355.37375972639256</v>
      </c>
    </row>
    <row r="243" spans="1:8" ht="15" customHeight="1" x14ac:dyDescent="0.25">
      <c r="A243" s="27" t="s">
        <v>188</v>
      </c>
      <c r="B243" s="30">
        <f xml:space="preserve"> 7826</f>
        <v>7826</v>
      </c>
      <c r="C243" s="30">
        <v>0.72735144649296102</v>
      </c>
      <c r="D243" s="30">
        <f t="shared" si="5"/>
        <v>10759.585394013149</v>
      </c>
      <c r="E243" s="30">
        <f>_xll.StatMean(D239:D242)</f>
        <v>11180.849887780591</v>
      </c>
      <c r="F243" s="30">
        <f t="shared" si="7"/>
        <v>-421.26449376744131</v>
      </c>
      <c r="G243" s="30">
        <f t="shared" si="6"/>
        <v>8132.4073388978732</v>
      </c>
      <c r="H243" s="30">
        <f t="shared" si="8"/>
        <v>-306.40733889787316</v>
      </c>
    </row>
    <row r="244" spans="1:8" ht="15" customHeight="1" x14ac:dyDescent="0.25">
      <c r="A244" s="27" t="s">
        <v>189</v>
      </c>
      <c r="B244" s="30">
        <f xml:space="preserve"> 8147</f>
        <v>8147</v>
      </c>
      <c r="C244" s="30">
        <v>0.74650998074620667</v>
      </c>
      <c r="D244" s="30">
        <f t="shared" si="5"/>
        <v>10913.450871556077</v>
      </c>
      <c r="E244" s="30">
        <f>_xll.StatMean(D240:D243)</f>
        <v>10831.351848713912</v>
      </c>
      <c r="F244" s="30">
        <f t="shared" si="7"/>
        <v>82.099022842165141</v>
      </c>
      <c r="G244" s="30">
        <f t="shared" si="6"/>
        <v>8085.712260038812</v>
      </c>
      <c r="H244" s="30">
        <f t="shared" si="8"/>
        <v>61.287739961187981</v>
      </c>
    </row>
    <row r="245" spans="1:8" ht="15" customHeight="1" x14ac:dyDescent="0.25">
      <c r="A245" s="27" t="s">
        <v>190</v>
      </c>
      <c r="B245" s="30">
        <f xml:space="preserve"> 9648</f>
        <v>9648</v>
      </c>
      <c r="C245" s="30">
        <v>0.88234263026144533</v>
      </c>
      <c r="D245" s="30">
        <f t="shared" si="5"/>
        <v>10934.527777651658</v>
      </c>
      <c r="E245" s="30">
        <f>_xll.StatMean(D241:D244)</f>
        <v>10818.257275402568</v>
      </c>
      <c r="F245" s="30">
        <f t="shared" si="7"/>
        <v>116.27050224908999</v>
      </c>
      <c r="G245" s="30">
        <f t="shared" si="6"/>
        <v>9545.4095792237185</v>
      </c>
      <c r="H245" s="30">
        <f t="shared" si="8"/>
        <v>102.59042077628146</v>
      </c>
    </row>
    <row r="246" spans="1:8" ht="15" customHeight="1" x14ac:dyDescent="0.25">
      <c r="A246" s="27" t="s">
        <v>191</v>
      </c>
      <c r="B246" s="30">
        <f xml:space="preserve"> 10941</f>
        <v>10941</v>
      </c>
      <c r="C246" s="30">
        <v>0.92785979022739862</v>
      </c>
      <c r="D246" s="30">
        <f t="shared" si="5"/>
        <v>11791.652268193015</v>
      </c>
      <c r="E246" s="30">
        <f>_xll.StatMean(D242:D245)</f>
        <v>10838.490469736485</v>
      </c>
      <c r="F246" s="30">
        <f t="shared" si="7"/>
        <v>953.16179845652914</v>
      </c>
      <c r="G246" s="30">
        <f t="shared" ref="G246:G270" si="9">E246*C246</f>
        <v>10056.599493631355</v>
      </c>
      <c r="H246" s="30">
        <f t="shared" si="8"/>
        <v>884.40050636864544</v>
      </c>
    </row>
    <row r="247" spans="1:8" ht="15" customHeight="1" x14ac:dyDescent="0.25">
      <c r="A247" s="27" t="s">
        <v>192</v>
      </c>
      <c r="B247" s="30">
        <f xml:space="preserve"> 12023</f>
        <v>12023</v>
      </c>
      <c r="C247" s="30">
        <v>1.1305426283802498</v>
      </c>
      <c r="D247" s="30">
        <f t="shared" si="5"/>
        <v>10634.716195731235</v>
      </c>
      <c r="E247" s="30">
        <f>_xll.StatMean(D243:D246)</f>
        <v>11099.804077853474</v>
      </c>
      <c r="F247" s="30">
        <f t="shared" si="7"/>
        <v>-465.08788212223953</v>
      </c>
      <c r="G247" s="30">
        <f t="shared" si="9"/>
        <v>12548.801676682282</v>
      </c>
      <c r="H247" s="30">
        <f t="shared" si="8"/>
        <v>-525.80167668228205</v>
      </c>
    </row>
    <row r="248" spans="1:8" ht="15" customHeight="1" x14ac:dyDescent="0.25">
      <c r="A248" s="27" t="s">
        <v>193</v>
      </c>
      <c r="B248" s="30">
        <f xml:space="preserve"> 13805</f>
        <v>13805</v>
      </c>
      <c r="C248" s="30">
        <v>1.2304291284849682</v>
      </c>
      <c r="D248" s="30">
        <f t="shared" si="5"/>
        <v>11219.662864287149</v>
      </c>
      <c r="E248" s="30">
        <f>_xll.StatMean(D244:D247)</f>
        <v>11068.586778282996</v>
      </c>
      <c r="F248" s="30">
        <f t="shared" si="7"/>
        <v>151.07608600415369</v>
      </c>
      <c r="G248" s="30">
        <f t="shared" si="9"/>
        <v>13619.111583162989</v>
      </c>
      <c r="H248" s="30">
        <f t="shared" si="8"/>
        <v>185.88841683701139</v>
      </c>
    </row>
    <row r="249" spans="1:8" ht="15" customHeight="1" x14ac:dyDescent="0.25">
      <c r="A249" s="27" t="s">
        <v>194</v>
      </c>
      <c r="B249" s="30">
        <f xml:space="preserve"> 14622</f>
        <v>14622</v>
      </c>
      <c r="C249" s="30">
        <v>1.3819008428061568</v>
      </c>
      <c r="D249" s="30">
        <f t="shared" si="5"/>
        <v>10581.077561475278</v>
      </c>
      <c r="E249" s="30">
        <f>_xll.StatMean(D245:D248)</f>
        <v>11145.139776465765</v>
      </c>
      <c r="F249" s="30">
        <f t="shared" si="7"/>
        <v>-564.06221499048661</v>
      </c>
      <c r="G249" s="30">
        <f t="shared" si="9"/>
        <v>15401.478050290461</v>
      </c>
      <c r="H249" s="30">
        <f t="shared" si="8"/>
        <v>-779.4780502904614</v>
      </c>
    </row>
    <row r="250" spans="1:8" ht="15" customHeight="1" x14ac:dyDescent="0.25">
      <c r="A250" s="27" t="s">
        <v>195</v>
      </c>
      <c r="B250" s="30">
        <f xml:space="preserve"> 13921</f>
        <v>13921</v>
      </c>
      <c r="C250" s="30">
        <v>1.285220361869311</v>
      </c>
      <c r="D250" s="30">
        <f t="shared" si="5"/>
        <v>10831.605546423463</v>
      </c>
      <c r="E250" s="30">
        <f>_xll.StatMean(D246:D249)</f>
        <v>11056.77722242167</v>
      </c>
      <c r="F250" s="30">
        <f t="shared" si="7"/>
        <v>-225.17167599820641</v>
      </c>
      <c r="G250" s="30">
        <f t="shared" si="9"/>
        <v>14210.395222909134</v>
      </c>
      <c r="H250" s="30">
        <f t="shared" si="8"/>
        <v>-289.39522290913374</v>
      </c>
    </row>
    <row r="251" spans="1:8" ht="15" customHeight="1" x14ac:dyDescent="0.25">
      <c r="A251" s="27" t="s">
        <v>196</v>
      </c>
      <c r="B251" s="30">
        <f xml:space="preserve"> 12680</f>
        <v>12680</v>
      </c>
      <c r="C251" s="30">
        <v>1.1406877679904877</v>
      </c>
      <c r="D251" s="30">
        <f t="shared" si="5"/>
        <v>11116.100615629412</v>
      </c>
      <c r="E251" s="30">
        <f>_xll.StatMean(D247:D250)</f>
        <v>10816.765541979283</v>
      </c>
      <c r="F251" s="30">
        <f t="shared" si="7"/>
        <v>299.33507365012883</v>
      </c>
      <c r="G251" s="30">
        <f t="shared" si="9"/>
        <v>12338.552142956765</v>
      </c>
      <c r="H251" s="30">
        <f t="shared" si="8"/>
        <v>341.44785704323476</v>
      </c>
    </row>
    <row r="252" spans="1:8" ht="15" customHeight="1" x14ac:dyDescent="0.25">
      <c r="A252" s="27" t="s">
        <v>197</v>
      </c>
      <c r="B252" s="30">
        <f xml:space="preserve"> 11076</f>
        <v>11076</v>
      </c>
      <c r="C252" s="30">
        <v>1.0314769480730648</v>
      </c>
      <c r="D252" s="30">
        <f t="shared" si="5"/>
        <v>10738.000515369182</v>
      </c>
      <c r="E252" s="30">
        <f>_xll.StatMean(D248:D251)</f>
        <v>10937.111646953826</v>
      </c>
      <c r="F252" s="30">
        <f t="shared" si="7"/>
        <v>-199.11113158464468</v>
      </c>
      <c r="G252" s="30">
        <f t="shared" si="9"/>
        <v>11281.378542334303</v>
      </c>
      <c r="H252" s="30">
        <f t="shared" si="8"/>
        <v>-205.37854233430335</v>
      </c>
    </row>
    <row r="253" spans="1:8" ht="15" customHeight="1" x14ac:dyDescent="0.25">
      <c r="A253" s="27" t="s">
        <v>198</v>
      </c>
      <c r="B253" s="30">
        <f xml:space="preserve"> 8288</f>
        <v>8288</v>
      </c>
      <c r="C253" s="30">
        <v>0.85731962540790363</v>
      </c>
      <c r="D253" s="30">
        <f t="shared" si="5"/>
        <v>9667.3396413346509</v>
      </c>
      <c r="E253" s="30">
        <f>_xll.StatMean(D249:D252)</f>
        <v>10816.696059724334</v>
      </c>
      <c r="F253" s="30">
        <f t="shared" si="7"/>
        <v>-1149.3564183896833</v>
      </c>
      <c r="G253" s="30">
        <f t="shared" si="9"/>
        <v>9273.3658140740135</v>
      </c>
      <c r="H253" s="30">
        <f t="shared" si="8"/>
        <v>-985.36581407401354</v>
      </c>
    </row>
    <row r="254" spans="1:8" ht="15" customHeight="1" x14ac:dyDescent="0.25">
      <c r="A254" s="27" t="s">
        <v>199</v>
      </c>
      <c r="B254" s="30">
        <f xml:space="preserve"> 7061</f>
        <v>7061</v>
      </c>
      <c r="C254" s="30">
        <v>0.65836014152389244</v>
      </c>
      <c r="D254" s="30">
        <f t="shared" si="5"/>
        <v>10725.132878876979</v>
      </c>
      <c r="E254" s="30">
        <f>_xll.StatMean(D250:D253)</f>
        <v>10588.261579689177</v>
      </c>
      <c r="F254" s="30">
        <f t="shared" si="7"/>
        <v>136.87129918780192</v>
      </c>
      <c r="G254" s="30">
        <f t="shared" si="9"/>
        <v>6970.8893920961591</v>
      </c>
      <c r="H254" s="30">
        <f t="shared" si="8"/>
        <v>90.110607903840901</v>
      </c>
    </row>
    <row r="255" spans="1:8" ht="15" customHeight="1" x14ac:dyDescent="0.25">
      <c r="A255" s="27" t="s">
        <v>200</v>
      </c>
      <c r="B255" s="30">
        <f xml:space="preserve"> 7365</f>
        <v>7365</v>
      </c>
      <c r="C255" s="30">
        <v>0.72735144649296102</v>
      </c>
      <c r="D255" s="30">
        <f t="shared" si="5"/>
        <v>10125.778996538058</v>
      </c>
      <c r="E255" s="30">
        <f>_xll.StatMean(D251:D254)</f>
        <v>10561.643412802554</v>
      </c>
      <c r="F255" s="30">
        <f t="shared" si="7"/>
        <v>-435.86441626449596</v>
      </c>
      <c r="G255" s="30">
        <f t="shared" si="9"/>
        <v>7682.0266136447908</v>
      </c>
      <c r="H255" s="30">
        <f t="shared" si="8"/>
        <v>-317.02661364479081</v>
      </c>
    </row>
    <row r="256" spans="1:8" ht="15" customHeight="1" x14ac:dyDescent="0.25">
      <c r="A256" s="27" t="s">
        <v>201</v>
      </c>
      <c r="B256" s="30">
        <f xml:space="preserve"> 7969</f>
        <v>7969</v>
      </c>
      <c r="C256" s="30">
        <v>0.74650998074620667</v>
      </c>
      <c r="D256" s="30">
        <f t="shared" si="5"/>
        <v>10675.00797783606</v>
      </c>
      <c r="E256" s="30">
        <f>_xll.StatMean(D252:D255)</f>
        <v>10314.063008029716</v>
      </c>
      <c r="F256" s="30">
        <f t="shared" si="7"/>
        <v>360.94496980634358</v>
      </c>
      <c r="G256" s="30">
        <f t="shared" si="9"/>
        <v>7699.5509775394257</v>
      </c>
      <c r="H256" s="30">
        <f t="shared" si="8"/>
        <v>269.44902246057427</v>
      </c>
    </row>
    <row r="257" spans="1:8" ht="15" customHeight="1" x14ac:dyDescent="0.25">
      <c r="A257" s="27" t="s">
        <v>202</v>
      </c>
      <c r="B257" s="30">
        <f xml:space="preserve"> 10018</f>
        <v>10018</v>
      </c>
      <c r="C257" s="30">
        <v>0.88234263026144533</v>
      </c>
      <c r="D257" s="30">
        <f t="shared" si="5"/>
        <v>11353.866011247337</v>
      </c>
      <c r="E257" s="30">
        <f>_xll.StatMean(D253:D256)</f>
        <v>10298.314873646437</v>
      </c>
      <c r="F257" s="30">
        <f t="shared" si="7"/>
        <v>1055.5511376008999</v>
      </c>
      <c r="G257" s="30">
        <f t="shared" si="9"/>
        <v>9086.6422328737608</v>
      </c>
      <c r="H257" s="30">
        <f t="shared" si="8"/>
        <v>931.3577671262392</v>
      </c>
    </row>
    <row r="258" spans="1:8" ht="15" customHeight="1" x14ac:dyDescent="0.25">
      <c r="A258" s="27" t="s">
        <v>203</v>
      </c>
      <c r="B258" s="30">
        <f xml:space="preserve"> 10512</f>
        <v>10512</v>
      </c>
      <c r="C258" s="30">
        <v>0.92785979022739862</v>
      </c>
      <c r="D258" s="30">
        <f t="shared" si="5"/>
        <v>11329.297929187915</v>
      </c>
      <c r="E258" s="30">
        <f>_xll.StatMean(D254:D257)</f>
        <v>10719.946466124609</v>
      </c>
      <c r="F258" s="30">
        <f t="shared" si="7"/>
        <v>609.35146306330535</v>
      </c>
      <c r="G258" s="30">
        <f t="shared" si="9"/>
        <v>9946.6072793073236</v>
      </c>
      <c r="H258" s="30">
        <f t="shared" si="8"/>
        <v>565.39272069267645</v>
      </c>
    </row>
    <row r="259" spans="1:8" ht="15" customHeight="1" x14ac:dyDescent="0.25">
      <c r="A259" s="27" t="s">
        <v>204</v>
      </c>
      <c r="B259" s="30">
        <f xml:space="preserve"> 11937</f>
        <v>11937</v>
      </c>
      <c r="C259" s="30">
        <v>1.1305426283802498</v>
      </c>
      <c r="D259" s="30">
        <f t="shared" si="5"/>
        <v>10558.646529854757</v>
      </c>
      <c r="E259" s="30">
        <f>_xll.StatMean(D255:D258)</f>
        <v>10870.987728702343</v>
      </c>
      <c r="F259" s="30">
        <f t="shared" si="7"/>
        <v>-312.34119884758547</v>
      </c>
      <c r="G259" s="30">
        <f t="shared" si="9"/>
        <v>12290.115039896587</v>
      </c>
      <c r="H259" s="30">
        <f t="shared" si="8"/>
        <v>-353.1150398965874</v>
      </c>
    </row>
    <row r="260" spans="1:8" ht="15" customHeight="1" x14ac:dyDescent="0.25">
      <c r="A260" s="27" t="s">
        <v>205</v>
      </c>
      <c r="B260" s="30">
        <f xml:space="preserve"> 13453</f>
        <v>13453</v>
      </c>
      <c r="C260" s="30">
        <v>1.2304291284849682</v>
      </c>
      <c r="D260" s="30">
        <f t="shared" si="5"/>
        <v>10933.583811173852</v>
      </c>
      <c r="E260" s="30">
        <f>_xll.StatMean(D256:D259)</f>
        <v>10979.204612031517</v>
      </c>
      <c r="F260" s="30">
        <f t="shared" si="7"/>
        <v>-45.620800857665017</v>
      </c>
      <c r="G260" s="30">
        <f t="shared" si="9"/>
        <v>13509.133162240083</v>
      </c>
      <c r="H260" s="30">
        <f t="shared" si="8"/>
        <v>-56.133162240083038</v>
      </c>
    </row>
    <row r="261" spans="1:8" ht="15" customHeight="1" x14ac:dyDescent="0.25">
      <c r="A261" s="27" t="s">
        <v>206</v>
      </c>
      <c r="B261" s="30">
        <f xml:space="preserve"> 14793</f>
        <v>14793</v>
      </c>
      <c r="C261" s="30">
        <v>1.3819008428061568</v>
      </c>
      <c r="D261" s="30">
        <f t="shared" si="5"/>
        <v>10704.820159137176</v>
      </c>
      <c r="E261" s="30">
        <f>_xll.StatMean(D257:D260)</f>
        <v>11043.848570365964</v>
      </c>
      <c r="F261" s="30">
        <f t="shared" si="7"/>
        <v>-339.02841122878817</v>
      </c>
      <c r="G261" s="30">
        <f t="shared" si="9"/>
        <v>15261.503647212296</v>
      </c>
      <c r="H261" s="30">
        <f t="shared" si="8"/>
        <v>-468.50364721229562</v>
      </c>
    </row>
    <row r="262" spans="1:8" ht="15" customHeight="1" x14ac:dyDescent="0.25">
      <c r="A262" s="40" t="s">
        <v>207</v>
      </c>
      <c r="B262" s="41">
        <f xml:space="preserve"> 13661</f>
        <v>13661</v>
      </c>
      <c r="C262" s="41">
        <v>1.285220361869311</v>
      </c>
      <c r="D262" s="41">
        <f t="shared" si="5"/>
        <v>10629.305608051931</v>
      </c>
      <c r="E262" s="41">
        <f>_xll.StatMean(D258:D261)</f>
        <v>10881.587107338426</v>
      </c>
      <c r="F262" s="41">
        <f t="shared" si="7"/>
        <v>-252.28149928649509</v>
      </c>
      <c r="G262" s="41">
        <f t="shared" si="9"/>
        <v>13985.237319805921</v>
      </c>
      <c r="H262" s="41">
        <f t="shared" si="8"/>
        <v>-324.23731980592129</v>
      </c>
    </row>
    <row r="263" spans="1:8" ht="15" customHeight="1" x14ac:dyDescent="0.25">
      <c r="A263" s="27" t="s">
        <v>208</v>
      </c>
      <c r="B263" s="30"/>
      <c r="C263" s="30">
        <v>1.1406877679904877</v>
      </c>
      <c r="D263" s="30"/>
      <c r="E263" s="30">
        <f>_xll.StatMean(D259:D262)</f>
        <v>10706.58902705443</v>
      </c>
      <c r="F263" s="30"/>
      <c r="G263" s="30">
        <f t="shared" si="9"/>
        <v>12212.875140062164</v>
      </c>
      <c r="H263" s="30"/>
    </row>
    <row r="264" spans="1:8" ht="15" customHeight="1" x14ac:dyDescent="0.25">
      <c r="A264" s="27" t="s">
        <v>213</v>
      </c>
      <c r="B264" s="30"/>
      <c r="C264" s="30">
        <v>1.0314769480730648</v>
      </c>
      <c r="D264" s="30"/>
      <c r="E264" s="30">
        <f>_xll.StatMean(D260:D262,E263)</f>
        <v>10743.574651354347</v>
      </c>
      <c r="F264" s="30"/>
      <c r="G264" s="30">
        <f t="shared" si="9"/>
        <v>11081.749592774124</v>
      </c>
      <c r="H264" s="30"/>
    </row>
    <row r="265" spans="1:8" ht="15" customHeight="1" x14ac:dyDescent="0.25">
      <c r="A265" s="27" t="s">
        <v>214</v>
      </c>
      <c r="B265" s="30"/>
      <c r="C265" s="30">
        <v>0.85731962540790363</v>
      </c>
      <c r="D265" s="30"/>
      <c r="E265" s="30">
        <f>_xll.StatMean(D261:D262,E263:E264)</f>
        <v>10696.072361399471</v>
      </c>
      <c r="F265" s="30"/>
      <c r="G265" s="30">
        <f t="shared" si="9"/>
        <v>9169.9527502108249</v>
      </c>
      <c r="H265" s="30"/>
    </row>
    <row r="266" spans="1:8" ht="15" customHeight="1" x14ac:dyDescent="0.25">
      <c r="A266" s="27" t="s">
        <v>215</v>
      </c>
      <c r="B266" s="30"/>
      <c r="C266" s="30">
        <v>0.65836014152389244</v>
      </c>
      <c r="D266" s="30"/>
      <c r="E266" s="30">
        <f>_xll.StatMean(D262,E263:E265)</f>
        <v>10693.885411965044</v>
      </c>
      <c r="F266" s="30"/>
      <c r="G266" s="30">
        <f t="shared" si="9"/>
        <v>7040.4279132615957</v>
      </c>
      <c r="H266" s="30"/>
    </row>
    <row r="267" spans="1:8" ht="15" customHeight="1" x14ac:dyDescent="0.25">
      <c r="A267" s="27" t="s">
        <v>216</v>
      </c>
      <c r="B267" s="30"/>
      <c r="C267" s="30">
        <v>0.72735144649296102</v>
      </c>
      <c r="D267" s="30"/>
      <c r="E267" s="30">
        <f>_xll.StatMean(E263:E266)</f>
        <v>10710.030362943322</v>
      </c>
      <c r="F267" s="30"/>
      <c r="G267" s="30">
        <f t="shared" si="9"/>
        <v>7789.9560764703574</v>
      </c>
      <c r="H267" s="30"/>
    </row>
    <row r="268" spans="1:8" ht="15" customHeight="1" x14ac:dyDescent="0.25">
      <c r="A268" s="27" t="s">
        <v>217</v>
      </c>
      <c r="B268" s="30"/>
      <c r="C268" s="30">
        <v>0.74650998074620667</v>
      </c>
      <c r="D268" s="30"/>
      <c r="E268" s="30">
        <f>_xll.StatMean(E264:E267)</f>
        <v>10710.890696915547</v>
      </c>
      <c r="F268" s="30"/>
      <c r="G268" s="30">
        <f t="shared" si="9"/>
        <v>7995.7868079291493</v>
      </c>
      <c r="H268" s="30"/>
    </row>
    <row r="269" spans="1:8" ht="15" customHeight="1" x14ac:dyDescent="0.25">
      <c r="A269" s="27" t="s">
        <v>218</v>
      </c>
      <c r="B269" s="30"/>
      <c r="C269" s="30">
        <v>0.88234263026144533</v>
      </c>
      <c r="D269" s="30"/>
      <c r="E269" s="30">
        <f>_xll.StatMean(E265:E268)</f>
        <v>10702.719708305845</v>
      </c>
      <c r="F269" s="30"/>
      <c r="G269" s="30">
        <f t="shared" si="9"/>
        <v>9443.465858377589</v>
      </c>
      <c r="H269" s="30"/>
    </row>
    <row r="270" spans="1:8" ht="15" customHeight="1" x14ac:dyDescent="0.25">
      <c r="A270" s="27" t="s">
        <v>219</v>
      </c>
      <c r="B270" s="30"/>
      <c r="C270" s="30">
        <v>0.92785979022739862</v>
      </c>
      <c r="D270" s="30"/>
      <c r="E270" s="30">
        <f>_xll.StatMean(E266:E269)</f>
        <v>10704.38154503244</v>
      </c>
      <c r="F270" s="30"/>
      <c r="G270" s="30">
        <f t="shared" si="9"/>
        <v>9932.1652148878366</v>
      </c>
      <c r="H270" s="30"/>
    </row>
  </sheetData>
  <pageMargins left="0.7" right="0.7" top="0.75" bottom="0.75" header="0.3" footer="0.3"/>
  <pageSetup paperSize="9"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70"/>
  <sheetViews>
    <sheetView showGridLines="0" workbookViewId="0">
      <selection activeCell="J26" sqref="J26"/>
    </sheetView>
  </sheetViews>
  <sheetFormatPr defaultColWidth="12.7109375" defaultRowHeight="15" x14ac:dyDescent="0.25"/>
  <cols>
    <col min="1" max="1" width="26.28515625" bestFit="1" customWidth="1"/>
    <col min="2" max="8" width="12.7109375" customWidth="1"/>
  </cols>
  <sheetData>
    <row r="1" spans="1:3" s="16" customFormat="1" ht="18.75" x14ac:dyDescent="0.3">
      <c r="A1" s="22" t="s">
        <v>75</v>
      </c>
      <c r="B1" s="20"/>
    </row>
    <row r="2" spans="1:3" s="16" customFormat="1" ht="11.25" x14ac:dyDescent="0.2">
      <c r="A2" s="18" t="s">
        <v>76</v>
      </c>
      <c r="B2" s="20" t="s">
        <v>77</v>
      </c>
    </row>
    <row r="3" spans="1:3" s="16" customFormat="1" ht="11.25" x14ac:dyDescent="0.2">
      <c r="A3" s="18" t="s">
        <v>78</v>
      </c>
      <c r="B3" s="20" t="s">
        <v>79</v>
      </c>
    </row>
    <row r="4" spans="1:3" s="16" customFormat="1" ht="11.25" x14ac:dyDescent="0.2">
      <c r="A4" s="18" t="s">
        <v>80</v>
      </c>
      <c r="B4" s="23">
        <v>45067</v>
      </c>
    </row>
    <row r="5" spans="1:3" s="17" customFormat="1" ht="11.25" x14ac:dyDescent="0.2">
      <c r="A5" s="19" t="s">
        <v>81</v>
      </c>
      <c r="B5" s="21" t="s">
        <v>82</v>
      </c>
    </row>
    <row r="7" spans="1:3" ht="15" customHeight="1" x14ac:dyDescent="0.25">
      <c r="A7" s="28" t="s">
        <v>297</v>
      </c>
      <c r="B7" s="25"/>
    </row>
    <row r="8" spans="1:3" ht="15" customHeight="1" thickBot="1" x14ac:dyDescent="0.3">
      <c r="A8" s="39" t="s">
        <v>83</v>
      </c>
      <c r="B8" s="38"/>
    </row>
    <row r="9" spans="1:3" ht="15" customHeight="1" thickTop="1" x14ac:dyDescent="0.25">
      <c r="A9" s="27" t="s">
        <v>87</v>
      </c>
      <c r="B9" s="24">
        <v>4</v>
      </c>
    </row>
    <row r="10" spans="1:3" ht="15" customHeight="1" x14ac:dyDescent="0.25"/>
    <row r="11" spans="1:3" ht="15" customHeight="1" x14ac:dyDescent="0.25">
      <c r="A11" s="28"/>
      <c r="B11" s="25"/>
      <c r="C11" s="25" t="s">
        <v>220</v>
      </c>
    </row>
    <row r="12" spans="1:3" ht="15" customHeight="1" thickBot="1" x14ac:dyDescent="0.3">
      <c r="A12" s="39" t="s">
        <v>85</v>
      </c>
      <c r="B12" s="38"/>
      <c r="C12" s="38" t="s">
        <v>225</v>
      </c>
    </row>
    <row r="13" spans="1:3" ht="15" customHeight="1" thickTop="1" x14ac:dyDescent="0.25">
      <c r="A13" s="27" t="s">
        <v>88</v>
      </c>
      <c r="B13" s="30">
        <f>_xll.StatMeanAbs(H150:H262)</f>
        <v>705.31780093781742</v>
      </c>
      <c r="C13" s="30">
        <f>_xll.StatMeanAbs(F150:F262)</f>
        <v>706.52419462908369</v>
      </c>
    </row>
    <row r="14" spans="1:3" ht="15" customHeight="1" x14ac:dyDescent="0.25">
      <c r="A14" s="27" t="s">
        <v>89</v>
      </c>
      <c r="B14" s="30">
        <f>SQRT(SUMSQ(H150:H262)/_xll.StatCount(H150:H262))</f>
        <v>878.35738427095043</v>
      </c>
      <c r="C14" s="30">
        <f>SQRT(SUMSQ(F150:F262)/_xll.StatCount(F150:F262))</f>
        <v>879.68408130667603</v>
      </c>
    </row>
    <row r="15" spans="1:3" ht="15" customHeight="1" x14ac:dyDescent="0.25">
      <c r="A15" s="27" t="s">
        <v>90</v>
      </c>
      <c r="B15" s="33">
        <f>_xll.StatPairMeanAbsQuotient(H150:H262,B150:B262)</f>
        <v>4.3765356612468942E-2</v>
      </c>
      <c r="C15" s="33">
        <f>_xll.StatPairMeanAbsQuotient(F150:F262,D150:D262)</f>
        <v>4.3765356612468935E-2</v>
      </c>
    </row>
    <row r="16" spans="1:3"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spans="1:8" ht="15" customHeight="1" x14ac:dyDescent="0.25"/>
    <row r="130" spans="1:8" ht="15" customHeight="1" x14ac:dyDescent="0.25"/>
    <row r="131" spans="1:8" ht="15" customHeight="1" x14ac:dyDescent="0.25"/>
    <row r="132" spans="1:8" ht="15" customHeight="1" x14ac:dyDescent="0.25"/>
    <row r="133" spans="1:8" ht="15" customHeight="1" x14ac:dyDescent="0.25"/>
    <row r="134" spans="1:8" ht="15" customHeight="1" x14ac:dyDescent="0.25"/>
    <row r="135" spans="1:8" ht="15" customHeight="1" x14ac:dyDescent="0.25"/>
    <row r="136" spans="1:8" ht="15" customHeight="1" x14ac:dyDescent="0.25"/>
    <row r="137" spans="1:8" ht="15" customHeight="1" x14ac:dyDescent="0.25"/>
    <row r="138" spans="1:8" ht="15" customHeight="1" x14ac:dyDescent="0.25"/>
    <row r="139" spans="1:8" ht="15" customHeight="1" x14ac:dyDescent="0.25"/>
    <row r="140" spans="1:8" ht="15" customHeight="1" x14ac:dyDescent="0.25"/>
    <row r="141" spans="1:8" ht="15" customHeight="1" x14ac:dyDescent="0.25"/>
    <row r="142" spans="1:8" ht="15" customHeight="1" x14ac:dyDescent="0.25"/>
    <row r="143" spans="1:8" ht="15" customHeight="1" x14ac:dyDescent="0.25"/>
    <row r="144" spans="1:8" ht="15" customHeight="1" x14ac:dyDescent="0.25">
      <c r="A144" s="28"/>
      <c r="B144" s="25"/>
      <c r="C144" s="25" t="s">
        <v>222</v>
      </c>
      <c r="D144" s="25" t="s">
        <v>220</v>
      </c>
      <c r="E144" s="25" t="s">
        <v>221</v>
      </c>
      <c r="F144" s="25" t="s">
        <v>220</v>
      </c>
      <c r="G144" s="25" t="s">
        <v>222</v>
      </c>
      <c r="H144" s="25" t="s">
        <v>222</v>
      </c>
    </row>
    <row r="145" spans="1:8" ht="15" customHeight="1" thickBot="1" x14ac:dyDescent="0.3">
      <c r="A145" s="39" t="s">
        <v>86</v>
      </c>
      <c r="B145" s="38" t="s">
        <v>1</v>
      </c>
      <c r="C145" s="38" t="s">
        <v>223</v>
      </c>
      <c r="D145" s="38" t="s">
        <v>1</v>
      </c>
      <c r="E145" s="38" t="s">
        <v>77</v>
      </c>
      <c r="F145" s="38" t="s">
        <v>224</v>
      </c>
      <c r="G145" s="38" t="s">
        <v>77</v>
      </c>
      <c r="H145" s="38" t="s">
        <v>224</v>
      </c>
    </row>
    <row r="146" spans="1:8" ht="15" customHeight="1" thickTop="1" x14ac:dyDescent="0.25">
      <c r="A146" s="27" t="s">
        <v>91</v>
      </c>
      <c r="B146" s="30">
        <f xml:space="preserve"> 12326</f>
        <v>12326</v>
      </c>
      <c r="C146" s="30">
        <v>0.90657052885571165</v>
      </c>
      <c r="D146" s="30">
        <f>B146/C146</f>
        <v>13596.294615442752</v>
      </c>
      <c r="E146" s="30"/>
      <c r="F146" s="30"/>
      <c r="G146" s="30"/>
      <c r="H146" s="30"/>
    </row>
    <row r="147" spans="1:8" ht="15" customHeight="1" x14ac:dyDescent="0.25">
      <c r="A147" s="27" t="s">
        <v>92</v>
      </c>
      <c r="B147" s="30">
        <f xml:space="preserve"> 13229</f>
        <v>13229</v>
      </c>
      <c r="C147" s="30">
        <v>0.90805598066695403</v>
      </c>
      <c r="D147" s="30">
        <f t="shared" ref="D147:D210" si="0">B147/C147</f>
        <v>14568.485073225871</v>
      </c>
      <c r="E147" s="30"/>
      <c r="F147" s="30"/>
      <c r="G147" s="30"/>
      <c r="H147" s="30"/>
    </row>
    <row r="148" spans="1:8" ht="15" customHeight="1" x14ac:dyDescent="0.25">
      <c r="A148" s="27" t="s">
        <v>93</v>
      </c>
      <c r="B148" s="30">
        <f xml:space="preserve"> 13278</f>
        <v>13278</v>
      </c>
      <c r="C148" s="30">
        <v>0.88554664064815469</v>
      </c>
      <c r="D148" s="30">
        <f t="shared" si="0"/>
        <v>14994.128361529874</v>
      </c>
      <c r="E148" s="30"/>
      <c r="F148" s="30"/>
      <c r="G148" s="30"/>
      <c r="H148" s="30"/>
    </row>
    <row r="149" spans="1:8" ht="15" customHeight="1" x14ac:dyDescent="0.25">
      <c r="A149" s="27" t="s">
        <v>94</v>
      </c>
      <c r="B149" s="30">
        <f xml:space="preserve"> 13592</f>
        <v>13592</v>
      </c>
      <c r="C149" s="30">
        <v>0.91566790449517033</v>
      </c>
      <c r="D149" s="30">
        <f t="shared" si="0"/>
        <v>14843.809565973152</v>
      </c>
      <c r="E149" s="30"/>
      <c r="F149" s="30"/>
      <c r="G149" s="30"/>
      <c r="H149" s="30"/>
    </row>
    <row r="150" spans="1:8" ht="15" customHeight="1" x14ac:dyDescent="0.25">
      <c r="A150" s="27" t="s">
        <v>95</v>
      </c>
      <c r="B150" s="30">
        <f xml:space="preserve"> 14711</f>
        <v>14711</v>
      </c>
      <c r="C150" s="30">
        <v>1.0046707510607737</v>
      </c>
      <c r="D150" s="30">
        <f t="shared" si="0"/>
        <v>14642.608023043873</v>
      </c>
      <c r="E150" s="30">
        <f>_xll.StatMean(D146:D149)</f>
        <v>14500.679404042912</v>
      </c>
      <c r="F150" s="30">
        <f>D150-E150</f>
        <v>141.92861900096068</v>
      </c>
      <c r="G150" s="30">
        <f t="shared" ref="G150:G181" si="1">E150*C150</f>
        <v>14568.408467751286</v>
      </c>
      <c r="H150" s="30">
        <f>B150-G150</f>
        <v>142.59153224871443</v>
      </c>
    </row>
    <row r="151" spans="1:8" ht="15" customHeight="1" x14ac:dyDescent="0.25">
      <c r="A151" s="27" t="s">
        <v>96</v>
      </c>
      <c r="B151" s="30">
        <f xml:space="preserve"> 16204</f>
        <v>16204</v>
      </c>
      <c r="C151" s="30">
        <v>1.0984136010088161</v>
      </c>
      <c r="D151" s="30">
        <f t="shared" si="0"/>
        <v>14752.184409513646</v>
      </c>
      <c r="E151" s="30">
        <f>_xll.StatMean(D147:D150)</f>
        <v>14762.257755943194</v>
      </c>
      <c r="F151" s="30">
        <f t="shared" ref="F151:F214" si="2">D151-E151</f>
        <v>-10.07334642954811</v>
      </c>
      <c r="G151" s="30">
        <f t="shared" si="1"/>
        <v>16215.064700725889</v>
      </c>
      <c r="H151" s="30">
        <f t="shared" ref="H151:H214" si="3">B151-G151</f>
        <v>-11.064700725888542</v>
      </c>
    </row>
    <row r="152" spans="1:8" ht="15" customHeight="1" x14ac:dyDescent="0.25">
      <c r="A152" s="27" t="s">
        <v>97</v>
      </c>
      <c r="B152" s="30">
        <f xml:space="preserve"> 17507</f>
        <v>17507</v>
      </c>
      <c r="C152" s="30">
        <v>1.1681866116143564</v>
      </c>
      <c r="D152" s="30">
        <f t="shared" si="0"/>
        <v>14986.475470564148</v>
      </c>
      <c r="E152" s="30">
        <f>_xll.StatMean(D148:D151)</f>
        <v>14808.182590015136</v>
      </c>
      <c r="F152" s="30">
        <f t="shared" si="2"/>
        <v>178.2928805490119</v>
      </c>
      <c r="G152" s="30">
        <f t="shared" si="1"/>
        <v>17298.720643996487</v>
      </c>
      <c r="H152" s="30">
        <f t="shared" si="3"/>
        <v>208.27935600351339</v>
      </c>
    </row>
    <row r="153" spans="1:8" ht="15" customHeight="1" x14ac:dyDescent="0.25">
      <c r="A153" s="27" t="s">
        <v>98</v>
      </c>
      <c r="B153" s="30">
        <f xml:space="preserve"> 18537</f>
        <v>18537</v>
      </c>
      <c r="C153" s="30">
        <v>1.229305276209552</v>
      </c>
      <c r="D153" s="30">
        <f t="shared" si="0"/>
        <v>15079.248709610283</v>
      </c>
      <c r="E153" s="30">
        <f>_xll.StatMean(D149:D152)</f>
        <v>14806.269367273704</v>
      </c>
      <c r="F153" s="30">
        <f t="shared" si="2"/>
        <v>272.97934233657907</v>
      </c>
      <c r="G153" s="30">
        <f t="shared" si="1"/>
        <v>18201.425054169431</v>
      </c>
      <c r="H153" s="30">
        <f t="shared" si="3"/>
        <v>335.57494583056905</v>
      </c>
    </row>
    <row r="154" spans="1:8" ht="15" customHeight="1" x14ac:dyDescent="0.25">
      <c r="A154" s="27" t="s">
        <v>99</v>
      </c>
      <c r="B154" s="30">
        <f xml:space="preserve"> 13933</f>
        <v>13933</v>
      </c>
      <c r="C154" s="30">
        <v>1.0076470532738075</v>
      </c>
      <c r="D154" s="30">
        <f t="shared" si="0"/>
        <v>13827.262189406702</v>
      </c>
      <c r="E154" s="30">
        <f>_xll.StatMean(D150:D153)</f>
        <v>14865.129153182988</v>
      </c>
      <c r="F154" s="30">
        <f t="shared" si="2"/>
        <v>-1037.8669637762869</v>
      </c>
      <c r="G154" s="30">
        <f t="shared" si="1"/>
        <v>14978.803587739409</v>
      </c>
      <c r="H154" s="30">
        <f t="shared" si="3"/>
        <v>-1045.8035877394086</v>
      </c>
    </row>
    <row r="155" spans="1:8" ht="15" customHeight="1" x14ac:dyDescent="0.25">
      <c r="A155" s="27" t="s">
        <v>100</v>
      </c>
      <c r="B155" s="30">
        <f xml:space="preserve"> 16680</f>
        <v>16680</v>
      </c>
      <c r="C155" s="30">
        <v>1.0242421211021173</v>
      </c>
      <c r="D155" s="30">
        <f t="shared" si="0"/>
        <v>16285.211920450787</v>
      </c>
      <c r="E155" s="30">
        <f>_xll.StatMean(D151:D154)</f>
        <v>14661.292694773696</v>
      </c>
      <c r="F155" s="30">
        <f t="shared" si="2"/>
        <v>1623.9192256770912</v>
      </c>
      <c r="G155" s="30">
        <f t="shared" si="1"/>
        <v>15016.713527793989</v>
      </c>
      <c r="H155" s="30">
        <f t="shared" si="3"/>
        <v>1663.2864722060112</v>
      </c>
    </row>
    <row r="156" spans="1:8" ht="15" customHeight="1" x14ac:dyDescent="0.25">
      <c r="A156" s="27" t="s">
        <v>101</v>
      </c>
      <c r="B156" s="30">
        <f xml:space="preserve"> 14793</f>
        <v>14793</v>
      </c>
      <c r="C156" s="30">
        <v>0.94663970878958614</v>
      </c>
      <c r="D156" s="30">
        <f t="shared" si="0"/>
        <v>15626.853450839242</v>
      </c>
      <c r="E156" s="30">
        <f>_xll.StatMean(D152:D155)</f>
        <v>15044.549572507982</v>
      </c>
      <c r="F156" s="30">
        <f t="shared" si="2"/>
        <v>582.30387833126042</v>
      </c>
      <c r="G156" s="30">
        <f t="shared" si="1"/>
        <v>14241.768026189449</v>
      </c>
      <c r="H156" s="30">
        <f t="shared" si="3"/>
        <v>551.2319738105507</v>
      </c>
    </row>
    <row r="157" spans="1:8" ht="15" customHeight="1" x14ac:dyDescent="0.25">
      <c r="A157" s="27" t="s">
        <v>102</v>
      </c>
      <c r="B157" s="30">
        <f xml:space="preserve"> 12742</f>
        <v>12742</v>
      </c>
      <c r="C157" s="30">
        <v>0.9050536648720291</v>
      </c>
      <c r="D157" s="30">
        <f t="shared" si="0"/>
        <v>14078.723168091548</v>
      </c>
      <c r="E157" s="30">
        <f>_xll.StatMean(D153:D156)</f>
        <v>15204.644067576754</v>
      </c>
      <c r="F157" s="30">
        <f t="shared" si="2"/>
        <v>-1125.9208994852052</v>
      </c>
      <c r="G157" s="30">
        <f t="shared" si="1"/>
        <v>13761.018836435096</v>
      </c>
      <c r="H157" s="30">
        <f t="shared" si="3"/>
        <v>-1019.0188364350961</v>
      </c>
    </row>
    <row r="158" spans="1:8" ht="15" customHeight="1" x14ac:dyDescent="0.25">
      <c r="A158" s="27" t="s">
        <v>103</v>
      </c>
      <c r="B158" s="30">
        <f xml:space="preserve"> 11850</f>
        <v>11850</v>
      </c>
      <c r="C158" s="30">
        <v>0.90657052885571165</v>
      </c>
      <c r="D158" s="30">
        <f t="shared" si="0"/>
        <v>13071.238941505484</v>
      </c>
      <c r="E158" s="30">
        <f>_xll.StatMean(D154:D157)</f>
        <v>14954.51268219707</v>
      </c>
      <c r="F158" s="30">
        <f t="shared" si="2"/>
        <v>-1883.2737406915858</v>
      </c>
      <c r="G158" s="30">
        <f t="shared" si="1"/>
        <v>13557.320471078845</v>
      </c>
      <c r="H158" s="30">
        <f t="shared" si="3"/>
        <v>-1707.320471078845</v>
      </c>
    </row>
    <row r="159" spans="1:8" ht="15" customHeight="1" x14ac:dyDescent="0.25">
      <c r="A159" s="27" t="s">
        <v>104</v>
      </c>
      <c r="B159" s="30">
        <f xml:space="preserve"> 13061</f>
        <v>13061</v>
      </c>
      <c r="C159" s="30">
        <v>0.90805598066695403</v>
      </c>
      <c r="D159" s="30">
        <f t="shared" si="0"/>
        <v>14383.474453201534</v>
      </c>
      <c r="E159" s="30">
        <f>_xll.StatMean(D155:D158)</f>
        <v>14765.506870221767</v>
      </c>
      <c r="F159" s="30">
        <f t="shared" si="2"/>
        <v>-382.03241702023297</v>
      </c>
      <c r="G159" s="30">
        <f t="shared" si="1"/>
        <v>13407.906821083874</v>
      </c>
      <c r="H159" s="30">
        <f t="shared" si="3"/>
        <v>-346.90682108387409</v>
      </c>
    </row>
    <row r="160" spans="1:8" ht="15" customHeight="1" x14ac:dyDescent="0.25">
      <c r="A160" s="27" t="s">
        <v>105</v>
      </c>
      <c r="B160" s="30">
        <f xml:space="preserve"> 13179</f>
        <v>13179</v>
      </c>
      <c r="C160" s="30">
        <v>0.88554664064815469</v>
      </c>
      <c r="D160" s="30">
        <f t="shared" si="0"/>
        <v>14882.333007727233</v>
      </c>
      <c r="E160" s="30">
        <f>_xll.StatMean(D156:D159)</f>
        <v>14290.072503409452</v>
      </c>
      <c r="F160" s="30">
        <f t="shared" si="2"/>
        <v>592.26050431778094</v>
      </c>
      <c r="G160" s="30">
        <f t="shared" si="1"/>
        <v>12654.525700012806</v>
      </c>
      <c r="H160" s="30">
        <f t="shared" si="3"/>
        <v>524.47429998719417</v>
      </c>
    </row>
    <row r="161" spans="1:8" ht="15" customHeight="1" x14ac:dyDescent="0.25">
      <c r="A161" s="27" t="s">
        <v>106</v>
      </c>
      <c r="B161" s="30">
        <f xml:space="preserve"> 14340</f>
        <v>14340</v>
      </c>
      <c r="C161" s="30">
        <v>0.91566790449517033</v>
      </c>
      <c r="D161" s="30">
        <f t="shared" si="0"/>
        <v>15660.699615660315</v>
      </c>
      <c r="E161" s="30">
        <f>_xll.StatMean(D157:D160)</f>
        <v>14103.94239263145</v>
      </c>
      <c r="F161" s="30">
        <f t="shared" si="2"/>
        <v>1556.7572230288642</v>
      </c>
      <c r="G161" s="30">
        <f t="shared" si="1"/>
        <v>12914.527375781439</v>
      </c>
      <c r="H161" s="30">
        <f t="shared" si="3"/>
        <v>1425.4726242185607</v>
      </c>
    </row>
    <row r="162" spans="1:8" ht="15" customHeight="1" x14ac:dyDescent="0.25">
      <c r="A162" s="27" t="s">
        <v>107</v>
      </c>
      <c r="B162" s="30">
        <f xml:space="preserve"> 15465</f>
        <v>15465</v>
      </c>
      <c r="C162" s="30">
        <v>1.0046707510607737</v>
      </c>
      <c r="D162" s="30">
        <f t="shared" si="0"/>
        <v>15393.102649471382</v>
      </c>
      <c r="E162" s="30">
        <f>_xll.StatMean(D158:D161)</f>
        <v>14499.436504523641</v>
      </c>
      <c r="F162" s="30">
        <f t="shared" si="2"/>
        <v>893.66614494774149</v>
      </c>
      <c r="G162" s="30">
        <f t="shared" si="1"/>
        <v>14567.159762957766</v>
      </c>
      <c r="H162" s="30">
        <f t="shared" si="3"/>
        <v>897.84023704223364</v>
      </c>
    </row>
    <row r="163" spans="1:8" ht="15" customHeight="1" x14ac:dyDescent="0.25">
      <c r="A163" s="27" t="s">
        <v>108</v>
      </c>
      <c r="B163" s="30">
        <f xml:space="preserve"> 16643</f>
        <v>16643</v>
      </c>
      <c r="C163" s="30">
        <v>1.0984136010088161</v>
      </c>
      <c r="D163" s="30">
        <f t="shared" si="0"/>
        <v>15151.851711153766</v>
      </c>
      <c r="E163" s="30">
        <f>_xll.StatMean(D159:D162)</f>
        <v>15079.902431515115</v>
      </c>
      <c r="F163" s="30">
        <f t="shared" si="2"/>
        <v>71.949279638651205</v>
      </c>
      <c r="G163" s="30">
        <f t="shared" si="1"/>
        <v>16563.969932662119</v>
      </c>
      <c r="H163" s="30">
        <f t="shared" si="3"/>
        <v>79.03006733788061</v>
      </c>
    </row>
    <row r="164" spans="1:8" ht="15" customHeight="1" x14ac:dyDescent="0.25">
      <c r="A164" s="27" t="s">
        <v>109</v>
      </c>
      <c r="B164" s="30">
        <f xml:space="preserve"> 17772</f>
        <v>17772</v>
      </c>
      <c r="C164" s="30">
        <v>1.1681866116143564</v>
      </c>
      <c r="D164" s="30">
        <f t="shared" si="0"/>
        <v>15213.322788762554</v>
      </c>
      <c r="E164" s="30">
        <f>_xll.StatMean(D160:D163)</f>
        <v>15271.996746003173</v>
      </c>
      <c r="F164" s="30">
        <f t="shared" si="2"/>
        <v>-58.67395724061862</v>
      </c>
      <c r="G164" s="30">
        <f t="shared" si="1"/>
        <v>17840.542131298924</v>
      </c>
      <c r="H164" s="30">
        <f t="shared" si="3"/>
        <v>-68.542131298923778</v>
      </c>
    </row>
    <row r="165" spans="1:8" ht="15" customHeight="1" x14ac:dyDescent="0.25">
      <c r="A165" s="27" t="s">
        <v>110</v>
      </c>
      <c r="B165" s="30">
        <f xml:space="preserve"> 16582</f>
        <v>16582</v>
      </c>
      <c r="C165" s="30">
        <v>1.229305276209552</v>
      </c>
      <c r="D165" s="30">
        <f t="shared" si="0"/>
        <v>13488.919571816245</v>
      </c>
      <c r="E165" s="30">
        <f>_xll.StatMean(D161:D164)</f>
        <v>15354.744191262005</v>
      </c>
      <c r="F165" s="30">
        <f t="shared" si="2"/>
        <v>-1865.8246194457606</v>
      </c>
      <c r="G165" s="30">
        <f t="shared" si="1"/>
        <v>18875.668049166354</v>
      </c>
      <c r="H165" s="30">
        <f t="shared" si="3"/>
        <v>-2293.6680491663537</v>
      </c>
    </row>
    <row r="166" spans="1:8" ht="15" customHeight="1" x14ac:dyDescent="0.25">
      <c r="A166" s="27" t="s">
        <v>111</v>
      </c>
      <c r="B166" s="30">
        <f xml:space="preserve"> 15786</f>
        <v>15786</v>
      </c>
      <c r="C166" s="30">
        <v>1.0076470532738075</v>
      </c>
      <c r="D166" s="30">
        <f t="shared" si="0"/>
        <v>15666.199736020541</v>
      </c>
      <c r="E166" s="30">
        <f>_xll.StatMean(D162:D165)</f>
        <v>14811.799180300986</v>
      </c>
      <c r="F166" s="30">
        <f t="shared" si="2"/>
        <v>854.40055571955418</v>
      </c>
      <c r="G166" s="30">
        <f t="shared" si="1"/>
        <v>14925.065797713687</v>
      </c>
      <c r="H166" s="30">
        <f t="shared" si="3"/>
        <v>860.93420228631294</v>
      </c>
    </row>
    <row r="167" spans="1:8" ht="15" customHeight="1" x14ac:dyDescent="0.25">
      <c r="A167" s="27" t="s">
        <v>112</v>
      </c>
      <c r="B167" s="30">
        <f xml:space="preserve"> 15861</f>
        <v>15861</v>
      </c>
      <c r="C167" s="30">
        <v>1.0242421211021173</v>
      </c>
      <c r="D167" s="30">
        <f t="shared" si="0"/>
        <v>15485.596299176856</v>
      </c>
      <c r="E167" s="30">
        <f>_xll.StatMean(D163:D166)</f>
        <v>14880.073451938277</v>
      </c>
      <c r="F167" s="30">
        <f t="shared" si="2"/>
        <v>605.52284723857883</v>
      </c>
      <c r="G167" s="30">
        <f t="shared" si="1"/>
        <v>15240.797994568566</v>
      </c>
      <c r="H167" s="30">
        <f t="shared" si="3"/>
        <v>620.20200543143437</v>
      </c>
    </row>
    <row r="168" spans="1:8" ht="15" customHeight="1" x14ac:dyDescent="0.25">
      <c r="A168" s="27" t="s">
        <v>113</v>
      </c>
      <c r="B168" s="30">
        <f xml:space="preserve"> 15179</f>
        <v>15179</v>
      </c>
      <c r="C168" s="30">
        <v>0.94663970878958614</v>
      </c>
      <c r="D168" s="30">
        <f t="shared" si="0"/>
        <v>16034.611541289047</v>
      </c>
      <c r="E168" s="30">
        <f>_xll.StatMean(D164:D167)</f>
        <v>14963.509598944049</v>
      </c>
      <c r="F168" s="30">
        <f t="shared" si="2"/>
        <v>1071.101942344998</v>
      </c>
      <c r="G168" s="30">
        <f t="shared" si="1"/>
        <v>14165.052369214571</v>
      </c>
      <c r="H168" s="30">
        <f t="shared" si="3"/>
        <v>1013.9476307854293</v>
      </c>
    </row>
    <row r="169" spans="1:8" ht="15" customHeight="1" x14ac:dyDescent="0.25">
      <c r="A169" s="27" t="s">
        <v>114</v>
      </c>
      <c r="B169" s="30">
        <f xml:space="preserve"> 13520</f>
        <v>13520</v>
      </c>
      <c r="C169" s="30">
        <v>0.9050536648720291</v>
      </c>
      <c r="D169" s="30">
        <f t="shared" si="0"/>
        <v>14938.340702605379</v>
      </c>
      <c r="E169" s="30">
        <f>_xll.StatMean(D165:D168)</f>
        <v>15168.831787075673</v>
      </c>
      <c r="F169" s="30">
        <f t="shared" si="2"/>
        <v>-230.49108447029357</v>
      </c>
      <c r="G169" s="30">
        <f t="shared" si="1"/>
        <v>13728.606800720168</v>
      </c>
      <c r="H169" s="30">
        <f t="shared" si="3"/>
        <v>-208.60680072016839</v>
      </c>
    </row>
    <row r="170" spans="1:8" ht="15" customHeight="1" x14ac:dyDescent="0.25">
      <c r="A170" s="27" t="s">
        <v>115</v>
      </c>
      <c r="B170" s="30">
        <f xml:space="preserve"> 12332</f>
        <v>12332</v>
      </c>
      <c r="C170" s="30">
        <v>0.90657052885571165</v>
      </c>
      <c r="D170" s="30">
        <f t="shared" si="0"/>
        <v>13602.912964273894</v>
      </c>
      <c r="E170" s="30">
        <f>_xll.StatMean(D166:D169)</f>
        <v>15531.187069772954</v>
      </c>
      <c r="F170" s="30">
        <f t="shared" si="2"/>
        <v>-1928.2741054990602</v>
      </c>
      <c r="G170" s="30">
        <f t="shared" si="1"/>
        <v>14080.116475601057</v>
      </c>
      <c r="H170" s="30">
        <f t="shared" si="3"/>
        <v>-1748.1164756010567</v>
      </c>
    </row>
    <row r="171" spans="1:8" ht="15" customHeight="1" x14ac:dyDescent="0.25">
      <c r="A171" s="27" t="s">
        <v>116</v>
      </c>
      <c r="B171" s="30">
        <f xml:space="preserve"> 12433</f>
        <v>12433</v>
      </c>
      <c r="C171" s="30">
        <v>0.90805598066695403</v>
      </c>
      <c r="D171" s="30">
        <f t="shared" si="0"/>
        <v>13691.887135491515</v>
      </c>
      <c r="E171" s="30">
        <f>_xll.StatMean(D167:D170)</f>
        <v>15015.365376836295</v>
      </c>
      <c r="F171" s="30">
        <f t="shared" si="2"/>
        <v>-1323.4782413447792</v>
      </c>
      <c r="G171" s="30">
        <f t="shared" si="1"/>
        <v>13634.79233233571</v>
      </c>
      <c r="H171" s="30">
        <f t="shared" si="3"/>
        <v>-1201.7923323357099</v>
      </c>
    </row>
    <row r="172" spans="1:8" ht="15" customHeight="1" x14ac:dyDescent="0.25">
      <c r="A172" s="27" t="s">
        <v>117</v>
      </c>
      <c r="B172" s="30">
        <f xml:space="preserve"> 12867</f>
        <v>12867</v>
      </c>
      <c r="C172" s="30">
        <v>0.88554664064815469</v>
      </c>
      <c r="D172" s="30">
        <f t="shared" si="0"/>
        <v>14530.008256349216</v>
      </c>
      <c r="E172" s="30">
        <f>_xll.StatMean(D168:D171)</f>
        <v>14566.938085914959</v>
      </c>
      <c r="F172" s="30">
        <f t="shared" si="2"/>
        <v>-36.929829565742693</v>
      </c>
      <c r="G172" s="30">
        <f t="shared" si="1"/>
        <v>12899.703086511652</v>
      </c>
      <c r="H172" s="30">
        <f t="shared" si="3"/>
        <v>-32.703086511652145</v>
      </c>
    </row>
    <row r="173" spans="1:8" ht="15" customHeight="1" x14ac:dyDescent="0.25">
      <c r="A173" s="27" t="s">
        <v>118</v>
      </c>
      <c r="B173" s="30">
        <f xml:space="preserve"> 13505</f>
        <v>13505</v>
      </c>
      <c r="C173" s="30">
        <v>0.91566790449517033</v>
      </c>
      <c r="D173" s="30">
        <f t="shared" si="0"/>
        <v>14748.796953242159</v>
      </c>
      <c r="E173" s="30">
        <f>_xll.StatMean(D169:D172)</f>
        <v>14190.787264680002</v>
      </c>
      <c r="F173" s="30">
        <f t="shared" si="2"/>
        <v>558.00968856215695</v>
      </c>
      <c r="G173" s="30">
        <f t="shared" si="1"/>
        <v>12994.048437786289</v>
      </c>
      <c r="H173" s="30">
        <f t="shared" si="3"/>
        <v>510.95156221371144</v>
      </c>
    </row>
    <row r="174" spans="1:8" ht="15" customHeight="1" x14ac:dyDescent="0.25">
      <c r="A174" s="27" t="s">
        <v>119</v>
      </c>
      <c r="B174" s="30">
        <f xml:space="preserve"> 16212</f>
        <v>16212</v>
      </c>
      <c r="C174" s="30">
        <v>1.0046707510607737</v>
      </c>
      <c r="D174" s="30">
        <f t="shared" si="0"/>
        <v>16136.629819154869</v>
      </c>
      <c r="E174" s="30">
        <f>_xll.StatMean(D170:D173)</f>
        <v>14143.401327339197</v>
      </c>
      <c r="F174" s="30">
        <f t="shared" si="2"/>
        <v>1993.2284918156711</v>
      </c>
      <c r="G174" s="30">
        <f t="shared" si="1"/>
        <v>14209.461634091816</v>
      </c>
      <c r="H174" s="30">
        <f t="shared" si="3"/>
        <v>2002.5383659081836</v>
      </c>
    </row>
    <row r="175" spans="1:8" ht="15" customHeight="1" x14ac:dyDescent="0.25">
      <c r="A175" s="27" t="s">
        <v>120</v>
      </c>
      <c r="B175" s="30">
        <f xml:space="preserve"> 17088</f>
        <v>17088</v>
      </c>
      <c r="C175" s="30">
        <v>1.0984136010088161</v>
      </c>
      <c r="D175" s="30">
        <f t="shared" si="0"/>
        <v>15556.981436050924</v>
      </c>
      <c r="E175" s="30">
        <f>_xll.StatMean(D171:D174)</f>
        <v>14776.83054105944</v>
      </c>
      <c r="F175" s="30">
        <f t="shared" si="2"/>
        <v>780.15089499148417</v>
      </c>
      <c r="G175" s="30">
        <f t="shared" si="1"/>
        <v>16231.071646102153</v>
      </c>
      <c r="H175" s="30">
        <f t="shared" si="3"/>
        <v>856.92835389784705</v>
      </c>
    </row>
    <row r="176" spans="1:8" ht="15" customHeight="1" x14ac:dyDescent="0.25">
      <c r="A176" s="27" t="s">
        <v>121</v>
      </c>
      <c r="B176" s="30">
        <f xml:space="preserve"> 17147</f>
        <v>17147</v>
      </c>
      <c r="C176" s="30">
        <v>1.1681866116143564</v>
      </c>
      <c r="D176" s="30">
        <f t="shared" si="0"/>
        <v>14678.305528860652</v>
      </c>
      <c r="E176" s="30">
        <f>_xll.StatMean(D172:D175)</f>
        <v>15243.104116199293</v>
      </c>
      <c r="F176" s="30">
        <f t="shared" si="2"/>
        <v>-564.79858733864057</v>
      </c>
      <c r="G176" s="30">
        <f t="shared" si="1"/>
        <v>17806.7901479877</v>
      </c>
      <c r="H176" s="30">
        <f t="shared" si="3"/>
        <v>-659.79014798770004</v>
      </c>
    </row>
    <row r="177" spans="1:8" ht="15" customHeight="1" x14ac:dyDescent="0.25">
      <c r="A177" s="27" t="s">
        <v>122</v>
      </c>
      <c r="B177" s="30">
        <f xml:space="preserve"> 19881</f>
        <v>19881</v>
      </c>
      <c r="C177" s="30">
        <v>1.229305276209552</v>
      </c>
      <c r="D177" s="30">
        <f t="shared" si="0"/>
        <v>16172.549150119332</v>
      </c>
      <c r="E177" s="30">
        <f>_xll.StatMean(D173:D176)</f>
        <v>15280.17843432715</v>
      </c>
      <c r="F177" s="30">
        <f t="shared" si="2"/>
        <v>892.37071579218173</v>
      </c>
      <c r="G177" s="30">
        <f t="shared" si="1"/>
        <v>18784.003970741778</v>
      </c>
      <c r="H177" s="30">
        <f t="shared" si="3"/>
        <v>1096.9960292582218</v>
      </c>
    </row>
    <row r="178" spans="1:8" ht="15" customHeight="1" x14ac:dyDescent="0.25">
      <c r="A178" s="27" t="s">
        <v>123</v>
      </c>
      <c r="B178" s="30">
        <f xml:space="preserve"> 14570</f>
        <v>14570</v>
      </c>
      <c r="C178" s="30">
        <v>1.0076470532738075</v>
      </c>
      <c r="D178" s="30">
        <f t="shared" si="0"/>
        <v>14459.427983898346</v>
      </c>
      <c r="E178" s="30">
        <f>_xll.StatMean(D174:D177)</f>
        <v>15636.116483546444</v>
      </c>
      <c r="F178" s="30">
        <f t="shared" si="2"/>
        <v>-1176.6884996480985</v>
      </c>
      <c r="G178" s="30">
        <f t="shared" si="1"/>
        <v>15755.686699291584</v>
      </c>
      <c r="H178" s="30">
        <f t="shared" si="3"/>
        <v>-1185.6866992915839</v>
      </c>
    </row>
    <row r="179" spans="1:8" ht="15" customHeight="1" x14ac:dyDescent="0.25">
      <c r="A179" s="27" t="s">
        <v>124</v>
      </c>
      <c r="B179" s="30">
        <f xml:space="preserve"> 15410</f>
        <v>15410</v>
      </c>
      <c r="C179" s="30">
        <v>1.0242421211021173</v>
      </c>
      <c r="D179" s="30">
        <f t="shared" si="0"/>
        <v>15045.270725068744</v>
      </c>
      <c r="E179" s="30">
        <f>_xll.StatMean(D175:D178)</f>
        <v>15216.816024732314</v>
      </c>
      <c r="F179" s="30">
        <f t="shared" si="2"/>
        <v>-171.5452996635704</v>
      </c>
      <c r="G179" s="30">
        <f t="shared" si="1"/>
        <v>15585.703921592514</v>
      </c>
      <c r="H179" s="30">
        <f t="shared" si="3"/>
        <v>-175.70392159251423</v>
      </c>
    </row>
    <row r="180" spans="1:8" ht="15" customHeight="1" x14ac:dyDescent="0.25">
      <c r="A180" s="27" t="s">
        <v>125</v>
      </c>
      <c r="B180" s="30">
        <f xml:space="preserve"> 14320</f>
        <v>14320</v>
      </c>
      <c r="C180" s="30">
        <v>0.94663970878958614</v>
      </c>
      <c r="D180" s="30">
        <f t="shared" si="0"/>
        <v>15127.191334821737</v>
      </c>
      <c r="E180" s="30">
        <f>_xll.StatMean(D176:D179)</f>
        <v>15088.888346986769</v>
      </c>
      <c r="F180" s="30">
        <f t="shared" si="2"/>
        <v>38.302987834968008</v>
      </c>
      <c r="G180" s="30">
        <f t="shared" si="1"/>
        <v>14283.740870750134</v>
      </c>
      <c r="H180" s="30">
        <f t="shared" si="3"/>
        <v>36.259129249865509</v>
      </c>
    </row>
    <row r="181" spans="1:8" ht="15" customHeight="1" x14ac:dyDescent="0.25">
      <c r="A181" s="27" t="s">
        <v>126</v>
      </c>
      <c r="B181" s="30">
        <f xml:space="preserve"> 14438</f>
        <v>14438</v>
      </c>
      <c r="C181" s="30">
        <v>0.9050536648720291</v>
      </c>
      <c r="D181" s="30">
        <f t="shared" si="0"/>
        <v>15952.645197057431</v>
      </c>
      <c r="E181" s="30">
        <f>_xll.StatMean(D177:D180)</f>
        <v>15201.109798477039</v>
      </c>
      <c r="F181" s="30">
        <f t="shared" si="2"/>
        <v>751.53539858039221</v>
      </c>
      <c r="G181" s="30">
        <f t="shared" si="1"/>
        <v>13757.820133233756</v>
      </c>
      <c r="H181" s="30">
        <f t="shared" si="3"/>
        <v>680.17986676624423</v>
      </c>
    </row>
    <row r="182" spans="1:8" ht="15" customHeight="1" x14ac:dyDescent="0.25">
      <c r="A182" s="27" t="s">
        <v>127</v>
      </c>
      <c r="B182" s="30">
        <f xml:space="preserve"> 14051</f>
        <v>14051</v>
      </c>
      <c r="C182" s="30">
        <v>0.90657052885571165</v>
      </c>
      <c r="D182" s="30">
        <f t="shared" si="0"/>
        <v>15499.069904396081</v>
      </c>
      <c r="E182" s="30">
        <f>_xll.StatMean(D178:D181)</f>
        <v>15146.133810211562</v>
      </c>
      <c r="F182" s="30">
        <f t="shared" si="2"/>
        <v>352.93609418451888</v>
      </c>
      <c r="G182" s="30">
        <f t="shared" ref="G182:G213" si="4">E182*C182</f>
        <v>13731.038538442872</v>
      </c>
      <c r="H182" s="30">
        <f t="shared" si="3"/>
        <v>319.96146155712813</v>
      </c>
    </row>
    <row r="183" spans="1:8" ht="15" customHeight="1" x14ac:dyDescent="0.25">
      <c r="A183" s="27" t="s">
        <v>128</v>
      </c>
      <c r="B183" s="30">
        <f xml:space="preserve"> 14050</f>
        <v>14050</v>
      </c>
      <c r="C183" s="30">
        <v>0.90805598066695403</v>
      </c>
      <c r="D183" s="30">
        <f t="shared" si="0"/>
        <v>15472.614353225754</v>
      </c>
      <c r="E183" s="30">
        <f>_xll.StatMean(D179:D182)</f>
        <v>15406.044290335998</v>
      </c>
      <c r="F183" s="30">
        <f t="shared" si="2"/>
        <v>66.570062889755718</v>
      </c>
      <c r="G183" s="30">
        <f t="shared" si="4"/>
        <v>13989.550656259582</v>
      </c>
      <c r="H183" s="30">
        <f t="shared" si="3"/>
        <v>60.449343740418044</v>
      </c>
    </row>
    <row r="184" spans="1:8" ht="15" customHeight="1" x14ac:dyDescent="0.25">
      <c r="A184" s="27" t="s">
        <v>129</v>
      </c>
      <c r="B184" s="30">
        <f xml:space="preserve"> 14626</f>
        <v>14626</v>
      </c>
      <c r="C184" s="30">
        <v>0.88554664064815469</v>
      </c>
      <c r="D184" s="30">
        <f t="shared" si="0"/>
        <v>16516.351966842591</v>
      </c>
      <c r="E184" s="30">
        <f>_xll.StatMean(D180:D183)</f>
        <v>15512.880197375252</v>
      </c>
      <c r="F184" s="30">
        <f t="shared" si="2"/>
        <v>1003.4717694673382</v>
      </c>
      <c r="G184" s="30">
        <f t="shared" si="4"/>
        <v>13737.378945562938</v>
      </c>
      <c r="H184" s="30">
        <f t="shared" si="3"/>
        <v>888.62105443706241</v>
      </c>
    </row>
    <row r="185" spans="1:8" ht="15" customHeight="1" x14ac:dyDescent="0.25">
      <c r="A185" s="27" t="s">
        <v>130</v>
      </c>
      <c r="B185" s="30">
        <f xml:space="preserve"> 14553</f>
        <v>14553</v>
      </c>
      <c r="C185" s="30">
        <v>0.91566790449517033</v>
      </c>
      <c r="D185" s="30">
        <f t="shared" si="0"/>
        <v>15893.316702001714</v>
      </c>
      <c r="E185" s="30">
        <f>_xll.StatMean(D181:D184)</f>
        <v>15860.170355380465</v>
      </c>
      <c r="F185" s="30">
        <f t="shared" si="2"/>
        <v>33.146346621248085</v>
      </c>
      <c r="G185" s="30">
        <f t="shared" si="4"/>
        <v>14522.648954247652</v>
      </c>
      <c r="H185" s="30">
        <f t="shared" si="3"/>
        <v>30.351045752348</v>
      </c>
    </row>
    <row r="186" spans="1:8" ht="15" customHeight="1" x14ac:dyDescent="0.25">
      <c r="A186" s="27" t="s">
        <v>131</v>
      </c>
      <c r="B186" s="30">
        <f xml:space="preserve"> 15190</f>
        <v>15190</v>
      </c>
      <c r="C186" s="30">
        <v>1.0046707510607737</v>
      </c>
      <c r="D186" s="30">
        <f t="shared" si="0"/>
        <v>15119.381134527663</v>
      </c>
      <c r="E186" s="30">
        <f>_xll.StatMean(D182:D185)</f>
        <v>15845.338231616533</v>
      </c>
      <c r="F186" s="30">
        <f t="shared" si="2"/>
        <v>-725.9570970888708</v>
      </c>
      <c r="G186" s="30">
        <f t="shared" si="4"/>
        <v>15919.347861970175</v>
      </c>
      <c r="H186" s="30">
        <f t="shared" si="3"/>
        <v>-729.34786197017456</v>
      </c>
    </row>
    <row r="187" spans="1:8" ht="15" customHeight="1" x14ac:dyDescent="0.25">
      <c r="A187" s="27" t="s">
        <v>132</v>
      </c>
      <c r="B187" s="30">
        <f xml:space="preserve"> 17059</f>
        <v>17059</v>
      </c>
      <c r="C187" s="30">
        <v>1.0984136010088161</v>
      </c>
      <c r="D187" s="30">
        <f t="shared" si="0"/>
        <v>15530.579723641897</v>
      </c>
      <c r="E187" s="30">
        <f>_xll.StatMean(D183:D186)</f>
        <v>15750.41603914943</v>
      </c>
      <c r="F187" s="30">
        <f t="shared" si="2"/>
        <v>-219.83631550753307</v>
      </c>
      <c r="G187" s="30">
        <f t="shared" si="4"/>
        <v>17300.471198949141</v>
      </c>
      <c r="H187" s="30">
        <f t="shared" si="3"/>
        <v>-241.47119894914067</v>
      </c>
    </row>
    <row r="188" spans="1:8" ht="15" customHeight="1" x14ac:dyDescent="0.25">
      <c r="A188" s="27" t="s">
        <v>133</v>
      </c>
      <c r="B188" s="30">
        <f xml:space="preserve"> 18541</f>
        <v>18541</v>
      </c>
      <c r="C188" s="30">
        <v>1.1681866116143564</v>
      </c>
      <c r="D188" s="30">
        <f t="shared" si="0"/>
        <v>15871.608025345855</v>
      </c>
      <c r="E188" s="30">
        <f>_xll.StatMean(D184:D187)</f>
        <v>15764.907381753465</v>
      </c>
      <c r="F188" s="30">
        <f t="shared" si="2"/>
        <v>106.70064359239041</v>
      </c>
      <c r="G188" s="30">
        <f t="shared" si="4"/>
        <v>18416.353736704736</v>
      </c>
      <c r="H188" s="30">
        <f t="shared" si="3"/>
        <v>124.64626329526436</v>
      </c>
    </row>
    <row r="189" spans="1:8" ht="15" customHeight="1" x14ac:dyDescent="0.25">
      <c r="A189" s="27" t="s">
        <v>134</v>
      </c>
      <c r="B189" s="30">
        <f xml:space="preserve"> 18567</f>
        <v>18567</v>
      </c>
      <c r="C189" s="30">
        <v>1.229305276209552</v>
      </c>
      <c r="D189" s="30">
        <f t="shared" si="0"/>
        <v>15103.652737300217</v>
      </c>
      <c r="E189" s="30">
        <f>_xll.StatMean(D185:D188)</f>
        <v>15603.721396379282</v>
      </c>
      <c r="F189" s="30">
        <f t="shared" si="2"/>
        <v>-500.06865907906467</v>
      </c>
      <c r="G189" s="30">
        <f t="shared" si="4"/>
        <v>19181.737041072931</v>
      </c>
      <c r="H189" s="30">
        <f t="shared" si="3"/>
        <v>-614.73704107293088</v>
      </c>
    </row>
    <row r="190" spans="1:8" ht="15" customHeight="1" x14ac:dyDescent="0.25">
      <c r="A190" s="27" t="s">
        <v>135</v>
      </c>
      <c r="B190" s="30">
        <f xml:space="preserve"> 16684</f>
        <v>16684</v>
      </c>
      <c r="C190" s="30">
        <v>1.0076470532738075</v>
      </c>
      <c r="D190" s="30">
        <f t="shared" si="0"/>
        <v>16557.384796387098</v>
      </c>
      <c r="E190" s="30">
        <f>_xll.StatMean(D186:D189)</f>
        <v>15406.305405203908</v>
      </c>
      <c r="F190" s="30">
        <f t="shared" si="2"/>
        <v>1151.0793911831897</v>
      </c>
      <c r="G190" s="30">
        <f t="shared" si="4"/>
        <v>15524.118243390052</v>
      </c>
      <c r="H190" s="30">
        <f t="shared" si="3"/>
        <v>1159.8817566099478</v>
      </c>
    </row>
    <row r="191" spans="1:8" ht="15" customHeight="1" x14ac:dyDescent="0.25">
      <c r="A191" s="27" t="s">
        <v>136</v>
      </c>
      <c r="B191" s="30">
        <f xml:space="preserve"> 14523</f>
        <v>14523</v>
      </c>
      <c r="C191" s="30">
        <v>1.0242421211021173</v>
      </c>
      <c r="D191" s="30">
        <f t="shared" si="0"/>
        <v>14179.264551601127</v>
      </c>
      <c r="E191" s="30">
        <f>_xll.StatMean(D187:D190)</f>
        <v>15765.806320668766</v>
      </c>
      <c r="F191" s="30">
        <f t="shared" si="2"/>
        <v>-1586.5417690676386</v>
      </c>
      <c r="G191" s="30">
        <f t="shared" si="4"/>
        <v>16148.002906766944</v>
      </c>
      <c r="H191" s="30">
        <f t="shared" si="3"/>
        <v>-1625.0029067669439</v>
      </c>
    </row>
    <row r="192" spans="1:8" ht="15" customHeight="1" x14ac:dyDescent="0.25">
      <c r="A192" s="27" t="s">
        <v>137</v>
      </c>
      <c r="B192" s="30">
        <f xml:space="preserve"> 13316</f>
        <v>13316</v>
      </c>
      <c r="C192" s="30">
        <v>0.94663970878958614</v>
      </c>
      <c r="D192" s="30">
        <f t="shared" si="0"/>
        <v>14066.597752408257</v>
      </c>
      <c r="E192" s="30">
        <f>_xll.StatMean(D188:D191)</f>
        <v>15427.977527658575</v>
      </c>
      <c r="F192" s="30">
        <f t="shared" si="2"/>
        <v>-1361.3797752503178</v>
      </c>
      <c r="G192" s="30">
        <f t="shared" si="4"/>
        <v>14604.736153994992</v>
      </c>
      <c r="H192" s="30">
        <f t="shared" si="3"/>
        <v>-1288.7361539949925</v>
      </c>
    </row>
    <row r="193" spans="1:8" ht="15" customHeight="1" x14ac:dyDescent="0.25">
      <c r="A193" s="27" t="s">
        <v>138</v>
      </c>
      <c r="B193" s="30">
        <f xml:space="preserve"> 14466</f>
        <v>14466</v>
      </c>
      <c r="C193" s="30">
        <v>0.9050536648720291</v>
      </c>
      <c r="D193" s="30">
        <f t="shared" si="0"/>
        <v>15983.582589045074</v>
      </c>
      <c r="E193" s="30">
        <f>_xll.StatMean(D189:D192)</f>
        <v>14976.724959424175</v>
      </c>
      <c r="F193" s="30">
        <f t="shared" si="2"/>
        <v>1006.8576296208994</v>
      </c>
      <c r="G193" s="30">
        <f t="shared" si="4"/>
        <v>13554.73981230724</v>
      </c>
      <c r="H193" s="30">
        <f t="shared" si="3"/>
        <v>911.26018769276016</v>
      </c>
    </row>
    <row r="194" spans="1:8" ht="15" customHeight="1" x14ac:dyDescent="0.25">
      <c r="A194" s="27" t="s">
        <v>139</v>
      </c>
      <c r="B194" s="30">
        <f xml:space="preserve"> 15045</f>
        <v>15045</v>
      </c>
      <c r="C194" s="30">
        <v>0.90657052885571165</v>
      </c>
      <c r="D194" s="30">
        <f t="shared" si="0"/>
        <v>16595.509694088611</v>
      </c>
      <c r="E194" s="30">
        <f>_xll.StatMean(D190:D193)</f>
        <v>15196.707422360389</v>
      </c>
      <c r="F194" s="30">
        <f t="shared" si="2"/>
        <v>1398.802271728222</v>
      </c>
      <c r="G194" s="30">
        <f t="shared" si="4"/>
        <v>13776.887084754777</v>
      </c>
      <c r="H194" s="30">
        <f t="shared" si="3"/>
        <v>1268.1129152452231</v>
      </c>
    </row>
    <row r="195" spans="1:8" ht="15" customHeight="1" x14ac:dyDescent="0.25">
      <c r="A195" s="27" t="s">
        <v>140</v>
      </c>
      <c r="B195" s="30">
        <f xml:space="preserve"> 15028</f>
        <v>15028</v>
      </c>
      <c r="C195" s="30">
        <v>0.90805598066695403</v>
      </c>
      <c r="D195" s="30">
        <f t="shared" si="0"/>
        <v>16549.64046265314</v>
      </c>
      <c r="E195" s="30">
        <f>_xll.StatMean(D191:D194)</f>
        <v>15206.238646785769</v>
      </c>
      <c r="F195" s="30">
        <f t="shared" si="2"/>
        <v>1343.4018158673716</v>
      </c>
      <c r="G195" s="30">
        <f t="shared" si="4"/>
        <v>13808.115946662787</v>
      </c>
      <c r="H195" s="30">
        <f t="shared" si="3"/>
        <v>1219.8840533372131</v>
      </c>
    </row>
    <row r="196" spans="1:8" ht="15" customHeight="1" x14ac:dyDescent="0.25">
      <c r="A196" s="27" t="s">
        <v>141</v>
      </c>
      <c r="B196" s="30">
        <f xml:space="preserve"> 15187</f>
        <v>15187</v>
      </c>
      <c r="C196" s="30">
        <v>0.88554664064815469</v>
      </c>
      <c r="D196" s="30">
        <f t="shared" si="0"/>
        <v>17149.858971724221</v>
      </c>
      <c r="E196" s="30">
        <f>_xll.StatMean(D192:D195)</f>
        <v>15798.83262454877</v>
      </c>
      <c r="F196" s="30">
        <f t="shared" si="2"/>
        <v>1351.0263471754515</v>
      </c>
      <c r="G196" s="30">
        <f t="shared" si="4"/>
        <v>13990.603156831632</v>
      </c>
      <c r="H196" s="30">
        <f t="shared" si="3"/>
        <v>1196.3968431683679</v>
      </c>
    </row>
    <row r="197" spans="1:8" ht="15" customHeight="1" x14ac:dyDescent="0.25">
      <c r="A197" s="27" t="s">
        <v>142</v>
      </c>
      <c r="B197" s="30">
        <f xml:space="preserve"> 14271</f>
        <v>14271</v>
      </c>
      <c r="C197" s="30">
        <v>0.91566790449517033</v>
      </c>
      <c r="D197" s="30">
        <f t="shared" si="0"/>
        <v>15585.344784873665</v>
      </c>
      <c r="E197" s="30">
        <f>_xll.StatMean(D193:D196)</f>
        <v>16569.647929377759</v>
      </c>
      <c r="F197" s="30">
        <f t="shared" si="2"/>
        <v>-984.30314450409423</v>
      </c>
      <c r="G197" s="30">
        <f t="shared" si="4"/>
        <v>15172.294797716071</v>
      </c>
      <c r="H197" s="30">
        <f t="shared" si="3"/>
        <v>-901.29479771607112</v>
      </c>
    </row>
    <row r="198" spans="1:8" ht="15" customHeight="1" x14ac:dyDescent="0.25">
      <c r="A198" s="27" t="s">
        <v>143</v>
      </c>
      <c r="B198" s="30">
        <f xml:space="preserve"> 15923</f>
        <v>15923</v>
      </c>
      <c r="C198" s="30">
        <v>1.0046707510607737</v>
      </c>
      <c r="D198" s="30">
        <f t="shared" si="0"/>
        <v>15848.973390723106</v>
      </c>
      <c r="E198" s="30">
        <f>_xll.StatMean(D194:D197)</f>
        <v>16470.08847833491</v>
      </c>
      <c r="F198" s="30">
        <f t="shared" si="2"/>
        <v>-621.11508761180448</v>
      </c>
      <c r="G198" s="30">
        <f t="shared" si="4"/>
        <v>16547.016161566131</v>
      </c>
      <c r="H198" s="30">
        <f t="shared" si="3"/>
        <v>-624.0161615661309</v>
      </c>
    </row>
    <row r="199" spans="1:8" ht="15" customHeight="1" x14ac:dyDescent="0.25">
      <c r="A199" s="27" t="s">
        <v>144</v>
      </c>
      <c r="B199" s="30">
        <f xml:space="preserve"> 16632</f>
        <v>16632</v>
      </c>
      <c r="C199" s="30">
        <v>1.0984136010088161</v>
      </c>
      <c r="D199" s="30">
        <f t="shared" si="0"/>
        <v>15141.837268515857</v>
      </c>
      <c r="E199" s="30">
        <f>_xll.StatMean(D195:D198)</f>
        <v>16283.454402493533</v>
      </c>
      <c r="F199" s="30">
        <f t="shared" si="2"/>
        <v>-1141.6171339776756</v>
      </c>
      <c r="G199" s="30">
        <f t="shared" si="4"/>
        <v>17885.967787105783</v>
      </c>
      <c r="H199" s="30">
        <f t="shared" si="3"/>
        <v>-1253.9677871057829</v>
      </c>
    </row>
    <row r="200" spans="1:8" ht="15" customHeight="1" x14ac:dyDescent="0.25">
      <c r="A200" s="27" t="s">
        <v>145</v>
      </c>
      <c r="B200" s="30">
        <f xml:space="preserve"> 18432</f>
        <v>18432</v>
      </c>
      <c r="C200" s="30">
        <v>1.1681866116143564</v>
      </c>
      <c r="D200" s="30">
        <f t="shared" si="0"/>
        <v>15778.301015218962</v>
      </c>
      <c r="E200" s="30">
        <f>_xll.StatMean(D196:D199)</f>
        <v>15931.503603959212</v>
      </c>
      <c r="F200" s="30">
        <f t="shared" si="2"/>
        <v>-153.20258874025058</v>
      </c>
      <c r="G200" s="30">
        <f t="shared" si="4"/>
        <v>18610.969213031021</v>
      </c>
      <c r="H200" s="30">
        <f t="shared" si="3"/>
        <v>-178.96921303102135</v>
      </c>
    </row>
    <row r="201" spans="1:8" ht="15" customHeight="1" x14ac:dyDescent="0.25">
      <c r="A201" s="27" t="s">
        <v>146</v>
      </c>
      <c r="B201" s="30">
        <f xml:space="preserve"> 19743</f>
        <v>19743</v>
      </c>
      <c r="C201" s="30">
        <v>1.229305276209552</v>
      </c>
      <c r="D201" s="30">
        <f t="shared" si="0"/>
        <v>16060.290622745635</v>
      </c>
      <c r="E201" s="30">
        <f>_xll.StatMean(D197:D200)</f>
        <v>15588.614114832897</v>
      </c>
      <c r="F201" s="30">
        <f t="shared" si="2"/>
        <v>471.67650791273809</v>
      </c>
      <c r="G201" s="30">
        <f t="shared" si="4"/>
        <v>19163.165580158777</v>
      </c>
      <c r="H201" s="30">
        <f t="shared" si="3"/>
        <v>579.83441984122328</v>
      </c>
    </row>
    <row r="202" spans="1:8" ht="15" customHeight="1" x14ac:dyDescent="0.25">
      <c r="A202" s="27" t="s">
        <v>147</v>
      </c>
      <c r="B202" s="30">
        <f xml:space="preserve"> 15632</f>
        <v>15632</v>
      </c>
      <c r="C202" s="30">
        <v>1.0076470532738075</v>
      </c>
      <c r="D202" s="30">
        <f t="shared" si="0"/>
        <v>15513.36844504454</v>
      </c>
      <c r="E202" s="30">
        <f>_xll.StatMean(D198:D201)</f>
        <v>15707.35057430089</v>
      </c>
      <c r="F202" s="30">
        <f t="shared" si="2"/>
        <v>-193.98212925635016</v>
      </c>
      <c r="G202" s="30">
        <f t="shared" si="4"/>
        <v>15827.465520932941</v>
      </c>
      <c r="H202" s="30">
        <f t="shared" si="3"/>
        <v>-195.46552093294122</v>
      </c>
    </row>
    <row r="203" spans="1:8" ht="15" customHeight="1" x14ac:dyDescent="0.25">
      <c r="A203" s="27" t="s">
        <v>148</v>
      </c>
      <c r="B203" s="30">
        <f xml:space="preserve"> 16404</f>
        <v>16404</v>
      </c>
      <c r="C203" s="30">
        <v>1.0242421211021173</v>
      </c>
      <c r="D203" s="30">
        <f t="shared" si="0"/>
        <v>16015.744385076421</v>
      </c>
      <c r="E203" s="30">
        <f>_xll.StatMean(D199:D202)</f>
        <v>15623.449337881248</v>
      </c>
      <c r="F203" s="30">
        <f t="shared" si="2"/>
        <v>392.29504719517354</v>
      </c>
      <c r="G203" s="30">
        <f t="shared" si="4"/>
        <v>16002.194888762959</v>
      </c>
      <c r="H203" s="30">
        <f t="shared" si="3"/>
        <v>401.80511123704127</v>
      </c>
    </row>
    <row r="204" spans="1:8" ht="15" customHeight="1" x14ac:dyDescent="0.25">
      <c r="A204" s="27" t="s">
        <v>149</v>
      </c>
      <c r="B204" s="30">
        <f xml:space="preserve"> 15572</f>
        <v>15572</v>
      </c>
      <c r="C204" s="30">
        <v>0.94663970878958614</v>
      </c>
      <c r="D204" s="30">
        <f t="shared" si="0"/>
        <v>16449.764208508666</v>
      </c>
      <c r="E204" s="30">
        <f>_xll.StatMean(D200:D203)</f>
        <v>15841.92611702139</v>
      </c>
      <c r="F204" s="30">
        <f t="shared" si="2"/>
        <v>607.83809148727596</v>
      </c>
      <c r="G204" s="30">
        <f t="shared" si="4"/>
        <v>14996.596326083269</v>
      </c>
      <c r="H204" s="30">
        <f t="shared" si="3"/>
        <v>575.40367391673135</v>
      </c>
    </row>
    <row r="205" spans="1:8" ht="15" customHeight="1" x14ac:dyDescent="0.25">
      <c r="A205" s="27" t="s">
        <v>150</v>
      </c>
      <c r="B205" s="30">
        <f xml:space="preserve"> 14310</f>
        <v>14310</v>
      </c>
      <c r="C205" s="30">
        <v>0.9050536648720291</v>
      </c>
      <c r="D205" s="30">
        <f t="shared" si="0"/>
        <v>15811.217119399627</v>
      </c>
      <c r="E205" s="30">
        <f>_xll.StatMean(D201:D204)</f>
        <v>16009.791915343816</v>
      </c>
      <c r="F205" s="30">
        <f t="shared" si="2"/>
        <v>-198.57479594418874</v>
      </c>
      <c r="G205" s="30">
        <f t="shared" si="4"/>
        <v>14489.720846820503</v>
      </c>
      <c r="H205" s="30">
        <f t="shared" si="3"/>
        <v>-179.72084682050263</v>
      </c>
    </row>
    <row r="206" spans="1:8" ht="15" customHeight="1" x14ac:dyDescent="0.25">
      <c r="A206" s="27" t="s">
        <v>151</v>
      </c>
      <c r="B206" s="30">
        <f xml:space="preserve"> 16102</f>
        <v>16102</v>
      </c>
      <c r="C206" s="30">
        <v>0.90657052885571165</v>
      </c>
      <c r="D206" s="30">
        <f t="shared" si="0"/>
        <v>17761.442146508129</v>
      </c>
      <c r="E206" s="30">
        <f>_xll.StatMean(D202:D205)</f>
        <v>15947.523539507312</v>
      </c>
      <c r="F206" s="30">
        <f t="shared" si="2"/>
        <v>1813.9186070008163</v>
      </c>
      <c r="G206" s="30">
        <f t="shared" si="4"/>
        <v>14457.554849150054</v>
      </c>
      <c r="H206" s="30">
        <f t="shared" si="3"/>
        <v>1644.445150849946</v>
      </c>
    </row>
    <row r="207" spans="1:8" ht="15" customHeight="1" x14ac:dyDescent="0.25">
      <c r="A207" s="27" t="s">
        <v>152</v>
      </c>
      <c r="B207" s="30">
        <f xml:space="preserve"> 14942</f>
        <v>14942</v>
      </c>
      <c r="C207" s="30">
        <v>0.90805598066695403</v>
      </c>
      <c r="D207" s="30">
        <f t="shared" si="0"/>
        <v>16454.932645259731</v>
      </c>
      <c r="E207" s="30">
        <f>_xll.StatMean(D203:D206)</f>
        <v>16509.54196487321</v>
      </c>
      <c r="F207" s="30">
        <f t="shared" si="2"/>
        <v>-54.609319613478874</v>
      </c>
      <c r="G207" s="30">
        <f t="shared" si="4"/>
        <v>14991.588319275173</v>
      </c>
      <c r="H207" s="30">
        <f t="shared" si="3"/>
        <v>-49.58831927517349</v>
      </c>
    </row>
    <row r="208" spans="1:8" ht="15" customHeight="1" x14ac:dyDescent="0.25">
      <c r="A208" s="27" t="s">
        <v>153</v>
      </c>
      <c r="B208" s="30">
        <f xml:space="preserve"> 14242</f>
        <v>14242</v>
      </c>
      <c r="C208" s="30">
        <v>0.88554664064815469</v>
      </c>
      <c r="D208" s="30">
        <f t="shared" si="0"/>
        <v>16082.721503608109</v>
      </c>
      <c r="E208" s="30">
        <f>_xll.StatMean(D204:D207)</f>
        <v>16619.33902991904</v>
      </c>
      <c r="F208" s="30">
        <f t="shared" si="2"/>
        <v>-536.61752631093077</v>
      </c>
      <c r="G208" s="30">
        <f t="shared" si="4"/>
        <v>14717.199847737567</v>
      </c>
      <c r="H208" s="30">
        <f t="shared" si="3"/>
        <v>-475.19984773756732</v>
      </c>
    </row>
    <row r="209" spans="1:8" ht="15" customHeight="1" x14ac:dyDescent="0.25">
      <c r="A209" s="27" t="s">
        <v>154</v>
      </c>
      <c r="B209" s="30">
        <f xml:space="preserve"> 15039</f>
        <v>15039</v>
      </c>
      <c r="C209" s="30">
        <v>0.91566790449517033</v>
      </c>
      <c r="D209" s="30">
        <f t="shared" si="0"/>
        <v>16424.076814498989</v>
      </c>
      <c r="E209" s="30">
        <f>_xll.StatMean(D205:D208)</f>
        <v>16527.578353693898</v>
      </c>
      <c r="F209" s="30">
        <f t="shared" si="2"/>
        <v>-103.50153919490913</v>
      </c>
      <c r="G209" s="30">
        <f t="shared" si="4"/>
        <v>15133.773037506629</v>
      </c>
      <c r="H209" s="30">
        <f t="shared" si="3"/>
        <v>-94.773037506629407</v>
      </c>
    </row>
    <row r="210" spans="1:8" ht="15" customHeight="1" x14ac:dyDescent="0.25">
      <c r="A210" s="27" t="s">
        <v>155</v>
      </c>
      <c r="B210" s="30">
        <f xml:space="preserve"> 15683</f>
        <v>15683</v>
      </c>
      <c r="C210" s="30">
        <v>1.0046707510607737</v>
      </c>
      <c r="D210" s="30">
        <f t="shared" si="0"/>
        <v>15610.089159499496</v>
      </c>
      <c r="E210" s="30">
        <f>_xll.StatMean(D206:D209)</f>
        <v>16680.79327746874</v>
      </c>
      <c r="F210" s="30">
        <f t="shared" si="2"/>
        <v>-1070.7041179692442</v>
      </c>
      <c r="G210" s="30">
        <f t="shared" si="4"/>
        <v>16758.705110364026</v>
      </c>
      <c r="H210" s="30">
        <f t="shared" si="3"/>
        <v>-1075.705110364026</v>
      </c>
    </row>
    <row r="211" spans="1:8" ht="15" customHeight="1" x14ac:dyDescent="0.25">
      <c r="A211" s="27" t="s">
        <v>156</v>
      </c>
      <c r="B211" s="30">
        <f xml:space="preserve"> 19459</f>
        <v>19459</v>
      </c>
      <c r="C211" s="30">
        <v>1.0984136010088161</v>
      </c>
      <c r="D211" s="30">
        <f t="shared" ref="D211:D262" si="5">B211/C211</f>
        <v>17715.549026458037</v>
      </c>
      <c r="E211" s="30">
        <f>_xll.StatMean(D207:D210)</f>
        <v>16142.955030716583</v>
      </c>
      <c r="F211" s="30">
        <f t="shared" si="2"/>
        <v>1572.5939957414539</v>
      </c>
      <c r="G211" s="30">
        <f t="shared" si="4"/>
        <v>17731.641366212785</v>
      </c>
      <c r="H211" s="30">
        <f t="shared" si="3"/>
        <v>1727.3586337872148</v>
      </c>
    </row>
    <row r="212" spans="1:8" ht="15" customHeight="1" x14ac:dyDescent="0.25">
      <c r="A212" s="27" t="s">
        <v>157</v>
      </c>
      <c r="B212" s="30">
        <f xml:space="preserve"> 18687</f>
        <v>18687</v>
      </c>
      <c r="C212" s="30">
        <v>1.1681866116143564</v>
      </c>
      <c r="D212" s="30">
        <f t="shared" si="5"/>
        <v>15996.588057258938</v>
      </c>
      <c r="E212" s="30">
        <f>_xll.StatMean(D208:D211)</f>
        <v>16458.109126016156</v>
      </c>
      <c r="F212" s="30">
        <f t="shared" si="2"/>
        <v>-461.52106875721802</v>
      </c>
      <c r="G212" s="30">
        <f t="shared" si="4"/>
        <v>19226.142733500132</v>
      </c>
      <c r="H212" s="30">
        <f t="shared" si="3"/>
        <v>-539.14273350013173</v>
      </c>
    </row>
    <row r="213" spans="1:8" ht="15" customHeight="1" x14ac:dyDescent="0.25">
      <c r="A213" s="27" t="s">
        <v>158</v>
      </c>
      <c r="B213" s="30">
        <f xml:space="preserve"> 20459</f>
        <v>20459</v>
      </c>
      <c r="C213" s="30">
        <v>1.229305276209552</v>
      </c>
      <c r="D213" s="30">
        <f t="shared" si="5"/>
        <v>16642.733416945393</v>
      </c>
      <c r="E213" s="30">
        <f>_xll.StatMean(D209:D212)</f>
        <v>16436.575764428864</v>
      </c>
      <c r="F213" s="30">
        <f t="shared" si="2"/>
        <v>206.1576525165292</v>
      </c>
      <c r="G213" s="30">
        <f t="shared" si="4"/>
        <v>20205.569310030452</v>
      </c>
      <c r="H213" s="30">
        <f t="shared" si="3"/>
        <v>253.43068996954753</v>
      </c>
    </row>
    <row r="214" spans="1:8" ht="15" customHeight="1" x14ac:dyDescent="0.25">
      <c r="A214" s="27" t="s">
        <v>159</v>
      </c>
      <c r="B214" s="30">
        <f xml:space="preserve"> 17137</f>
        <v>17137</v>
      </c>
      <c r="C214" s="30">
        <v>1.0076470532738075</v>
      </c>
      <c r="D214" s="30">
        <f t="shared" si="5"/>
        <v>17006.94697049183</v>
      </c>
      <c r="E214" s="30">
        <f>_xll.StatMean(D210:D213)</f>
        <v>16491.239915040467</v>
      </c>
      <c r="F214" s="30">
        <f t="shared" si="2"/>
        <v>515.70705545136298</v>
      </c>
      <c r="G214" s="30">
        <f t="shared" ref="G214:G245" si="6">E214*C214</f>
        <v>16617.349305221924</v>
      </c>
      <c r="H214" s="30">
        <f t="shared" si="3"/>
        <v>519.65069477807629</v>
      </c>
    </row>
    <row r="215" spans="1:8" ht="15" customHeight="1" x14ac:dyDescent="0.25">
      <c r="A215" s="27" t="s">
        <v>160</v>
      </c>
      <c r="B215" s="30">
        <f xml:space="preserve"> 16594</f>
        <v>16594</v>
      </c>
      <c r="C215" s="30">
        <v>1.0242421211021173</v>
      </c>
      <c r="D215" s="30">
        <f t="shared" si="5"/>
        <v>16201.247398558775</v>
      </c>
      <c r="E215" s="30">
        <f>_xll.StatMean(D211:D214)</f>
        <v>16840.454367788549</v>
      </c>
      <c r="F215" s="30">
        <f t="shared" ref="F215:F262" si="7">D215-E215</f>
        <v>-639.20696922977368</v>
      </c>
      <c r="G215" s="30">
        <f t="shared" si="6"/>
        <v>17248.70270198716</v>
      </c>
      <c r="H215" s="30">
        <f t="shared" ref="H215:H262" si="8">B215-G215</f>
        <v>-654.70270198716025</v>
      </c>
    </row>
    <row r="216" spans="1:8" ht="15" customHeight="1" x14ac:dyDescent="0.25">
      <c r="A216" s="27" t="s">
        <v>161</v>
      </c>
      <c r="B216" s="30">
        <f xml:space="preserve"> 16274</f>
        <v>16274</v>
      </c>
      <c r="C216" s="30">
        <v>0.94663970878958614</v>
      </c>
      <c r="D216" s="30">
        <f t="shared" si="5"/>
        <v>17191.334621710121</v>
      </c>
      <c r="E216" s="30">
        <f>_xll.StatMean(D212:D215)</f>
        <v>16461.878960813734</v>
      </c>
      <c r="F216" s="30">
        <f t="shared" si="7"/>
        <v>729.45566089638669</v>
      </c>
      <c r="G216" s="30">
        <f t="shared" si="6"/>
        <v>15583.468305594128</v>
      </c>
      <c r="H216" s="30">
        <f t="shared" si="8"/>
        <v>690.53169440587226</v>
      </c>
    </row>
    <row r="217" spans="1:8" ht="15" customHeight="1" x14ac:dyDescent="0.25">
      <c r="A217" s="27" t="s">
        <v>162</v>
      </c>
      <c r="B217" s="30">
        <f xml:space="preserve"> 15103</f>
        <v>15103</v>
      </c>
      <c r="C217" s="30">
        <v>0.9050536648720291</v>
      </c>
      <c r="D217" s="30">
        <f t="shared" si="5"/>
        <v>16687.408256763982</v>
      </c>
      <c r="E217" s="30">
        <f>_xll.StatMean(D213:D216)</f>
        <v>16760.56560192653</v>
      </c>
      <c r="F217" s="30">
        <f t="shared" si="7"/>
        <v>-73.157345162548154</v>
      </c>
      <c r="G217" s="30">
        <f t="shared" si="6"/>
        <v>15169.211323351672</v>
      </c>
      <c r="H217" s="30">
        <f t="shared" si="8"/>
        <v>-66.211323351672036</v>
      </c>
    </row>
    <row r="218" spans="1:8" ht="15" customHeight="1" x14ac:dyDescent="0.25">
      <c r="A218" s="27" t="s">
        <v>163</v>
      </c>
      <c r="B218" s="30">
        <f xml:space="preserve"> 15413</f>
        <v>15413</v>
      </c>
      <c r="C218" s="30">
        <v>0.90657052885571165</v>
      </c>
      <c r="D218" s="30">
        <f t="shared" si="5"/>
        <v>17001.435089065319</v>
      </c>
      <c r="E218" s="30">
        <f>_xll.StatMean(D214:D217)</f>
        <v>16771.734311881177</v>
      </c>
      <c r="F218" s="30">
        <f t="shared" si="7"/>
        <v>229.70077718414177</v>
      </c>
      <c r="G218" s="30">
        <f t="shared" si="6"/>
        <v>15204.760044949604</v>
      </c>
      <c r="H218" s="30">
        <f t="shared" si="8"/>
        <v>208.23995505039602</v>
      </c>
    </row>
    <row r="219" spans="1:8" ht="15" customHeight="1" x14ac:dyDescent="0.25">
      <c r="A219" s="27" t="s">
        <v>164</v>
      </c>
      <c r="B219" s="30">
        <f xml:space="preserve"> 14860</f>
        <v>14860</v>
      </c>
      <c r="C219" s="30">
        <v>0.90805598066695403</v>
      </c>
      <c r="D219" s="30">
        <f t="shared" si="5"/>
        <v>16364.629842628803</v>
      </c>
      <c r="E219" s="30">
        <f>_xll.StatMean(D215:D218)</f>
        <v>16770.356341524548</v>
      </c>
      <c r="F219" s="30">
        <f t="shared" si="7"/>
        <v>-405.72649889574495</v>
      </c>
      <c r="G219" s="30">
        <f t="shared" si="6"/>
        <v>15228.422373837346</v>
      </c>
      <c r="H219" s="30">
        <f t="shared" si="8"/>
        <v>-368.42237383734573</v>
      </c>
    </row>
    <row r="220" spans="1:8" ht="15" customHeight="1" x14ac:dyDescent="0.25">
      <c r="A220" s="27" t="s">
        <v>165</v>
      </c>
      <c r="B220" s="30">
        <f xml:space="preserve"> 14334</f>
        <v>14334</v>
      </c>
      <c r="C220" s="30">
        <v>0.88554664064815469</v>
      </c>
      <c r="D220" s="30">
        <f t="shared" si="5"/>
        <v>16186.612135424704</v>
      </c>
      <c r="E220" s="30">
        <f>_xll.StatMean(D216:D219)</f>
        <v>16811.201952542055</v>
      </c>
      <c r="F220" s="30">
        <f t="shared" si="7"/>
        <v>-624.58981711735032</v>
      </c>
      <c r="G220" s="30">
        <f t="shared" si="6"/>
        <v>14887.103414331315</v>
      </c>
      <c r="H220" s="30">
        <f t="shared" si="8"/>
        <v>-553.10341433131543</v>
      </c>
    </row>
    <row r="221" spans="1:8" ht="15" customHeight="1" x14ac:dyDescent="0.25">
      <c r="A221" s="27" t="s">
        <v>166</v>
      </c>
      <c r="B221" s="30">
        <f xml:space="preserve"> 14398</f>
        <v>14398</v>
      </c>
      <c r="C221" s="30">
        <v>0.91566790449517033</v>
      </c>
      <c r="D221" s="30">
        <f t="shared" si="5"/>
        <v>15724.041357480977</v>
      </c>
      <c r="E221" s="30">
        <f>_xll.StatMean(D217:D220)</f>
        <v>16560.021330970703</v>
      </c>
      <c r="F221" s="30">
        <f t="shared" si="7"/>
        <v>-835.97997348972604</v>
      </c>
      <c r="G221" s="30">
        <f t="shared" si="6"/>
        <v>15163.480030525265</v>
      </c>
      <c r="H221" s="30">
        <f t="shared" si="8"/>
        <v>-765.48003052526474</v>
      </c>
    </row>
    <row r="222" spans="1:8" ht="15" customHeight="1" x14ac:dyDescent="0.25">
      <c r="A222" s="27" t="s">
        <v>167</v>
      </c>
      <c r="B222" s="30">
        <f xml:space="preserve"> 16939</f>
        <v>16939</v>
      </c>
      <c r="C222" s="30">
        <v>1.0046707510607737</v>
      </c>
      <c r="D222" s="30">
        <f t="shared" si="5"/>
        <v>16860.249969569722</v>
      </c>
      <c r="E222" s="30">
        <f>_xll.StatMean(D218:D221)</f>
        <v>16319.179606149952</v>
      </c>
      <c r="F222" s="30">
        <f t="shared" si="7"/>
        <v>541.07036341977073</v>
      </c>
      <c r="G222" s="30">
        <f t="shared" si="6"/>
        <v>16395.402431606333</v>
      </c>
      <c r="H222" s="30">
        <f t="shared" si="8"/>
        <v>543.59756839366673</v>
      </c>
    </row>
    <row r="223" spans="1:8" ht="15" customHeight="1" x14ac:dyDescent="0.25">
      <c r="A223" s="27" t="s">
        <v>168</v>
      </c>
      <c r="B223" s="30">
        <f xml:space="preserve"> 19489</f>
        <v>19489</v>
      </c>
      <c r="C223" s="30">
        <v>1.0984136010088161</v>
      </c>
      <c r="D223" s="30">
        <f t="shared" si="5"/>
        <v>17742.861142743241</v>
      </c>
      <c r="E223" s="30">
        <f>_xll.StatMean(D219:D222)</f>
        <v>16283.883326276053</v>
      </c>
      <c r="F223" s="30">
        <f t="shared" si="7"/>
        <v>1458.9778164671879</v>
      </c>
      <c r="G223" s="30">
        <f t="shared" si="6"/>
        <v>17886.438922822297</v>
      </c>
      <c r="H223" s="30">
        <f t="shared" si="8"/>
        <v>1602.5610771777028</v>
      </c>
    </row>
    <row r="224" spans="1:8" ht="15" customHeight="1" x14ac:dyDescent="0.25">
      <c r="A224" s="27" t="s">
        <v>169</v>
      </c>
      <c r="B224" s="30">
        <f xml:space="preserve"> 20016</f>
        <v>20016</v>
      </c>
      <c r="C224" s="30">
        <v>1.1681866116143564</v>
      </c>
      <c r="D224" s="30">
        <f t="shared" si="5"/>
        <v>17134.248758714341</v>
      </c>
      <c r="E224" s="30">
        <f>_xll.StatMean(D220:D223)</f>
        <v>16628.441151304658</v>
      </c>
      <c r="F224" s="30">
        <f t="shared" si="7"/>
        <v>505.80760740968253</v>
      </c>
      <c r="G224" s="30">
        <f t="shared" si="6"/>
        <v>19425.122324971315</v>
      </c>
      <c r="H224" s="30">
        <f t="shared" si="8"/>
        <v>590.87767502868519</v>
      </c>
    </row>
    <row r="225" spans="1:8" ht="15" customHeight="1" x14ac:dyDescent="0.25">
      <c r="A225" s="27" t="s">
        <v>170</v>
      </c>
      <c r="B225" s="30">
        <f xml:space="preserve"> 22099</f>
        <v>22099</v>
      </c>
      <c r="C225" s="30">
        <v>1.229305276209552</v>
      </c>
      <c r="D225" s="30">
        <f t="shared" si="5"/>
        <v>17976.820263995127</v>
      </c>
      <c r="E225" s="30">
        <f>_xll.StatMean(D221:D224)</f>
        <v>16865.350307127068</v>
      </c>
      <c r="F225" s="30">
        <f t="shared" si="7"/>
        <v>1111.4699568680589</v>
      </c>
      <c r="G225" s="30">
        <f t="shared" si="6"/>
        <v>20732.664117673692</v>
      </c>
      <c r="H225" s="30">
        <f t="shared" si="8"/>
        <v>1366.3358823263079</v>
      </c>
    </row>
    <row r="226" spans="1:8" ht="15" customHeight="1" x14ac:dyDescent="0.25">
      <c r="A226" s="27" t="s">
        <v>171</v>
      </c>
      <c r="B226" s="30">
        <f xml:space="preserve"> 16689</f>
        <v>16689</v>
      </c>
      <c r="C226" s="30">
        <v>1.0076470532738075</v>
      </c>
      <c r="D226" s="30">
        <f t="shared" si="5"/>
        <v>16562.346851288916</v>
      </c>
      <c r="E226" s="30">
        <f>_xll.StatMean(D222:D225)</f>
        <v>17428.54503375561</v>
      </c>
      <c r="F226" s="30">
        <f t="shared" si="7"/>
        <v>-866.19818246669456</v>
      </c>
      <c r="G226" s="30">
        <f t="shared" si="6"/>
        <v>17561.822046113695</v>
      </c>
      <c r="H226" s="30">
        <f t="shared" si="8"/>
        <v>-872.82204611369525</v>
      </c>
    </row>
    <row r="227" spans="1:8" ht="15" customHeight="1" x14ac:dyDescent="0.25">
      <c r="A227" s="27" t="s">
        <v>172</v>
      </c>
      <c r="B227" s="30">
        <f xml:space="preserve"> 16804</f>
        <v>16804</v>
      </c>
      <c r="C227" s="30">
        <v>1.0242421211021173</v>
      </c>
      <c r="D227" s="30">
        <f t="shared" si="5"/>
        <v>16406.277045039271</v>
      </c>
      <c r="E227" s="30">
        <f>_xll.StatMean(D223:D226)</f>
        <v>17354.069254185408</v>
      </c>
      <c r="F227" s="30">
        <f t="shared" si="7"/>
        <v>-947.79220914613688</v>
      </c>
      <c r="G227" s="30">
        <f t="shared" si="6"/>
        <v>17774.768702659901</v>
      </c>
      <c r="H227" s="30">
        <f t="shared" si="8"/>
        <v>-970.76870265990146</v>
      </c>
    </row>
    <row r="228" spans="1:8" ht="15" customHeight="1" x14ac:dyDescent="0.25">
      <c r="A228" s="27" t="s">
        <v>173</v>
      </c>
      <c r="B228" s="30">
        <f xml:space="preserve"> 16543</f>
        <v>16543</v>
      </c>
      <c r="C228" s="30">
        <v>0.94663970878958614</v>
      </c>
      <c r="D228" s="30">
        <f t="shared" si="5"/>
        <v>17475.497643293016</v>
      </c>
      <c r="E228" s="30">
        <f>_xll.StatMean(D224:D227)</f>
        <v>17019.923229759414</v>
      </c>
      <c r="F228" s="30">
        <f t="shared" si="7"/>
        <v>455.57441353360264</v>
      </c>
      <c r="G228" s="30">
        <f t="shared" si="6"/>
        <v>16111.735169840564</v>
      </c>
      <c r="H228" s="30">
        <f t="shared" si="8"/>
        <v>431.26483015943631</v>
      </c>
    </row>
    <row r="229" spans="1:8" ht="15" customHeight="1" x14ac:dyDescent="0.25">
      <c r="A229" s="27" t="s">
        <v>174</v>
      </c>
      <c r="B229" s="30">
        <f xml:space="preserve"> 16045</f>
        <v>16045</v>
      </c>
      <c r="C229" s="30">
        <v>0.9050536648720291</v>
      </c>
      <c r="D229" s="30">
        <f t="shared" si="5"/>
        <v>17728.230515776871</v>
      </c>
      <c r="E229" s="30">
        <f>_xll.StatMean(D225:D228)</f>
        <v>17105.235450904082</v>
      </c>
      <c r="F229" s="30">
        <f t="shared" si="7"/>
        <v>622.99506487278995</v>
      </c>
      <c r="G229" s="30">
        <f t="shared" si="6"/>
        <v>15481.156033339694</v>
      </c>
      <c r="H229" s="30">
        <f t="shared" si="8"/>
        <v>563.84396666030625</v>
      </c>
    </row>
    <row r="230" spans="1:8" ht="15" customHeight="1" x14ac:dyDescent="0.25">
      <c r="A230" s="27" t="s">
        <v>175</v>
      </c>
      <c r="B230" s="30">
        <f xml:space="preserve"> 16896</f>
        <v>16896</v>
      </c>
      <c r="C230" s="30">
        <v>0.90657052885571165</v>
      </c>
      <c r="D230" s="30">
        <f t="shared" si="5"/>
        <v>18637.270308495921</v>
      </c>
      <c r="E230" s="30">
        <f>_xll.StatMean(D226:D229)</f>
        <v>17043.088013849519</v>
      </c>
      <c r="F230" s="30">
        <f t="shared" si="7"/>
        <v>1594.1822946464017</v>
      </c>
      <c r="G230" s="30">
        <f t="shared" si="6"/>
        <v>15450.76131405</v>
      </c>
      <c r="H230" s="30">
        <f t="shared" si="8"/>
        <v>1445.2386859500002</v>
      </c>
    </row>
    <row r="231" spans="1:8" ht="15" customHeight="1" x14ac:dyDescent="0.25">
      <c r="A231" s="27" t="s">
        <v>176</v>
      </c>
      <c r="B231" s="30">
        <f xml:space="preserve"> 16546</f>
        <v>16546</v>
      </c>
      <c r="C231" s="30">
        <v>0.90805598066695403</v>
      </c>
      <c r="D231" s="30">
        <f t="shared" si="5"/>
        <v>18221.343565015894</v>
      </c>
      <c r="E231" s="30">
        <f>_xll.StatMean(D227:D230)</f>
        <v>17561.818878151269</v>
      </c>
      <c r="F231" s="30">
        <f t="shared" si="7"/>
        <v>659.52468686462453</v>
      </c>
      <c r="G231" s="30">
        <f t="shared" si="6"/>
        <v>15947.114663695078</v>
      </c>
      <c r="H231" s="30">
        <f t="shared" si="8"/>
        <v>598.88533630492202</v>
      </c>
    </row>
    <row r="232" spans="1:8" ht="15" customHeight="1" x14ac:dyDescent="0.25">
      <c r="A232" s="27" t="s">
        <v>177</v>
      </c>
      <c r="B232" s="30">
        <f xml:space="preserve"> 15039</f>
        <v>15039</v>
      </c>
      <c r="C232" s="30">
        <v>0.88554664064815469</v>
      </c>
      <c r="D232" s="30">
        <f t="shared" si="5"/>
        <v>16982.730564019264</v>
      </c>
      <c r="E232" s="30">
        <f>_xll.StatMean(D228:D231)</f>
        <v>18015.585508145425</v>
      </c>
      <c r="F232" s="30">
        <f t="shared" si="7"/>
        <v>-1032.8549441261603</v>
      </c>
      <c r="G232" s="30">
        <f t="shared" si="6"/>
        <v>15953.641226047759</v>
      </c>
      <c r="H232" s="30">
        <f t="shared" si="8"/>
        <v>-914.64122604775912</v>
      </c>
    </row>
    <row r="233" spans="1:8" ht="15" customHeight="1" x14ac:dyDescent="0.25">
      <c r="A233" s="27" t="s">
        <v>178</v>
      </c>
      <c r="B233" s="30">
        <f xml:space="preserve"> 16872</f>
        <v>16872</v>
      </c>
      <c r="C233" s="30">
        <v>0.91566790449517033</v>
      </c>
      <c r="D233" s="30">
        <f t="shared" si="5"/>
        <v>18425.894275831299</v>
      </c>
      <c r="E233" s="30">
        <f>_xll.StatMean(D229:D232)</f>
        <v>17892.393738326988</v>
      </c>
      <c r="F233" s="30">
        <f t="shared" si="7"/>
        <v>533.50053750431107</v>
      </c>
      <c r="G233" s="30">
        <f t="shared" si="6"/>
        <v>16383.49068077638</v>
      </c>
      <c r="H233" s="30">
        <f t="shared" si="8"/>
        <v>488.50931922361997</v>
      </c>
    </row>
    <row r="234" spans="1:8" ht="15" customHeight="1" x14ac:dyDescent="0.25">
      <c r="A234" s="27" t="s">
        <v>179</v>
      </c>
      <c r="B234" s="30">
        <f xml:space="preserve"> 17068</f>
        <v>17068</v>
      </c>
      <c r="C234" s="30">
        <v>1.0046707510607737</v>
      </c>
      <c r="D234" s="30">
        <f t="shared" si="5"/>
        <v>16988.650243852411</v>
      </c>
      <c r="E234" s="30">
        <f>_xll.StatMean(D230:D233)</f>
        <v>18066.809678340593</v>
      </c>
      <c r="F234" s="30">
        <f t="shared" si="7"/>
        <v>-1078.1594344881814</v>
      </c>
      <c r="G234" s="30">
        <f t="shared" si="6"/>
        <v>18151.195248810498</v>
      </c>
      <c r="H234" s="30">
        <f t="shared" si="8"/>
        <v>-1083.195248810498</v>
      </c>
    </row>
    <row r="235" spans="1:8" ht="15" customHeight="1" x14ac:dyDescent="0.25">
      <c r="A235" s="27" t="s">
        <v>180</v>
      </c>
      <c r="B235" s="30">
        <f xml:space="preserve"> 17368</f>
        <v>17368</v>
      </c>
      <c r="C235" s="30">
        <v>1.0984136010088161</v>
      </c>
      <c r="D235" s="30">
        <f t="shared" si="5"/>
        <v>15811.894521379474</v>
      </c>
      <c r="E235" s="30">
        <f>_xll.StatMean(D231:D234)</f>
        <v>17654.654662179717</v>
      </c>
      <c r="F235" s="30">
        <f t="shared" si="7"/>
        <v>-1842.7601408002429</v>
      </c>
      <c r="G235" s="30">
        <f t="shared" si="6"/>
        <v>19392.112802051906</v>
      </c>
      <c r="H235" s="30">
        <f t="shared" si="8"/>
        <v>-2024.1128020519063</v>
      </c>
    </row>
    <row r="236" spans="1:8" ht="15" customHeight="1" x14ac:dyDescent="0.25">
      <c r="A236" s="27" t="s">
        <v>181</v>
      </c>
      <c r="B236" s="30">
        <f xml:space="preserve"> 20287</f>
        <v>20287</v>
      </c>
      <c r="C236" s="30">
        <v>1.1681866116143564</v>
      </c>
      <c r="D236" s="30">
        <f t="shared" si="5"/>
        <v>17366.232242607806</v>
      </c>
      <c r="E236" s="30">
        <f>_xll.StatMean(D232:D235)</f>
        <v>17052.292401270613</v>
      </c>
      <c r="F236" s="30">
        <f t="shared" si="7"/>
        <v>313.93984133719277</v>
      </c>
      <c r="G236" s="30">
        <f t="shared" si="6"/>
        <v>19920.259680497555</v>
      </c>
      <c r="H236" s="30">
        <f t="shared" si="8"/>
        <v>366.74031950244535</v>
      </c>
    </row>
    <row r="237" spans="1:8" ht="15" customHeight="1" x14ac:dyDescent="0.25">
      <c r="A237" s="27" t="s">
        <v>182</v>
      </c>
      <c r="B237" s="30">
        <f xml:space="preserve"> 22133</f>
        <v>22133</v>
      </c>
      <c r="C237" s="30">
        <v>1.229305276209552</v>
      </c>
      <c r="D237" s="30">
        <f t="shared" si="5"/>
        <v>18004.478162043717</v>
      </c>
      <c r="E237" s="30">
        <f>_xll.StatMean(D233:D236)</f>
        <v>17148.167820917748</v>
      </c>
      <c r="F237" s="30">
        <f t="shared" si="7"/>
        <v>856.31034112596899</v>
      </c>
      <c r="G237" s="30">
        <f t="shared" si="6"/>
        <v>21080.333179581045</v>
      </c>
      <c r="H237" s="30">
        <f t="shared" si="8"/>
        <v>1052.6668204189555</v>
      </c>
    </row>
    <row r="238" spans="1:8" ht="15" customHeight="1" x14ac:dyDescent="0.25">
      <c r="A238" s="27" t="s">
        <v>183</v>
      </c>
      <c r="B238" s="30">
        <f xml:space="preserve"> 18534</f>
        <v>18534</v>
      </c>
      <c r="C238" s="30">
        <v>1.0076470532738075</v>
      </c>
      <c r="D238" s="30">
        <f t="shared" si="5"/>
        <v>18393.345110059843</v>
      </c>
      <c r="E238" s="30">
        <f>_xll.StatMean(D234:D237)</f>
        <v>17042.81379247085</v>
      </c>
      <c r="F238" s="30">
        <f t="shared" si="7"/>
        <v>1350.5313175889933</v>
      </c>
      <c r="G238" s="30">
        <f t="shared" si="6"/>
        <v>17173.141097477455</v>
      </c>
      <c r="H238" s="30">
        <f t="shared" si="8"/>
        <v>1360.8589025225447</v>
      </c>
    </row>
    <row r="239" spans="1:8" ht="15" customHeight="1" x14ac:dyDescent="0.25">
      <c r="A239" s="27" t="s">
        <v>184</v>
      </c>
      <c r="B239" s="30">
        <f xml:space="preserve"> 18978</f>
        <v>18978</v>
      </c>
      <c r="C239" s="30">
        <v>1.0242421211021173</v>
      </c>
      <c r="D239" s="30">
        <f t="shared" si="5"/>
        <v>18528.822051937354</v>
      </c>
      <c r="E239" s="30">
        <f>_xll.StatMean(D235:D238)</f>
        <v>17393.987509022711</v>
      </c>
      <c r="F239" s="30">
        <f t="shared" si="7"/>
        <v>1134.834542914643</v>
      </c>
      <c r="G239" s="30">
        <f t="shared" si="6"/>
        <v>17815.654660665154</v>
      </c>
      <c r="H239" s="30">
        <f t="shared" si="8"/>
        <v>1162.3453393348464</v>
      </c>
    </row>
    <row r="240" spans="1:8" ht="15" customHeight="1" x14ac:dyDescent="0.25">
      <c r="A240" s="27" t="s">
        <v>185</v>
      </c>
      <c r="B240" s="30">
        <f xml:space="preserve"> 15800</f>
        <v>15800</v>
      </c>
      <c r="C240" s="30">
        <v>0.94663970878958614</v>
      </c>
      <c r="D240" s="30">
        <f t="shared" si="5"/>
        <v>16690.616137582641</v>
      </c>
      <c r="E240" s="30">
        <f>_xll.StatMean(D236:D239)</f>
        <v>18073.21939166218</v>
      </c>
      <c r="F240" s="30">
        <f t="shared" si="7"/>
        <v>-1382.6032540795386</v>
      </c>
      <c r="G240" s="30">
        <f t="shared" si="6"/>
        <v>17108.827141813388</v>
      </c>
      <c r="H240" s="30">
        <f t="shared" si="8"/>
        <v>-1308.8271418133882</v>
      </c>
    </row>
    <row r="241" spans="1:8" ht="15" customHeight="1" x14ac:dyDescent="0.25">
      <c r="A241" s="27" t="s">
        <v>186</v>
      </c>
      <c r="B241" s="30">
        <f xml:space="preserve"> 16379</f>
        <v>16379</v>
      </c>
      <c r="C241" s="30">
        <v>0.9050536648720291</v>
      </c>
      <c r="D241" s="30">
        <f t="shared" si="5"/>
        <v>18097.269405915198</v>
      </c>
      <c r="E241" s="30">
        <f>_xll.StatMean(D237:D240)</f>
        <v>17904.315365405891</v>
      </c>
      <c r="F241" s="30">
        <f t="shared" si="7"/>
        <v>192.95404050930665</v>
      </c>
      <c r="G241" s="30">
        <f t="shared" si="6"/>
        <v>16204.366238485185</v>
      </c>
      <c r="H241" s="30">
        <f t="shared" si="8"/>
        <v>174.63376151481498</v>
      </c>
    </row>
    <row r="242" spans="1:8" ht="15" customHeight="1" x14ac:dyDescent="0.25">
      <c r="A242" s="27" t="s">
        <v>187</v>
      </c>
      <c r="B242" s="30">
        <f xml:space="preserve"> 15686</f>
        <v>15686</v>
      </c>
      <c r="C242" s="30">
        <v>0.90657052885571165</v>
      </c>
      <c r="D242" s="30">
        <f t="shared" si="5"/>
        <v>17302.56996088228</v>
      </c>
      <c r="E242" s="30">
        <f>_xll.StatMean(D238:D241)</f>
        <v>17927.513176373759</v>
      </c>
      <c r="F242" s="30">
        <f t="shared" si="7"/>
        <v>-624.94321549147935</v>
      </c>
      <c r="G242" s="30">
        <f t="shared" si="6"/>
        <v>16252.555101372898</v>
      </c>
      <c r="H242" s="30">
        <f t="shared" si="8"/>
        <v>-566.55510137289821</v>
      </c>
    </row>
    <row r="243" spans="1:8" ht="15" customHeight="1" x14ac:dyDescent="0.25">
      <c r="A243" s="27" t="s">
        <v>188</v>
      </c>
      <c r="B243" s="30">
        <f xml:space="preserve"> 17447</f>
        <v>17447</v>
      </c>
      <c r="C243" s="30">
        <v>0.90805598066695403</v>
      </c>
      <c r="D243" s="30">
        <f t="shared" si="5"/>
        <v>19213.57314026546</v>
      </c>
      <c r="E243" s="30">
        <f>_xll.StatMean(D239:D242)</f>
        <v>17654.819389079366</v>
      </c>
      <c r="F243" s="30">
        <f t="shared" si="7"/>
        <v>1558.7537511860937</v>
      </c>
      <c r="G243" s="30">
        <f t="shared" si="6"/>
        <v>16031.564333848419</v>
      </c>
      <c r="H243" s="30">
        <f t="shared" si="8"/>
        <v>1415.4356661515812</v>
      </c>
    </row>
    <row r="244" spans="1:8" ht="15" customHeight="1" x14ac:dyDescent="0.25">
      <c r="A244" s="27" t="s">
        <v>189</v>
      </c>
      <c r="B244" s="30">
        <f xml:space="preserve"> 15853</f>
        <v>15853</v>
      </c>
      <c r="C244" s="30">
        <v>0.88554664064815469</v>
      </c>
      <c r="D244" s="30">
        <f t="shared" si="5"/>
        <v>17901.936806396527</v>
      </c>
      <c r="E244" s="30">
        <f>_xll.StatMean(D240:D243)</f>
        <v>17826.007161161397</v>
      </c>
      <c r="F244" s="30">
        <f t="shared" si="7"/>
        <v>75.92964523513001</v>
      </c>
      <c r="G244" s="30">
        <f t="shared" si="6"/>
        <v>15785.760757736423</v>
      </c>
      <c r="H244" s="30">
        <f t="shared" si="8"/>
        <v>67.239242263576671</v>
      </c>
    </row>
    <row r="245" spans="1:8" ht="15" customHeight="1" x14ac:dyDescent="0.25">
      <c r="A245" s="27" t="s">
        <v>190</v>
      </c>
      <c r="B245" s="30">
        <f xml:space="preserve"> 16267</f>
        <v>16267</v>
      </c>
      <c r="C245" s="30">
        <v>0.91566790449517033</v>
      </c>
      <c r="D245" s="30">
        <f t="shared" si="5"/>
        <v>17765.174382701978</v>
      </c>
      <c r="E245" s="30">
        <f>_xll.StatMean(D241:D244)</f>
        <v>18128.837328364865</v>
      </c>
      <c r="F245" s="30">
        <f t="shared" si="7"/>
        <v>-363.66294566288707</v>
      </c>
      <c r="G245" s="30">
        <f t="shared" si="6"/>
        <v>16599.994487397678</v>
      </c>
      <c r="H245" s="30">
        <f t="shared" si="8"/>
        <v>-332.99448739767831</v>
      </c>
    </row>
    <row r="246" spans="1:8" ht="15" customHeight="1" x14ac:dyDescent="0.25">
      <c r="A246" s="27" t="s">
        <v>191</v>
      </c>
      <c r="B246" s="30">
        <f xml:space="preserve"> 18437</f>
        <v>18437</v>
      </c>
      <c r="C246" s="30">
        <v>1.0046707510607737</v>
      </c>
      <c r="D246" s="30">
        <f t="shared" si="5"/>
        <v>18351.285712790421</v>
      </c>
      <c r="E246" s="30">
        <f>_xll.StatMean(D242:D245)</f>
        <v>18045.813572561561</v>
      </c>
      <c r="F246" s="30">
        <f t="shared" si="7"/>
        <v>305.47214022885964</v>
      </c>
      <c r="G246" s="30">
        <f t="shared" ref="G246:G270" si="9">E246*C246</f>
        <v>18130.101075448129</v>
      </c>
      <c r="H246" s="30">
        <f t="shared" si="8"/>
        <v>306.89892455187146</v>
      </c>
    </row>
    <row r="247" spans="1:8" ht="15" customHeight="1" x14ac:dyDescent="0.25">
      <c r="A247" s="27" t="s">
        <v>192</v>
      </c>
      <c r="B247" s="30">
        <f xml:space="preserve"> 19665</f>
        <v>19665</v>
      </c>
      <c r="C247" s="30">
        <v>1.0984136010088161</v>
      </c>
      <c r="D247" s="30">
        <f t="shared" si="5"/>
        <v>17903.092224949756</v>
      </c>
      <c r="E247" s="30">
        <f>_xll.StatMean(D243:D246)</f>
        <v>18307.992510538599</v>
      </c>
      <c r="F247" s="30">
        <f t="shared" si="7"/>
        <v>-404.90028558884296</v>
      </c>
      <c r="G247" s="30">
        <f t="shared" si="9"/>
        <v>20109.747980743137</v>
      </c>
      <c r="H247" s="30">
        <f t="shared" si="8"/>
        <v>-444.7479807431373</v>
      </c>
    </row>
    <row r="248" spans="1:8" ht="15" customHeight="1" x14ac:dyDescent="0.25">
      <c r="A248" s="27" t="s">
        <v>193</v>
      </c>
      <c r="B248" s="30">
        <f xml:space="preserve"> 22022</f>
        <v>22022</v>
      </c>
      <c r="C248" s="30">
        <v>1.1681866116143564</v>
      </c>
      <c r="D248" s="30">
        <f t="shared" si="5"/>
        <v>18851.440156095487</v>
      </c>
      <c r="E248" s="30">
        <f>_xll.StatMean(D244:D247)</f>
        <v>17980.372281709671</v>
      </c>
      <c r="F248" s="30">
        <f t="shared" si="7"/>
        <v>871.06787438581523</v>
      </c>
      <c r="G248" s="30">
        <f t="shared" si="9"/>
        <v>21004.430171335116</v>
      </c>
      <c r="H248" s="30">
        <f t="shared" si="8"/>
        <v>1017.569828664884</v>
      </c>
    </row>
    <row r="249" spans="1:8" ht="15" customHeight="1" x14ac:dyDescent="0.25">
      <c r="A249" s="27" t="s">
        <v>194</v>
      </c>
      <c r="B249" s="30">
        <f xml:space="preserve"> 21775</f>
        <v>21775</v>
      </c>
      <c r="C249" s="30">
        <v>1.229305276209552</v>
      </c>
      <c r="D249" s="30">
        <f t="shared" si="5"/>
        <v>17713.256764943839</v>
      </c>
      <c r="E249" s="30">
        <f>_xll.StatMean(D245:D248)</f>
        <v>18217.748119134409</v>
      </c>
      <c r="F249" s="30">
        <f t="shared" si="7"/>
        <v>-504.49135419056984</v>
      </c>
      <c r="G249" s="30">
        <f t="shared" si="9"/>
        <v>22395.173883508571</v>
      </c>
      <c r="H249" s="30">
        <f t="shared" si="8"/>
        <v>-620.17388350857073</v>
      </c>
    </row>
    <row r="250" spans="1:8" ht="15" customHeight="1" x14ac:dyDescent="0.25">
      <c r="A250" s="27" t="s">
        <v>195</v>
      </c>
      <c r="B250" s="30">
        <f xml:space="preserve"> 18675</f>
        <v>18675</v>
      </c>
      <c r="C250" s="30">
        <v>1.0076470532738075</v>
      </c>
      <c r="D250" s="30">
        <f t="shared" si="5"/>
        <v>18533.275058291118</v>
      </c>
      <c r="E250" s="30">
        <f>_xll.StatMean(D246:D249)</f>
        <v>18204.768714694877</v>
      </c>
      <c r="F250" s="30">
        <f t="shared" si="7"/>
        <v>328.50634359624019</v>
      </c>
      <c r="G250" s="30">
        <f t="shared" si="9"/>
        <v>18343.981550893495</v>
      </c>
      <c r="H250" s="30">
        <f t="shared" si="8"/>
        <v>331.0184491065047</v>
      </c>
    </row>
    <row r="251" spans="1:8" ht="15" customHeight="1" x14ac:dyDescent="0.25">
      <c r="A251" s="27" t="s">
        <v>196</v>
      </c>
      <c r="B251" s="30">
        <f xml:space="preserve"> 18869</f>
        <v>18869</v>
      </c>
      <c r="C251" s="30">
        <v>1.0242421211021173</v>
      </c>
      <c r="D251" s="30">
        <f t="shared" si="5"/>
        <v>18422.401902097477</v>
      </c>
      <c r="E251" s="30">
        <f>_xll.StatMean(D247:D250)</f>
        <v>18250.266051070052</v>
      </c>
      <c r="F251" s="30">
        <f t="shared" si="7"/>
        <v>172.13585102742582</v>
      </c>
      <c r="G251" s="30">
        <f t="shared" si="9"/>
        <v>18692.691210825953</v>
      </c>
      <c r="H251" s="30">
        <f t="shared" si="8"/>
        <v>176.30878917404698</v>
      </c>
    </row>
    <row r="252" spans="1:8" ht="15" customHeight="1" x14ac:dyDescent="0.25">
      <c r="A252" s="27" t="s">
        <v>197</v>
      </c>
      <c r="B252" s="30">
        <f xml:space="preserve"> 17166</f>
        <v>17166</v>
      </c>
      <c r="C252" s="30">
        <v>0.94663970878958614</v>
      </c>
      <c r="D252" s="30">
        <f t="shared" si="5"/>
        <v>18133.614975806559</v>
      </c>
      <c r="E252" s="30">
        <f>_xll.StatMean(D248:D251)</f>
        <v>18380.09347035698</v>
      </c>
      <c r="F252" s="30">
        <f t="shared" si="7"/>
        <v>-246.4784945504216</v>
      </c>
      <c r="G252" s="30">
        <f t="shared" si="9"/>
        <v>17399.326330304106</v>
      </c>
      <c r="H252" s="30">
        <f t="shared" si="8"/>
        <v>-233.3263303041058</v>
      </c>
    </row>
    <row r="253" spans="1:8" ht="15" customHeight="1" x14ac:dyDescent="0.25">
      <c r="A253" s="27" t="s">
        <v>198</v>
      </c>
      <c r="B253" s="30">
        <f xml:space="preserve"> 16354</f>
        <v>16354</v>
      </c>
      <c r="C253" s="30">
        <v>0.9050536648720291</v>
      </c>
      <c r="D253" s="30">
        <f t="shared" si="5"/>
        <v>18069.646734497659</v>
      </c>
      <c r="E253" s="30">
        <f>_xll.StatMean(D249:D252)</f>
        <v>18200.637175284748</v>
      </c>
      <c r="F253" s="30">
        <f t="shared" si="7"/>
        <v>-130.99044078708903</v>
      </c>
      <c r="G253" s="30">
        <f t="shared" si="9"/>
        <v>16472.553378497556</v>
      </c>
      <c r="H253" s="30">
        <f t="shared" si="8"/>
        <v>-118.55337849755597</v>
      </c>
    </row>
    <row r="254" spans="1:8" ht="15" customHeight="1" x14ac:dyDescent="0.25">
      <c r="A254" s="27" t="s">
        <v>199</v>
      </c>
      <c r="B254" s="30">
        <f xml:space="preserve"> 16719</f>
        <v>16719</v>
      </c>
      <c r="C254" s="30">
        <v>0.90657052885571165</v>
      </c>
      <c r="D254" s="30">
        <f t="shared" si="5"/>
        <v>18442.029017977231</v>
      </c>
      <c r="E254" s="30">
        <f>_xll.StatMean(D250:D253)</f>
        <v>18289.734667673201</v>
      </c>
      <c r="F254" s="30">
        <f t="shared" si="7"/>
        <v>152.29435030402965</v>
      </c>
      <c r="G254" s="30">
        <f t="shared" si="9"/>
        <v>16580.934430303139</v>
      </c>
      <c r="H254" s="30">
        <f t="shared" si="8"/>
        <v>138.06556969686062</v>
      </c>
    </row>
    <row r="255" spans="1:8" ht="15" customHeight="1" x14ac:dyDescent="0.25">
      <c r="A255" s="27" t="s">
        <v>200</v>
      </c>
      <c r="B255" s="30">
        <f xml:space="preserve"> 16232</f>
        <v>16232</v>
      </c>
      <c r="C255" s="30">
        <v>0.90805598066695403</v>
      </c>
      <c r="D255" s="30">
        <f t="shared" si="5"/>
        <v>17875.549906160886</v>
      </c>
      <c r="E255" s="30">
        <f>_xll.StatMean(D251:D254)</f>
        <v>18266.923157594731</v>
      </c>
      <c r="F255" s="30">
        <f t="shared" si="7"/>
        <v>-391.37325143384442</v>
      </c>
      <c r="G255" s="30">
        <f t="shared" si="9"/>
        <v>16587.388821637574</v>
      </c>
      <c r="H255" s="30">
        <f t="shared" si="8"/>
        <v>-355.38882163757444</v>
      </c>
    </row>
    <row r="256" spans="1:8" ht="15" customHeight="1" x14ac:dyDescent="0.25">
      <c r="A256" s="27" t="s">
        <v>201</v>
      </c>
      <c r="B256" s="30">
        <f xml:space="preserve"> 15923</f>
        <v>15923</v>
      </c>
      <c r="C256" s="30">
        <v>0.88554664064815469</v>
      </c>
      <c r="D256" s="30">
        <f t="shared" si="5"/>
        <v>17980.984026256981</v>
      </c>
      <c r="E256" s="30">
        <f>_xll.StatMean(D252:D255)</f>
        <v>18130.210158610582</v>
      </c>
      <c r="F256" s="30">
        <f t="shared" si="7"/>
        <v>-149.22613235360041</v>
      </c>
      <c r="G256" s="30">
        <f t="shared" si="9"/>
        <v>16055.146700202649</v>
      </c>
      <c r="H256" s="30">
        <f t="shared" si="8"/>
        <v>-132.1467002026493</v>
      </c>
    </row>
    <row r="257" spans="1:8" ht="15" customHeight="1" x14ac:dyDescent="0.25">
      <c r="A257" s="27" t="s">
        <v>202</v>
      </c>
      <c r="B257" s="30">
        <f xml:space="preserve"> 17682</f>
        <v>17682</v>
      </c>
      <c r="C257" s="30">
        <v>0.91566790449517033</v>
      </c>
      <c r="D257" s="30">
        <f t="shared" si="5"/>
        <v>19310.494463326755</v>
      </c>
      <c r="E257" s="30">
        <f>_xll.StatMean(D253:D256)</f>
        <v>18092.05242122319</v>
      </c>
      <c r="F257" s="30">
        <f t="shared" si="7"/>
        <v>1218.4420421035647</v>
      </c>
      <c r="G257" s="30">
        <f t="shared" si="9"/>
        <v>16566.311728558212</v>
      </c>
      <c r="H257" s="30">
        <f t="shared" si="8"/>
        <v>1115.6882714417879</v>
      </c>
    </row>
    <row r="258" spans="1:8" ht="15" customHeight="1" x14ac:dyDescent="0.25">
      <c r="A258" s="27" t="s">
        <v>203</v>
      </c>
      <c r="B258" s="30">
        <f xml:space="preserve"> 18182</f>
        <v>18182</v>
      </c>
      <c r="C258" s="30">
        <v>1.0046707510607737</v>
      </c>
      <c r="D258" s="30">
        <f t="shared" si="5"/>
        <v>18097.471217115337</v>
      </c>
      <c r="E258" s="30">
        <f>_xll.StatMean(D254:D257)</f>
        <v>18402.264353430463</v>
      </c>
      <c r="F258" s="30">
        <f t="shared" si="7"/>
        <v>-304.79313631512559</v>
      </c>
      <c r="G258" s="30">
        <f t="shared" si="9"/>
        <v>18488.216749179886</v>
      </c>
      <c r="H258" s="30">
        <f t="shared" si="8"/>
        <v>-306.21674917988639</v>
      </c>
    </row>
    <row r="259" spans="1:8" ht="15" customHeight="1" x14ac:dyDescent="0.25">
      <c r="A259" s="27" t="s">
        <v>204</v>
      </c>
      <c r="B259" s="30">
        <f xml:space="preserve"> 19671</f>
        <v>19671</v>
      </c>
      <c r="C259" s="30">
        <v>1.0984136010088161</v>
      </c>
      <c r="D259" s="30">
        <f t="shared" si="5"/>
        <v>17908.554648206798</v>
      </c>
      <c r="E259" s="30">
        <f>_xll.StatMean(D255:D258)</f>
        <v>18316.12490321499</v>
      </c>
      <c r="F259" s="30">
        <f t="shared" si="7"/>
        <v>-407.57025500819145</v>
      </c>
      <c r="G259" s="30">
        <f t="shared" si="9"/>
        <v>20118.68071146763</v>
      </c>
      <c r="H259" s="30">
        <f t="shared" si="8"/>
        <v>-447.68071146763032</v>
      </c>
    </row>
    <row r="260" spans="1:8" ht="15" customHeight="1" x14ac:dyDescent="0.25">
      <c r="A260" s="27" t="s">
        <v>205</v>
      </c>
      <c r="B260" s="30">
        <f xml:space="preserve"> 21998</f>
        <v>21998</v>
      </c>
      <c r="C260" s="30">
        <v>1.1681866116143564</v>
      </c>
      <c r="D260" s="30">
        <f t="shared" si="5"/>
        <v>18830.895493315253</v>
      </c>
      <c r="E260" s="30">
        <f>_xll.StatMean(D256:D259)</f>
        <v>18324.376088726469</v>
      </c>
      <c r="F260" s="30">
        <f t="shared" si="7"/>
        <v>506.5194045887838</v>
      </c>
      <c r="G260" s="30">
        <f t="shared" si="9"/>
        <v>21406.290813036507</v>
      </c>
      <c r="H260" s="30">
        <f t="shared" si="8"/>
        <v>591.70918696349327</v>
      </c>
    </row>
    <row r="261" spans="1:8" ht="15" customHeight="1" x14ac:dyDescent="0.25">
      <c r="A261" s="27" t="s">
        <v>206</v>
      </c>
      <c r="B261" s="30">
        <f xml:space="preserve"> 23076</f>
        <v>23076</v>
      </c>
      <c r="C261" s="30">
        <v>1.229305276209552</v>
      </c>
      <c r="D261" s="30">
        <f t="shared" si="5"/>
        <v>18771.578099097314</v>
      </c>
      <c r="E261" s="30">
        <f>_xll.StatMean(D257:D260)</f>
        <v>18536.853955491039</v>
      </c>
      <c r="F261" s="30">
        <f t="shared" si="7"/>
        <v>234.7241436062759</v>
      </c>
      <c r="G261" s="30">
        <f t="shared" si="9"/>
        <v>22787.452371811036</v>
      </c>
      <c r="H261" s="30">
        <f t="shared" si="8"/>
        <v>288.54762818896415</v>
      </c>
    </row>
    <row r="262" spans="1:8" ht="15" customHeight="1" x14ac:dyDescent="0.25">
      <c r="A262" s="40" t="s">
        <v>207</v>
      </c>
      <c r="B262" s="41">
        <f xml:space="preserve"> 18848</f>
        <v>18848</v>
      </c>
      <c r="C262" s="41">
        <v>1.0076470532738075</v>
      </c>
      <c r="D262" s="41">
        <f t="shared" si="5"/>
        <v>18704.962157894031</v>
      </c>
      <c r="E262" s="41">
        <f>_xll.StatMean(D258:D261)</f>
        <v>18402.124864433677</v>
      </c>
      <c r="F262" s="41">
        <f t="shared" si="7"/>
        <v>302.83729346035398</v>
      </c>
      <c r="G262" s="41">
        <f t="shared" si="9"/>
        <v>18542.84689362326</v>
      </c>
      <c r="H262" s="41">
        <f t="shared" si="8"/>
        <v>305.15310637673974</v>
      </c>
    </row>
    <row r="263" spans="1:8" ht="15" customHeight="1" x14ac:dyDescent="0.25">
      <c r="A263" s="27" t="s">
        <v>208</v>
      </c>
      <c r="B263" s="30"/>
      <c r="C263" s="30">
        <v>1.0242421211021173</v>
      </c>
      <c r="D263" s="30"/>
      <c r="E263" s="30">
        <f>_xll.StatMean(D259:D262)</f>
        <v>18553.99759962835</v>
      </c>
      <c r="F263" s="30"/>
      <c r="G263" s="30">
        <f t="shared" si="9"/>
        <v>19003.785856366936</v>
      </c>
      <c r="H263" s="30"/>
    </row>
    <row r="264" spans="1:8" ht="15" customHeight="1" x14ac:dyDescent="0.25">
      <c r="A264" s="27" t="s">
        <v>213</v>
      </c>
      <c r="B264" s="30"/>
      <c r="C264" s="30">
        <v>0.94663970878958614</v>
      </c>
      <c r="D264" s="30"/>
      <c r="E264" s="30">
        <f>_xll.StatMean(D260:D262,E263)</f>
        <v>18715.358337483736</v>
      </c>
      <c r="F264" s="30"/>
      <c r="G264" s="30">
        <f t="shared" si="9"/>
        <v>17716.701366488356</v>
      </c>
      <c r="H264" s="30"/>
    </row>
    <row r="265" spans="1:8" ht="15" customHeight="1" x14ac:dyDescent="0.25">
      <c r="A265" s="27" t="s">
        <v>214</v>
      </c>
      <c r="B265" s="30"/>
      <c r="C265" s="30">
        <v>0.9050536648720291</v>
      </c>
      <c r="D265" s="30"/>
      <c r="E265" s="30">
        <f>_xll.StatMean(D261:D262,E263:E264)</f>
        <v>18686.474048525855</v>
      </c>
      <c r="F265" s="30"/>
      <c r="G265" s="30">
        <f t="shared" si="9"/>
        <v>16912.261821154389</v>
      </c>
      <c r="H265" s="30"/>
    </row>
    <row r="266" spans="1:8" ht="15" customHeight="1" x14ac:dyDescent="0.25">
      <c r="A266" s="27" t="s">
        <v>215</v>
      </c>
      <c r="B266" s="30"/>
      <c r="C266" s="30">
        <v>0.90657052885571165</v>
      </c>
      <c r="D266" s="30"/>
      <c r="E266" s="30">
        <f>_xll.StatMean(D262,E263:E265)</f>
        <v>18665.198035882993</v>
      </c>
      <c r="F266" s="30"/>
      <c r="G266" s="30">
        <f t="shared" si="9"/>
        <v>16921.318454587035</v>
      </c>
      <c r="H266" s="30"/>
    </row>
    <row r="267" spans="1:8" ht="15" customHeight="1" x14ac:dyDescent="0.25">
      <c r="A267" s="27" t="s">
        <v>216</v>
      </c>
      <c r="B267" s="30"/>
      <c r="C267" s="30">
        <v>0.90805598066695403</v>
      </c>
      <c r="D267" s="30"/>
      <c r="E267" s="30">
        <f>_xll.StatMean(E263:E266)</f>
        <v>18655.257005380234</v>
      </c>
      <c r="F267" s="30"/>
      <c r="G267" s="30">
        <f t="shared" si="9"/>
        <v>16940.017694614613</v>
      </c>
      <c r="H267" s="30"/>
    </row>
    <row r="268" spans="1:8" ht="15" customHeight="1" x14ac:dyDescent="0.25">
      <c r="A268" s="27" t="s">
        <v>217</v>
      </c>
      <c r="B268" s="30"/>
      <c r="C268" s="30">
        <v>0.88554664064815469</v>
      </c>
      <c r="D268" s="30"/>
      <c r="E268" s="30">
        <f>_xll.StatMean(E264:E267)</f>
        <v>18680.571856818206</v>
      </c>
      <c r="F268" s="30"/>
      <c r="G268" s="30">
        <f t="shared" si="9"/>
        <v>16542.517653191822</v>
      </c>
      <c r="H268" s="30"/>
    </row>
    <row r="269" spans="1:8" ht="15" customHeight="1" x14ac:dyDescent="0.25">
      <c r="A269" s="27" t="s">
        <v>218</v>
      </c>
      <c r="B269" s="30"/>
      <c r="C269" s="30">
        <v>0.91566790449517033</v>
      </c>
      <c r="D269" s="30"/>
      <c r="E269" s="30">
        <f>_xll.StatMean(E265:E268)</f>
        <v>18671.875236651824</v>
      </c>
      <c r="F269" s="30"/>
      <c r="G269" s="30">
        <f t="shared" si="9"/>
        <v>17097.236870940236</v>
      </c>
      <c r="H269" s="30"/>
    </row>
    <row r="270" spans="1:8" ht="15" customHeight="1" x14ac:dyDescent="0.25">
      <c r="A270" s="27" t="s">
        <v>219</v>
      </c>
      <c r="B270" s="30"/>
      <c r="C270" s="30">
        <v>1.0046707510607737</v>
      </c>
      <c r="D270" s="30"/>
      <c r="E270" s="30">
        <f>_xll.StatMean(E266:E269)</f>
        <v>18668.225533683311</v>
      </c>
      <c r="F270" s="30"/>
      <c r="G270" s="30">
        <f t="shared" si="9"/>
        <v>18755.420167897526</v>
      </c>
      <c r="H270" s="30"/>
    </row>
  </sheetData>
  <pageMargins left="0.7" right="0.7" top="0.75" bottom="0.75" header="0.3" footer="0.3"/>
  <pageSetup paperSize="9" orientation="portrait" r:id="rId1"/>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71"/>
  <sheetViews>
    <sheetView showGridLines="0" workbookViewId="0">
      <selection activeCell="G32" sqref="G32"/>
    </sheetView>
  </sheetViews>
  <sheetFormatPr defaultColWidth="12.7109375" defaultRowHeight="15" x14ac:dyDescent="0.25"/>
  <cols>
    <col min="1" max="1" width="34.7109375" bestFit="1" customWidth="1"/>
    <col min="2" max="10" width="12.7109375" customWidth="1"/>
  </cols>
  <sheetData>
    <row r="1" spans="1:3" s="16" customFormat="1" ht="18.75" x14ac:dyDescent="0.3">
      <c r="A1" s="22" t="s">
        <v>75</v>
      </c>
      <c r="B1" s="20"/>
    </row>
    <row r="2" spans="1:3" s="16" customFormat="1" ht="11.25" x14ac:dyDescent="0.2">
      <c r="A2" s="18" t="s">
        <v>76</v>
      </c>
      <c r="B2" s="20" t="s">
        <v>77</v>
      </c>
    </row>
    <row r="3" spans="1:3" s="16" customFormat="1" ht="11.25" x14ac:dyDescent="0.2">
      <c r="A3" s="18" t="s">
        <v>78</v>
      </c>
      <c r="B3" s="20" t="s">
        <v>79</v>
      </c>
    </row>
    <row r="4" spans="1:3" s="16" customFormat="1" ht="11.25" x14ac:dyDescent="0.2">
      <c r="A4" s="18" t="s">
        <v>80</v>
      </c>
      <c r="B4" s="23">
        <v>45067</v>
      </c>
    </row>
    <row r="5" spans="1:3" s="17" customFormat="1" ht="11.25" x14ac:dyDescent="0.2">
      <c r="A5" s="19" t="s">
        <v>81</v>
      </c>
      <c r="B5" s="21" t="s">
        <v>82</v>
      </c>
    </row>
    <row r="7" spans="1:3" ht="15" customHeight="1" x14ac:dyDescent="0.25">
      <c r="A7" s="28" t="s">
        <v>298</v>
      </c>
      <c r="B7" s="25"/>
    </row>
    <row r="8" spans="1:3" ht="15" customHeight="1" thickBot="1" x14ac:dyDescent="0.3">
      <c r="A8" s="39" t="s">
        <v>226</v>
      </c>
      <c r="B8" s="38"/>
    </row>
    <row r="9" spans="1:3" ht="15" customHeight="1" thickTop="1" x14ac:dyDescent="0.25">
      <c r="A9" s="27" t="s">
        <v>229</v>
      </c>
      <c r="B9" s="35">
        <v>7.1203991591525212E-2</v>
      </c>
    </row>
    <row r="10" spans="1:3" ht="15" customHeight="1" x14ac:dyDescent="0.25">
      <c r="A10" s="27" t="s">
        <v>230</v>
      </c>
      <c r="B10" s="35">
        <v>0</v>
      </c>
    </row>
    <row r="11" spans="1:3" ht="15" customHeight="1" x14ac:dyDescent="0.25"/>
    <row r="12" spans="1:3" ht="15" customHeight="1" x14ac:dyDescent="0.25">
      <c r="A12" s="28"/>
      <c r="B12" s="25"/>
      <c r="C12" s="25" t="s">
        <v>220</v>
      </c>
    </row>
    <row r="13" spans="1:3" ht="15" customHeight="1" thickBot="1" x14ac:dyDescent="0.3">
      <c r="A13" s="39" t="s">
        <v>299</v>
      </c>
      <c r="B13" s="38"/>
      <c r="C13" s="38" t="s">
        <v>225</v>
      </c>
    </row>
    <row r="14" spans="1:3" ht="15" customHeight="1" thickTop="1" x14ac:dyDescent="0.25">
      <c r="A14" s="27" t="s">
        <v>88</v>
      </c>
      <c r="B14" s="30">
        <f>_xll.StatMeanAbs(J148:J263)</f>
        <v>617.92283663919955</v>
      </c>
      <c r="C14" s="30">
        <f>_xll.StatMeanAbs(H148:H263)</f>
        <v>620.03173377885855</v>
      </c>
    </row>
    <row r="15" spans="1:3" ht="15" customHeight="1" x14ac:dyDescent="0.25">
      <c r="A15" s="27" t="s">
        <v>89</v>
      </c>
      <c r="B15" s="30">
        <f>SQRT(SUMSQ(J148:J263)/_xll.StatCount(J148:J263))</f>
        <v>762.30193432004717</v>
      </c>
      <c r="C15" s="30">
        <f>SQRT(SUMSQ(H148:H263)/_xll.StatCount(H148:H263))</f>
        <v>763.3209653631443</v>
      </c>
    </row>
    <row r="16" spans="1:3" ht="15" customHeight="1" x14ac:dyDescent="0.25">
      <c r="A16" s="27" t="s">
        <v>90</v>
      </c>
      <c r="B16" s="33">
        <f>_xll.StatPairMeanAbsQuotient(J148:J263,B148:B263)</f>
        <v>3.8890519037436018E-2</v>
      </c>
      <c r="C16" s="33">
        <f>_xll.StatPairMeanAbsQuotient(H148:H263,D148:D263)</f>
        <v>3.8890519037436025E-2</v>
      </c>
    </row>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spans="1:10" ht="15" customHeight="1" x14ac:dyDescent="0.25">
      <c r="A145" s="28"/>
      <c r="B145" s="25"/>
      <c r="C145" s="25" t="s">
        <v>222</v>
      </c>
      <c r="D145" s="25" t="s">
        <v>220</v>
      </c>
      <c r="E145" s="25" t="s">
        <v>220</v>
      </c>
      <c r="F145" s="25" t="s">
        <v>220</v>
      </c>
      <c r="G145" s="25" t="s">
        <v>220</v>
      </c>
      <c r="H145" s="25" t="s">
        <v>220</v>
      </c>
      <c r="I145" s="25" t="s">
        <v>222</v>
      </c>
      <c r="J145" s="25" t="s">
        <v>222</v>
      </c>
    </row>
    <row r="146" spans="1:10" ht="15" customHeight="1" thickBot="1" x14ac:dyDescent="0.3">
      <c r="A146" s="39" t="s">
        <v>86</v>
      </c>
      <c r="B146" s="38" t="s">
        <v>1</v>
      </c>
      <c r="C146" s="38" t="s">
        <v>223</v>
      </c>
      <c r="D146" s="38" t="s">
        <v>1</v>
      </c>
      <c r="E146" s="38" t="s">
        <v>232</v>
      </c>
      <c r="F146" s="38" t="s">
        <v>212</v>
      </c>
      <c r="G146" s="38" t="s">
        <v>77</v>
      </c>
      <c r="H146" s="38" t="s">
        <v>224</v>
      </c>
      <c r="I146" s="38" t="s">
        <v>77</v>
      </c>
      <c r="J146" s="38" t="s">
        <v>224</v>
      </c>
    </row>
    <row r="147" spans="1:10" ht="15" customHeight="1" thickTop="1" x14ac:dyDescent="0.25">
      <c r="A147" s="27" t="s">
        <v>91</v>
      </c>
      <c r="B147" s="30">
        <f xml:space="preserve"> 12326</f>
        <v>12326</v>
      </c>
      <c r="C147" s="30">
        <v>0.90657052885571165</v>
      </c>
      <c r="D147" s="30">
        <f>B147/C147</f>
        <v>13596.294615442752</v>
      </c>
      <c r="E147" s="30">
        <f>D147</f>
        <v>13596.294615442752</v>
      </c>
      <c r="F147" s="30">
        <f>(D263-D147)/117</f>
        <v>43.663825149156239</v>
      </c>
      <c r="G147" s="30"/>
      <c r="H147" s="30"/>
      <c r="I147" s="30"/>
      <c r="J147" s="30"/>
    </row>
    <row r="148" spans="1:10" ht="15" customHeight="1" x14ac:dyDescent="0.25">
      <c r="A148" s="27" t="s">
        <v>92</v>
      </c>
      <c r="B148" s="30">
        <f xml:space="preserve"> 13229</f>
        <v>13229</v>
      </c>
      <c r="C148" s="30">
        <v>0.90805598066695403</v>
      </c>
      <c r="D148" s="30">
        <f t="shared" ref="D148:D211" si="0">B148/C148</f>
        <v>14568.485073225871</v>
      </c>
      <c r="E148" s="30">
        <f>$B$9*D148+(1-$B$9)*(E147+F147)</f>
        <v>13706.073243134484</v>
      </c>
      <c r="F148" s="30">
        <f>$B$10*(E148-E147)+(1-$B$10)*F147</f>
        <v>43.663825149156239</v>
      </c>
      <c r="G148" s="30">
        <f>E147+F147</f>
        <v>13639.958440591909</v>
      </c>
      <c r="H148" s="30">
        <f>D148-G148</f>
        <v>928.52663263396244</v>
      </c>
      <c r="I148" s="30">
        <f t="shared" ref="I148:I179" si="1">G148*C148</f>
        <v>12385.845838028183</v>
      </c>
      <c r="J148" s="30">
        <f>B148-I148</f>
        <v>843.1541619718173</v>
      </c>
    </row>
    <row r="149" spans="1:10" ht="15" customHeight="1" x14ac:dyDescent="0.25">
      <c r="A149" s="27" t="s">
        <v>93</v>
      </c>
      <c r="B149" s="30">
        <f xml:space="preserve"> 13278</f>
        <v>13278</v>
      </c>
      <c r="C149" s="30">
        <v>0.88554664064815469</v>
      </c>
      <c r="D149" s="30">
        <f t="shared" si="0"/>
        <v>14994.128361529874</v>
      </c>
      <c r="E149" s="30">
        <f t="shared" ref="E149:E212" si="2">$B$9*D149+(1-$B$9)*(E148+F148)</f>
        <v>13838.342695464511</v>
      </c>
      <c r="F149" s="30">
        <f t="shared" ref="F149:F212" si="3">$B$10*(E149-E148)+(1-$B$10)*F148</f>
        <v>43.663825149156239</v>
      </c>
      <c r="G149" s="30">
        <f t="shared" ref="G149:G212" si="4">E148+F148</f>
        <v>13749.737068283641</v>
      </c>
      <c r="H149" s="30">
        <f t="shared" ref="H149:H212" si="5">D149-G149</f>
        <v>1244.3912932462335</v>
      </c>
      <c r="I149" s="30">
        <f t="shared" si="1"/>
        <v>12176.033470613986</v>
      </c>
      <c r="J149" s="30">
        <f t="shared" ref="J149:J212" si="6">B149-I149</f>
        <v>1101.9665293860144</v>
      </c>
    </row>
    <row r="150" spans="1:10" ht="15" customHeight="1" x14ac:dyDescent="0.25">
      <c r="A150" s="27" t="s">
        <v>94</v>
      </c>
      <c r="B150" s="30">
        <f xml:space="preserve"> 13592</f>
        <v>13592</v>
      </c>
      <c r="C150" s="30">
        <v>0.91566790449517033</v>
      </c>
      <c r="D150" s="30">
        <f t="shared" si="0"/>
        <v>14843.809565973152</v>
      </c>
      <c r="E150" s="30">
        <f t="shared" si="2"/>
        <v>13950.490736568148</v>
      </c>
      <c r="F150" s="30">
        <f t="shared" si="3"/>
        <v>43.663825149156239</v>
      </c>
      <c r="G150" s="30">
        <f t="shared" si="4"/>
        <v>13882.006520613668</v>
      </c>
      <c r="H150" s="30">
        <f t="shared" si="5"/>
        <v>961.8030453594838</v>
      </c>
      <c r="I150" s="30">
        <f t="shared" si="1"/>
        <v>12711.307820918608</v>
      </c>
      <c r="J150" s="30">
        <f t="shared" si="6"/>
        <v>880.69217908139217</v>
      </c>
    </row>
    <row r="151" spans="1:10" ht="15" customHeight="1" x14ac:dyDescent="0.25">
      <c r="A151" s="27" t="s">
        <v>95</v>
      </c>
      <c r="B151" s="30">
        <f xml:space="preserve"> 14711</f>
        <v>14711</v>
      </c>
      <c r="C151" s="30">
        <v>1.0046707510607737</v>
      </c>
      <c r="D151" s="30">
        <f t="shared" si="0"/>
        <v>14642.608023043873</v>
      </c>
      <c r="E151" s="30">
        <f t="shared" si="2"/>
        <v>14040.327036525097</v>
      </c>
      <c r="F151" s="30">
        <f t="shared" si="3"/>
        <v>43.663825149156239</v>
      </c>
      <c r="G151" s="30">
        <f t="shared" si="4"/>
        <v>13994.154561717305</v>
      </c>
      <c r="H151" s="30">
        <f t="shared" si="5"/>
        <v>648.45346132656778</v>
      </c>
      <c r="I151" s="30">
        <f t="shared" si="1"/>
        <v>14059.517773981079</v>
      </c>
      <c r="J151" s="30">
        <f t="shared" si="6"/>
        <v>651.48222601892121</v>
      </c>
    </row>
    <row r="152" spans="1:10" ht="15" customHeight="1" x14ac:dyDescent="0.25">
      <c r="A152" s="27" t="s">
        <v>96</v>
      </c>
      <c r="B152" s="30">
        <f xml:space="preserve"> 16204</f>
        <v>16204</v>
      </c>
      <c r="C152" s="30">
        <v>1.0984136010088161</v>
      </c>
      <c r="D152" s="30">
        <f t="shared" si="0"/>
        <v>14752.184409513646</v>
      </c>
      <c r="E152" s="30">
        <f t="shared" si="2"/>
        <v>14131.568909436121</v>
      </c>
      <c r="F152" s="30">
        <f t="shared" si="3"/>
        <v>43.663825149156239</v>
      </c>
      <c r="G152" s="30">
        <f t="shared" si="4"/>
        <v>14083.990861674254</v>
      </c>
      <c r="H152" s="30">
        <f t="shared" si="5"/>
        <v>668.19354783939161</v>
      </c>
      <c r="I152" s="30">
        <f t="shared" si="1"/>
        <v>15470.047118946877</v>
      </c>
      <c r="J152" s="30">
        <f t="shared" si="6"/>
        <v>733.95288105312284</v>
      </c>
    </row>
    <row r="153" spans="1:10" ht="15" customHeight="1" x14ac:dyDescent="0.25">
      <c r="A153" s="27" t="s">
        <v>97</v>
      </c>
      <c r="B153" s="30">
        <f xml:space="preserve"> 17507</f>
        <v>17507</v>
      </c>
      <c r="C153" s="30">
        <v>1.1681866116143564</v>
      </c>
      <c r="D153" s="30">
        <f t="shared" si="0"/>
        <v>14986.475470564148</v>
      </c>
      <c r="E153" s="30">
        <f t="shared" si="2"/>
        <v>14232.996455536602</v>
      </c>
      <c r="F153" s="30">
        <f t="shared" si="3"/>
        <v>43.663825149156239</v>
      </c>
      <c r="G153" s="30">
        <f t="shared" si="4"/>
        <v>14175.232734585277</v>
      </c>
      <c r="H153" s="30">
        <f t="shared" si="5"/>
        <v>811.24273597887077</v>
      </c>
      <c r="I153" s="30">
        <f t="shared" si="1"/>
        <v>16559.317097060084</v>
      </c>
      <c r="J153" s="30">
        <f t="shared" si="6"/>
        <v>947.68290293991595</v>
      </c>
    </row>
    <row r="154" spans="1:10" ht="15" customHeight="1" x14ac:dyDescent="0.25">
      <c r="A154" s="27" t="s">
        <v>98</v>
      </c>
      <c r="B154" s="30">
        <f xml:space="preserve"> 18537</f>
        <v>18537</v>
      </c>
      <c r="C154" s="30">
        <v>1.229305276209552</v>
      </c>
      <c r="D154" s="30">
        <f t="shared" si="0"/>
        <v>15079.248709610283</v>
      </c>
      <c r="E154" s="30">
        <f t="shared" si="2"/>
        <v>14333.807780430356</v>
      </c>
      <c r="F154" s="30">
        <f t="shared" si="3"/>
        <v>43.663825149156239</v>
      </c>
      <c r="G154" s="30">
        <f t="shared" si="4"/>
        <v>14276.660280685759</v>
      </c>
      <c r="H154" s="30">
        <f t="shared" si="5"/>
        <v>802.58842892452412</v>
      </c>
      <c r="I154" s="30">
        <f t="shared" si="1"/>
        <v>17550.373809698347</v>
      </c>
      <c r="J154" s="30">
        <f t="shared" si="6"/>
        <v>986.62619030165297</v>
      </c>
    </row>
    <row r="155" spans="1:10" ht="15" customHeight="1" x14ac:dyDescent="0.25">
      <c r="A155" s="27" t="s">
        <v>99</v>
      </c>
      <c r="B155" s="30">
        <f xml:space="preserve"> 13933</f>
        <v>13933</v>
      </c>
      <c r="C155" s="30">
        <v>1.0076470532738075</v>
      </c>
      <c r="D155" s="30">
        <f t="shared" si="0"/>
        <v>13827.262189406702</v>
      </c>
      <c r="E155" s="30">
        <f t="shared" si="2"/>
        <v>14338.294498936764</v>
      </c>
      <c r="F155" s="30">
        <f t="shared" si="3"/>
        <v>43.663825149156239</v>
      </c>
      <c r="G155" s="30">
        <f t="shared" si="4"/>
        <v>14377.471605579512</v>
      </c>
      <c r="H155" s="30">
        <f t="shared" si="5"/>
        <v>-550.20941617281096</v>
      </c>
      <c r="I155" s="30">
        <f t="shared" si="1"/>
        <v>14487.416896890034</v>
      </c>
      <c r="J155" s="30">
        <f t="shared" si="6"/>
        <v>-554.41689689003397</v>
      </c>
    </row>
    <row r="156" spans="1:10" ht="15" customHeight="1" x14ac:dyDescent="0.25">
      <c r="A156" s="27" t="s">
        <v>100</v>
      </c>
      <c r="B156" s="30">
        <f xml:space="preserve"> 16680</f>
        <v>16680</v>
      </c>
      <c r="C156" s="30">
        <v>1.0242421211021173</v>
      </c>
      <c r="D156" s="30">
        <f t="shared" si="0"/>
        <v>16285.211920450787</v>
      </c>
      <c r="E156" s="30">
        <f t="shared" si="2"/>
        <v>14517.477577158024</v>
      </c>
      <c r="F156" s="30">
        <f t="shared" si="3"/>
        <v>43.663825149156239</v>
      </c>
      <c r="G156" s="30">
        <f t="shared" si="4"/>
        <v>14381.958324085921</v>
      </c>
      <c r="H156" s="30">
        <f t="shared" si="5"/>
        <v>1903.2535963648661</v>
      </c>
      <c r="I156" s="30">
        <f t="shared" si="1"/>
        <v>14730.607499464017</v>
      </c>
      <c r="J156" s="30">
        <f t="shared" si="6"/>
        <v>1949.3925005359833</v>
      </c>
    </row>
    <row r="157" spans="1:10" ht="15" customHeight="1" x14ac:dyDescent="0.25">
      <c r="A157" s="27" t="s">
        <v>101</v>
      </c>
      <c r="B157" s="30">
        <f xml:space="preserve"> 14793</f>
        <v>14793</v>
      </c>
      <c r="C157" s="30">
        <v>0.94663970878958614</v>
      </c>
      <c r="D157" s="30">
        <f t="shared" si="0"/>
        <v>15626.853450839242</v>
      </c>
      <c r="E157" s="30">
        <f t="shared" si="2"/>
        <v>14637.024354049845</v>
      </c>
      <c r="F157" s="30">
        <f t="shared" si="3"/>
        <v>43.663825149156239</v>
      </c>
      <c r="G157" s="30">
        <f t="shared" si="4"/>
        <v>14561.141402307181</v>
      </c>
      <c r="H157" s="30">
        <f t="shared" si="5"/>
        <v>1065.7120485320611</v>
      </c>
      <c r="I157" s="30">
        <f t="shared" si="1"/>
        <v>13784.154656724057</v>
      </c>
      <c r="J157" s="30">
        <f t="shared" si="6"/>
        <v>1008.8453432759434</v>
      </c>
    </row>
    <row r="158" spans="1:10" ht="15" customHeight="1" x14ac:dyDescent="0.25">
      <c r="A158" s="27" t="s">
        <v>102</v>
      </c>
      <c r="B158" s="30">
        <f xml:space="preserve"> 12742</f>
        <v>12742</v>
      </c>
      <c r="C158" s="30">
        <v>0.9050536648720291</v>
      </c>
      <c r="D158" s="30">
        <f t="shared" si="0"/>
        <v>14078.723168091548</v>
      </c>
      <c r="E158" s="30">
        <f t="shared" si="2"/>
        <v>14637.825867609714</v>
      </c>
      <c r="F158" s="30">
        <f t="shared" si="3"/>
        <v>43.663825149156239</v>
      </c>
      <c r="G158" s="30">
        <f t="shared" si="4"/>
        <v>14680.688179199002</v>
      </c>
      <c r="H158" s="30">
        <f t="shared" si="5"/>
        <v>-601.96501110745339</v>
      </c>
      <c r="I158" s="30">
        <f t="shared" si="1"/>
        <v>13286.810639427533</v>
      </c>
      <c r="J158" s="30">
        <f t="shared" si="6"/>
        <v>-544.81063942753281</v>
      </c>
    </row>
    <row r="159" spans="1:10" ht="15" customHeight="1" x14ac:dyDescent="0.25">
      <c r="A159" s="27" t="s">
        <v>103</v>
      </c>
      <c r="B159" s="30">
        <f xml:space="preserve"> 11850</f>
        <v>11850</v>
      </c>
      <c r="C159" s="30">
        <v>0.90657052885571165</v>
      </c>
      <c r="D159" s="30">
        <f t="shared" si="0"/>
        <v>13071.238941505484</v>
      </c>
      <c r="E159" s="30">
        <f t="shared" si="2"/>
        <v>14566.833411806378</v>
      </c>
      <c r="F159" s="30">
        <f t="shared" si="3"/>
        <v>43.663825149156239</v>
      </c>
      <c r="G159" s="30">
        <f t="shared" si="4"/>
        <v>14681.489692758871</v>
      </c>
      <c r="H159" s="30">
        <f t="shared" si="5"/>
        <v>-1610.2507512533866</v>
      </c>
      <c r="I159" s="30">
        <f t="shared" si="1"/>
        <v>13309.805875154088</v>
      </c>
      <c r="J159" s="30">
        <f t="shared" si="6"/>
        <v>-1459.8058751540884</v>
      </c>
    </row>
    <row r="160" spans="1:10" ht="15" customHeight="1" x14ac:dyDescent="0.25">
      <c r="A160" s="27" t="s">
        <v>104</v>
      </c>
      <c r="B160" s="30">
        <f xml:space="preserve"> 13061</f>
        <v>13061</v>
      </c>
      <c r="C160" s="30">
        <v>0.90805598066695403</v>
      </c>
      <c r="D160" s="30">
        <f t="shared" si="0"/>
        <v>14383.474453201534</v>
      </c>
      <c r="E160" s="30">
        <f t="shared" si="2"/>
        <v>14594.33230857003</v>
      </c>
      <c r="F160" s="30">
        <f t="shared" si="3"/>
        <v>43.663825149156239</v>
      </c>
      <c r="G160" s="30">
        <f t="shared" si="4"/>
        <v>14610.497236955534</v>
      </c>
      <c r="H160" s="30">
        <f t="shared" si="5"/>
        <v>-227.02278375400056</v>
      </c>
      <c r="I160" s="30">
        <f t="shared" si="1"/>
        <v>13267.14939653548</v>
      </c>
      <c r="J160" s="30">
        <f t="shared" si="6"/>
        <v>-206.14939653548026</v>
      </c>
    </row>
    <row r="161" spans="1:10" ht="15" customHeight="1" x14ac:dyDescent="0.25">
      <c r="A161" s="27" t="s">
        <v>105</v>
      </c>
      <c r="B161" s="30">
        <f xml:space="preserve"> 13179</f>
        <v>13179</v>
      </c>
      <c r="C161" s="30">
        <v>0.88554664064815469</v>
      </c>
      <c r="D161" s="30">
        <f t="shared" si="0"/>
        <v>14882.333007727233</v>
      </c>
      <c r="E161" s="30">
        <f t="shared" si="2"/>
        <v>14655.393894441555</v>
      </c>
      <c r="F161" s="30">
        <f t="shared" si="3"/>
        <v>43.663825149156239</v>
      </c>
      <c r="G161" s="30">
        <f t="shared" si="4"/>
        <v>14637.996133719187</v>
      </c>
      <c r="H161" s="30">
        <f t="shared" si="5"/>
        <v>244.33687400804592</v>
      </c>
      <c r="I161" s="30">
        <f t="shared" si="1"/>
        <v>12962.628302035702</v>
      </c>
      <c r="J161" s="30">
        <f t="shared" si="6"/>
        <v>216.37169796429771</v>
      </c>
    </row>
    <row r="162" spans="1:10" ht="15" customHeight="1" x14ac:dyDescent="0.25">
      <c r="A162" s="27" t="s">
        <v>106</v>
      </c>
      <c r="B162" s="30">
        <f xml:space="preserve"> 14340</f>
        <v>14340</v>
      </c>
      <c r="C162" s="30">
        <v>0.91566790449517033</v>
      </c>
      <c r="D162" s="30">
        <f t="shared" si="0"/>
        <v>15660.699615660315</v>
      </c>
      <c r="E162" s="30">
        <f t="shared" si="2"/>
        <v>14767.530461072509</v>
      </c>
      <c r="F162" s="30">
        <f t="shared" si="3"/>
        <v>43.663825149156239</v>
      </c>
      <c r="G162" s="30">
        <f t="shared" si="4"/>
        <v>14699.057719590712</v>
      </c>
      <c r="H162" s="30">
        <f t="shared" si="5"/>
        <v>961.64189606960281</v>
      </c>
      <c r="I162" s="30">
        <f t="shared" si="1"/>
        <v>13459.455380151185</v>
      </c>
      <c r="J162" s="30">
        <f t="shared" si="6"/>
        <v>880.54461984881527</v>
      </c>
    </row>
    <row r="163" spans="1:10" ht="15" customHeight="1" x14ac:dyDescent="0.25">
      <c r="A163" s="27" t="s">
        <v>107</v>
      </c>
      <c r="B163" s="30">
        <f xml:space="preserve"> 15465</f>
        <v>15465</v>
      </c>
      <c r="C163" s="30">
        <v>1.0046707510607737</v>
      </c>
      <c r="D163" s="30">
        <f t="shared" si="0"/>
        <v>15393.102649471382</v>
      </c>
      <c r="E163" s="30">
        <f t="shared" si="2"/>
        <v>14852.628484425535</v>
      </c>
      <c r="F163" s="30">
        <f t="shared" si="3"/>
        <v>43.663825149156239</v>
      </c>
      <c r="G163" s="30">
        <f t="shared" si="4"/>
        <v>14811.194286221666</v>
      </c>
      <c r="H163" s="30">
        <f t="shared" si="5"/>
        <v>581.90836324971679</v>
      </c>
      <c r="I163" s="30">
        <f t="shared" si="1"/>
        <v>14880.373687645362</v>
      </c>
      <c r="J163" s="30">
        <f t="shared" si="6"/>
        <v>584.62631235463778</v>
      </c>
    </row>
    <row r="164" spans="1:10" ht="15" customHeight="1" x14ac:dyDescent="0.25">
      <c r="A164" s="27" t="s">
        <v>108</v>
      </c>
      <c r="B164" s="30">
        <f xml:space="preserve"> 16643</f>
        <v>16643</v>
      </c>
      <c r="C164" s="30">
        <v>1.0984136010088161</v>
      </c>
      <c r="D164" s="30">
        <f t="shared" si="0"/>
        <v>15151.851711153766</v>
      </c>
      <c r="E164" s="30">
        <f t="shared" si="2"/>
        <v>14914.489159055862</v>
      </c>
      <c r="F164" s="30">
        <f t="shared" si="3"/>
        <v>43.663825149156239</v>
      </c>
      <c r="G164" s="30">
        <f t="shared" si="4"/>
        <v>14896.292309574692</v>
      </c>
      <c r="H164" s="30">
        <f t="shared" si="5"/>
        <v>255.55940157907389</v>
      </c>
      <c r="I164" s="30">
        <f t="shared" si="1"/>
        <v>16362.290077439871</v>
      </c>
      <c r="J164" s="30">
        <f t="shared" si="6"/>
        <v>280.70992256012869</v>
      </c>
    </row>
    <row r="165" spans="1:10" ht="15" customHeight="1" x14ac:dyDescent="0.25">
      <c r="A165" s="27" t="s">
        <v>109</v>
      </c>
      <c r="B165" s="30">
        <f xml:space="preserve"> 17772</f>
        <v>17772</v>
      </c>
      <c r="C165" s="30">
        <v>1.1681866116143564</v>
      </c>
      <c r="D165" s="30">
        <f t="shared" si="0"/>
        <v>15213.322788762554</v>
      </c>
      <c r="E165" s="30">
        <f t="shared" si="2"/>
        <v>14976.322092823144</v>
      </c>
      <c r="F165" s="30">
        <f t="shared" si="3"/>
        <v>43.663825149156239</v>
      </c>
      <c r="G165" s="30">
        <f t="shared" si="4"/>
        <v>14958.152984205019</v>
      </c>
      <c r="H165" s="30">
        <f t="shared" si="5"/>
        <v>255.16980455753583</v>
      </c>
      <c r="I165" s="30">
        <f t="shared" si="1"/>
        <v>17473.914050627634</v>
      </c>
      <c r="J165" s="30">
        <f t="shared" si="6"/>
        <v>298.08594937236558</v>
      </c>
    </row>
    <row r="166" spans="1:10" ht="15" customHeight="1" x14ac:dyDescent="0.25">
      <c r="A166" s="27" t="s">
        <v>110</v>
      </c>
      <c r="B166" s="30">
        <f xml:space="preserve"> 16582</f>
        <v>16582</v>
      </c>
      <c r="C166" s="30">
        <v>1.229305276209552</v>
      </c>
      <c r="D166" s="30">
        <f t="shared" si="0"/>
        <v>13488.919571816245</v>
      </c>
      <c r="E166" s="30">
        <f t="shared" si="2"/>
        <v>14910.967882734538</v>
      </c>
      <c r="F166" s="30">
        <f t="shared" si="3"/>
        <v>43.663825149156239</v>
      </c>
      <c r="G166" s="30">
        <f t="shared" si="4"/>
        <v>15019.985917972301</v>
      </c>
      <c r="H166" s="30">
        <f t="shared" si="5"/>
        <v>-1531.0663461560562</v>
      </c>
      <c r="I166" s="30">
        <f t="shared" si="1"/>
        <v>18464.147937556521</v>
      </c>
      <c r="J166" s="30">
        <f t="shared" si="6"/>
        <v>-1882.1479375565214</v>
      </c>
    </row>
    <row r="167" spans="1:10" ht="15" customHeight="1" x14ac:dyDescent="0.25">
      <c r="A167" s="27" t="s">
        <v>111</v>
      </c>
      <c r="B167" s="30">
        <f xml:space="preserve"> 15786</f>
        <v>15786</v>
      </c>
      <c r="C167" s="30">
        <v>1.0076470532738075</v>
      </c>
      <c r="D167" s="30">
        <f t="shared" si="0"/>
        <v>15666.199736020541</v>
      </c>
      <c r="E167" s="30">
        <f t="shared" si="2"/>
        <v>15005.29819177595</v>
      </c>
      <c r="F167" s="30">
        <f t="shared" si="3"/>
        <v>43.663825149156239</v>
      </c>
      <c r="G167" s="30">
        <f t="shared" si="4"/>
        <v>14954.631707883695</v>
      </c>
      <c r="H167" s="30">
        <f t="shared" si="5"/>
        <v>711.5680281368459</v>
      </c>
      <c r="I167" s="30">
        <f t="shared" si="1"/>
        <v>15068.990573244053</v>
      </c>
      <c r="J167" s="30">
        <f t="shared" si="6"/>
        <v>717.00942675594706</v>
      </c>
    </row>
    <row r="168" spans="1:10" ht="15" customHeight="1" x14ac:dyDescent="0.25">
      <c r="A168" s="27" t="s">
        <v>112</v>
      </c>
      <c r="B168" s="30">
        <f xml:space="preserve"> 15861</f>
        <v>15861</v>
      </c>
      <c r="C168" s="30">
        <v>1.0242421211021173</v>
      </c>
      <c r="D168" s="30">
        <f t="shared" si="0"/>
        <v>15485.596299176856</v>
      </c>
      <c r="E168" s="30">
        <f t="shared" si="2"/>
        <v>15080.052120687131</v>
      </c>
      <c r="F168" s="30">
        <f t="shared" si="3"/>
        <v>43.663825149156239</v>
      </c>
      <c r="G168" s="30">
        <f t="shared" si="4"/>
        <v>15048.962016925107</v>
      </c>
      <c r="H168" s="30">
        <f t="shared" si="5"/>
        <v>436.63428225174903</v>
      </c>
      <c r="I168" s="30">
        <f t="shared" si="1"/>
        <v>15413.780776600568</v>
      </c>
      <c r="J168" s="30">
        <f t="shared" si="6"/>
        <v>447.21922339943194</v>
      </c>
    </row>
    <row r="169" spans="1:10" ht="15" customHeight="1" x14ac:dyDescent="0.25">
      <c r="A169" s="27" t="s">
        <v>113</v>
      </c>
      <c r="B169" s="30">
        <f xml:space="preserve"> 15179</f>
        <v>15179</v>
      </c>
      <c r="C169" s="30">
        <v>0.94663970878958614</v>
      </c>
      <c r="D169" s="30">
        <f t="shared" si="0"/>
        <v>16034.611541289047</v>
      </c>
      <c r="E169" s="30">
        <f t="shared" si="2"/>
        <v>15188.575348155664</v>
      </c>
      <c r="F169" s="30">
        <f t="shared" si="3"/>
        <v>43.663825149156239</v>
      </c>
      <c r="G169" s="30">
        <f t="shared" si="4"/>
        <v>15123.715945836288</v>
      </c>
      <c r="H169" s="30">
        <f t="shared" si="5"/>
        <v>910.89559545275915</v>
      </c>
      <c r="I169" s="30">
        <f t="shared" si="1"/>
        <v>14316.710058782885</v>
      </c>
      <c r="J169" s="30">
        <f t="shared" si="6"/>
        <v>862.28994121711548</v>
      </c>
    </row>
    <row r="170" spans="1:10" ht="15" customHeight="1" x14ac:dyDescent="0.25">
      <c r="A170" s="27" t="s">
        <v>114</v>
      </c>
      <c r="B170" s="30">
        <f xml:space="preserve"> 13520</f>
        <v>13520</v>
      </c>
      <c r="C170" s="30">
        <v>0.9050536648720291</v>
      </c>
      <c r="D170" s="30">
        <f t="shared" si="0"/>
        <v>14938.340702605379</v>
      </c>
      <c r="E170" s="30">
        <f t="shared" si="2"/>
        <v>15211.312429068375</v>
      </c>
      <c r="F170" s="30">
        <f t="shared" si="3"/>
        <v>43.663825149156239</v>
      </c>
      <c r="G170" s="30">
        <f t="shared" si="4"/>
        <v>15232.239173304821</v>
      </c>
      <c r="H170" s="30">
        <f t="shared" si="5"/>
        <v>-293.89847069944153</v>
      </c>
      <c r="I170" s="30">
        <f t="shared" si="1"/>
        <v>13785.993888006815</v>
      </c>
      <c r="J170" s="30">
        <f t="shared" si="6"/>
        <v>-265.99388800681481</v>
      </c>
    </row>
    <row r="171" spans="1:10" ht="15" customHeight="1" x14ac:dyDescent="0.25">
      <c r="A171" s="27" t="s">
        <v>115</v>
      </c>
      <c r="B171" s="30">
        <f xml:space="preserve"> 12332</f>
        <v>12332</v>
      </c>
      <c r="C171" s="30">
        <v>0.90657052885571165</v>
      </c>
      <c r="D171" s="30">
        <f t="shared" si="0"/>
        <v>13602.912964273894</v>
      </c>
      <c r="E171" s="30">
        <f t="shared" si="2"/>
        <v>15137.342753611718</v>
      </c>
      <c r="F171" s="30">
        <f t="shared" si="3"/>
        <v>43.663825149156239</v>
      </c>
      <c r="G171" s="30">
        <f t="shared" si="4"/>
        <v>15254.976254217532</v>
      </c>
      <c r="H171" s="30">
        <f t="shared" si="5"/>
        <v>-1652.0632899436387</v>
      </c>
      <c r="I171" s="30">
        <f t="shared" si="1"/>
        <v>13829.711890467312</v>
      </c>
      <c r="J171" s="30">
        <f t="shared" si="6"/>
        <v>-1497.7118904673116</v>
      </c>
    </row>
    <row r="172" spans="1:10" ht="15" customHeight="1" x14ac:dyDescent="0.25">
      <c r="A172" s="27" t="s">
        <v>116</v>
      </c>
      <c r="B172" s="30">
        <f xml:space="preserve"> 12433</f>
        <v>12433</v>
      </c>
      <c r="C172" s="30">
        <v>0.90805598066695403</v>
      </c>
      <c r="D172" s="30">
        <f t="shared" si="0"/>
        <v>13691.887135491515</v>
      </c>
      <c r="E172" s="30">
        <f t="shared" si="2"/>
        <v>15074.975330443547</v>
      </c>
      <c r="F172" s="30">
        <f t="shared" si="3"/>
        <v>43.663825149156239</v>
      </c>
      <c r="G172" s="30">
        <f t="shared" si="4"/>
        <v>15181.006578760875</v>
      </c>
      <c r="H172" s="30">
        <f t="shared" si="5"/>
        <v>-1489.1194432693592</v>
      </c>
      <c r="I172" s="30">
        <f t="shared" si="1"/>
        <v>13785.203816388186</v>
      </c>
      <c r="J172" s="30">
        <f t="shared" si="6"/>
        <v>-1352.2038163881862</v>
      </c>
    </row>
    <row r="173" spans="1:10" ht="15" customHeight="1" x14ac:dyDescent="0.25">
      <c r="A173" s="27" t="s">
        <v>117</v>
      </c>
      <c r="B173" s="30">
        <f xml:space="preserve"> 12867</f>
        <v>12867</v>
      </c>
      <c r="C173" s="30">
        <v>0.88554664064815469</v>
      </c>
      <c r="D173" s="30">
        <f t="shared" si="0"/>
        <v>14530.008256349216</v>
      </c>
      <c r="E173" s="30">
        <f t="shared" si="2"/>
        <v>15076.726285992458</v>
      </c>
      <c r="F173" s="30">
        <f t="shared" si="3"/>
        <v>43.663825149156239</v>
      </c>
      <c r="G173" s="30">
        <f t="shared" si="4"/>
        <v>15118.639155592704</v>
      </c>
      <c r="H173" s="30">
        <f t="shared" si="5"/>
        <v>-588.63089924348787</v>
      </c>
      <c r="I173" s="30">
        <f t="shared" si="1"/>
        <v>13388.260115406772</v>
      </c>
      <c r="J173" s="30">
        <f t="shared" si="6"/>
        <v>-521.26011540677246</v>
      </c>
    </row>
    <row r="174" spans="1:10" ht="15" customHeight="1" x14ac:dyDescent="0.25">
      <c r="A174" s="27" t="s">
        <v>118</v>
      </c>
      <c r="B174" s="30">
        <f xml:space="preserve"> 13505</f>
        <v>13505</v>
      </c>
      <c r="C174" s="30">
        <v>0.91566790449517033</v>
      </c>
      <c r="D174" s="30">
        <f t="shared" si="0"/>
        <v>14748.796953242159</v>
      </c>
      <c r="E174" s="30">
        <f t="shared" si="2"/>
        <v>15093.931195051073</v>
      </c>
      <c r="F174" s="30">
        <f t="shared" si="3"/>
        <v>43.663825149156239</v>
      </c>
      <c r="G174" s="30">
        <f t="shared" si="4"/>
        <v>15120.390111141614</v>
      </c>
      <c r="H174" s="30">
        <f t="shared" si="5"/>
        <v>-371.59315789945504</v>
      </c>
      <c r="I174" s="30">
        <f t="shared" si="1"/>
        <v>13845.255928218538</v>
      </c>
      <c r="J174" s="30">
        <f t="shared" si="6"/>
        <v>-340.25592821853752</v>
      </c>
    </row>
    <row r="175" spans="1:10" ht="15" customHeight="1" x14ac:dyDescent="0.25">
      <c r="A175" s="27" t="s">
        <v>119</v>
      </c>
      <c r="B175" s="30">
        <f xml:space="preserve"> 16212</f>
        <v>16212</v>
      </c>
      <c r="C175" s="30">
        <v>1.0046707510607737</v>
      </c>
      <c r="D175" s="30">
        <f t="shared" si="0"/>
        <v>16136.629819154869</v>
      </c>
      <c r="E175" s="30">
        <f t="shared" si="2"/>
        <v>15208.730285624635</v>
      </c>
      <c r="F175" s="30">
        <f t="shared" si="3"/>
        <v>43.663825149156239</v>
      </c>
      <c r="G175" s="30">
        <f t="shared" si="4"/>
        <v>15137.59502020023</v>
      </c>
      <c r="H175" s="30">
        <f t="shared" si="5"/>
        <v>999.03479895463897</v>
      </c>
      <c r="I175" s="30">
        <f t="shared" si="1"/>
        <v>15208.298958198393</v>
      </c>
      <c r="J175" s="30">
        <f t="shared" si="6"/>
        <v>1003.7010418016071</v>
      </c>
    </row>
    <row r="176" spans="1:10" ht="15" customHeight="1" x14ac:dyDescent="0.25">
      <c r="A176" s="27" t="s">
        <v>120</v>
      </c>
      <c r="B176" s="30">
        <f xml:space="preserve"> 17088</f>
        <v>17088</v>
      </c>
      <c r="C176" s="30">
        <v>1.0984136010088161</v>
      </c>
      <c r="D176" s="30">
        <f t="shared" si="0"/>
        <v>15556.981436050924</v>
      </c>
      <c r="E176" s="30">
        <f t="shared" si="2"/>
        <v>15274.08194412171</v>
      </c>
      <c r="F176" s="30">
        <f t="shared" si="3"/>
        <v>43.663825149156239</v>
      </c>
      <c r="G176" s="30">
        <f t="shared" si="4"/>
        <v>15252.394110773792</v>
      </c>
      <c r="H176" s="30">
        <f t="shared" si="5"/>
        <v>304.58732527713255</v>
      </c>
      <c r="I176" s="30">
        <f t="shared" si="1"/>
        <v>16753.437139220699</v>
      </c>
      <c r="J176" s="30">
        <f t="shared" si="6"/>
        <v>334.56286077930054</v>
      </c>
    </row>
    <row r="177" spans="1:10" ht="15" customHeight="1" x14ac:dyDescent="0.25">
      <c r="A177" s="27" t="s">
        <v>121</v>
      </c>
      <c r="B177" s="30">
        <f xml:space="preserve"> 17147</f>
        <v>17147</v>
      </c>
      <c r="C177" s="30">
        <v>1.1681866116143564</v>
      </c>
      <c r="D177" s="30">
        <f t="shared" si="0"/>
        <v>14678.305528860652</v>
      </c>
      <c r="E177" s="30">
        <f t="shared" si="2"/>
        <v>15272.215071769415</v>
      </c>
      <c r="F177" s="30">
        <f t="shared" si="3"/>
        <v>43.663825149156239</v>
      </c>
      <c r="G177" s="30">
        <f t="shared" si="4"/>
        <v>15317.745769270867</v>
      </c>
      <c r="H177" s="30">
        <f t="shared" si="5"/>
        <v>-639.44024041021476</v>
      </c>
      <c r="I177" s="30">
        <f t="shared" si="1"/>
        <v>17893.985527774679</v>
      </c>
      <c r="J177" s="30">
        <f t="shared" si="6"/>
        <v>-746.98552777467921</v>
      </c>
    </row>
    <row r="178" spans="1:10" ht="15" customHeight="1" x14ac:dyDescent="0.25">
      <c r="A178" s="27" t="s">
        <v>122</v>
      </c>
      <c r="B178" s="30">
        <f xml:space="preserve"> 19881</f>
        <v>19881</v>
      </c>
      <c r="C178" s="30">
        <v>1.229305276209552</v>
      </c>
      <c r="D178" s="30">
        <f t="shared" si="0"/>
        <v>16172.549150119332</v>
      </c>
      <c r="E178" s="30">
        <f t="shared" si="2"/>
        <v>15376.877238424187</v>
      </c>
      <c r="F178" s="30">
        <f t="shared" si="3"/>
        <v>43.663825149156239</v>
      </c>
      <c r="G178" s="30">
        <f t="shared" si="4"/>
        <v>15315.878896918572</v>
      </c>
      <c r="H178" s="30">
        <f t="shared" si="5"/>
        <v>856.67025320076027</v>
      </c>
      <c r="I178" s="30">
        <f t="shared" si="1"/>
        <v>18827.890737768532</v>
      </c>
      <c r="J178" s="30">
        <f t="shared" si="6"/>
        <v>1053.1092622314682</v>
      </c>
    </row>
    <row r="179" spans="1:10" ht="15" customHeight="1" x14ac:dyDescent="0.25">
      <c r="A179" s="27" t="s">
        <v>123</v>
      </c>
      <c r="B179" s="30">
        <f xml:space="preserve"> 14570</f>
        <v>14570</v>
      </c>
      <c r="C179" s="30">
        <v>1.0076470532738075</v>
      </c>
      <c r="D179" s="30">
        <f t="shared" si="0"/>
        <v>14459.427983898346</v>
      </c>
      <c r="E179" s="30">
        <f t="shared" si="2"/>
        <v>15352.10597592966</v>
      </c>
      <c r="F179" s="30">
        <f t="shared" si="3"/>
        <v>43.663825149156239</v>
      </c>
      <c r="G179" s="30">
        <f t="shared" si="4"/>
        <v>15420.541063573344</v>
      </c>
      <c r="H179" s="30">
        <f t="shared" si="5"/>
        <v>-961.11307967499852</v>
      </c>
      <c r="I179" s="30">
        <f t="shared" si="1"/>
        <v>15538.462762597426</v>
      </c>
      <c r="J179" s="30">
        <f t="shared" si="6"/>
        <v>-968.46276259742626</v>
      </c>
    </row>
    <row r="180" spans="1:10" ht="15" customHeight="1" x14ac:dyDescent="0.25">
      <c r="A180" s="27" t="s">
        <v>124</v>
      </c>
      <c r="B180" s="30">
        <f xml:space="preserve"> 15410</f>
        <v>15410</v>
      </c>
      <c r="C180" s="30">
        <v>1.0242421211021173</v>
      </c>
      <c r="D180" s="30">
        <f t="shared" si="0"/>
        <v>15045.270725068744</v>
      </c>
      <c r="E180" s="30">
        <f t="shared" si="2"/>
        <v>15370.812867817758</v>
      </c>
      <c r="F180" s="30">
        <f t="shared" si="3"/>
        <v>43.663825149156239</v>
      </c>
      <c r="G180" s="30">
        <f t="shared" si="4"/>
        <v>15395.769801078817</v>
      </c>
      <c r="H180" s="30">
        <f t="shared" si="5"/>
        <v>-350.49907601007362</v>
      </c>
      <c r="I180" s="30">
        <f t="shared" ref="I180:I211" si="7">G180*C180</f>
        <v>15768.995917056891</v>
      </c>
      <c r="J180" s="30">
        <f t="shared" si="6"/>
        <v>-358.9959170568909</v>
      </c>
    </row>
    <row r="181" spans="1:10" ht="15" customHeight="1" x14ac:dyDescent="0.25">
      <c r="A181" s="27" t="s">
        <v>125</v>
      </c>
      <c r="B181" s="30">
        <f xml:space="preserve"> 14320</f>
        <v>14320</v>
      </c>
      <c r="C181" s="30">
        <v>0.94663970878958614</v>
      </c>
      <c r="D181" s="30">
        <f t="shared" si="0"/>
        <v>15127.191334821737</v>
      </c>
      <c r="E181" s="30">
        <f t="shared" si="2"/>
        <v>15394.020828741177</v>
      </c>
      <c r="F181" s="30">
        <f t="shared" si="3"/>
        <v>43.663825149156239</v>
      </c>
      <c r="G181" s="30">
        <f t="shared" si="4"/>
        <v>15414.476692966915</v>
      </c>
      <c r="H181" s="30">
        <f t="shared" si="5"/>
        <v>-287.28535814517818</v>
      </c>
      <c r="I181" s="30">
        <f t="shared" si="7"/>
        <v>14591.955727774062</v>
      </c>
      <c r="J181" s="30">
        <f t="shared" si="6"/>
        <v>-271.95572777406232</v>
      </c>
    </row>
    <row r="182" spans="1:10" ht="15" customHeight="1" x14ac:dyDescent="0.25">
      <c r="A182" s="27" t="s">
        <v>126</v>
      </c>
      <c r="B182" s="30">
        <f xml:space="preserve"> 14438</f>
        <v>14438</v>
      </c>
      <c r="C182" s="30">
        <v>0.9050536648720291</v>
      </c>
      <c r="D182" s="30">
        <f t="shared" si="0"/>
        <v>15952.645197057431</v>
      </c>
      <c r="E182" s="30">
        <f t="shared" si="2"/>
        <v>15474.35190007597</v>
      </c>
      <c r="F182" s="30">
        <f t="shared" si="3"/>
        <v>43.663825149156239</v>
      </c>
      <c r="G182" s="30">
        <f t="shared" si="4"/>
        <v>15437.684653890334</v>
      </c>
      <c r="H182" s="30">
        <f t="shared" si="5"/>
        <v>514.96054316709706</v>
      </c>
      <c r="I182" s="30">
        <f t="shared" si="7"/>
        <v>13971.933073142129</v>
      </c>
      <c r="J182" s="30">
        <f t="shared" si="6"/>
        <v>466.06692685787129</v>
      </c>
    </row>
    <row r="183" spans="1:10" ht="15" customHeight="1" x14ac:dyDescent="0.25">
      <c r="A183" s="27" t="s">
        <v>127</v>
      </c>
      <c r="B183" s="30">
        <f xml:space="preserve"> 14051</f>
        <v>14051</v>
      </c>
      <c r="C183" s="30">
        <v>0.90657052885571165</v>
      </c>
      <c r="D183" s="30">
        <f t="shared" si="0"/>
        <v>15499.069904396081</v>
      </c>
      <c r="E183" s="30">
        <f t="shared" si="2"/>
        <v>15516.66670715812</v>
      </c>
      <c r="F183" s="30">
        <f t="shared" si="3"/>
        <v>43.663825149156239</v>
      </c>
      <c r="G183" s="30">
        <f t="shared" si="4"/>
        <v>15518.015725225127</v>
      </c>
      <c r="H183" s="30">
        <f t="shared" si="5"/>
        <v>-18.94582082904526</v>
      </c>
      <c r="I183" s="30">
        <f t="shared" si="7"/>
        <v>14068.175722808593</v>
      </c>
      <c r="J183" s="30">
        <f t="shared" si="6"/>
        <v>-17.175722808593491</v>
      </c>
    </row>
    <row r="184" spans="1:10" ht="15" customHeight="1" x14ac:dyDescent="0.25">
      <c r="A184" s="27" t="s">
        <v>128</v>
      </c>
      <c r="B184" s="30">
        <f xml:space="preserve"> 14050</f>
        <v>14050</v>
      </c>
      <c r="C184" s="30">
        <v>0.90805598066695403</v>
      </c>
      <c r="D184" s="30">
        <f t="shared" si="0"/>
        <v>15472.614353225754</v>
      </c>
      <c r="E184" s="30">
        <f t="shared" si="2"/>
        <v>15554.084790229514</v>
      </c>
      <c r="F184" s="30">
        <f t="shared" si="3"/>
        <v>43.663825149156239</v>
      </c>
      <c r="G184" s="30">
        <f t="shared" si="4"/>
        <v>15560.330532307276</v>
      </c>
      <c r="H184" s="30">
        <f t="shared" si="5"/>
        <v>-87.716179081522569</v>
      </c>
      <c r="I184" s="30">
        <f t="shared" si="7"/>
        <v>14129.651201016231</v>
      </c>
      <c r="J184" s="30">
        <f t="shared" si="6"/>
        <v>-79.651201016231425</v>
      </c>
    </row>
    <row r="185" spans="1:10" ht="15" customHeight="1" x14ac:dyDescent="0.25">
      <c r="A185" s="27" t="s">
        <v>129</v>
      </c>
      <c r="B185" s="30">
        <f xml:space="preserve"> 14626</f>
        <v>14626</v>
      </c>
      <c r="C185" s="30">
        <v>0.88554664064815469</v>
      </c>
      <c r="D185" s="30">
        <f t="shared" si="0"/>
        <v>16516.351966842591</v>
      </c>
      <c r="E185" s="30">
        <f t="shared" si="2"/>
        <v>15663.156840692254</v>
      </c>
      <c r="F185" s="30">
        <f t="shared" si="3"/>
        <v>43.663825149156239</v>
      </c>
      <c r="G185" s="30">
        <f t="shared" si="4"/>
        <v>15597.74861537867</v>
      </c>
      <c r="H185" s="30">
        <f t="shared" si="5"/>
        <v>918.60335146392026</v>
      </c>
      <c r="I185" s="30">
        <f t="shared" si="7"/>
        <v>13812.533888022988</v>
      </c>
      <c r="J185" s="30">
        <f t="shared" si="6"/>
        <v>813.46611197701168</v>
      </c>
    </row>
    <row r="186" spans="1:10" ht="15" customHeight="1" x14ac:dyDescent="0.25">
      <c r="A186" s="27" t="s">
        <v>130</v>
      </c>
      <c r="B186" s="30">
        <f xml:space="preserve"> 14553</f>
        <v>14553</v>
      </c>
      <c r="C186" s="30">
        <v>0.91566790449517033</v>
      </c>
      <c r="D186" s="30">
        <f t="shared" si="0"/>
        <v>15893.316702001714</v>
      </c>
      <c r="E186" s="30">
        <f t="shared" si="2"/>
        <v>15720.099928032021</v>
      </c>
      <c r="F186" s="30">
        <f t="shared" si="3"/>
        <v>43.663825149156239</v>
      </c>
      <c r="G186" s="30">
        <f t="shared" si="4"/>
        <v>15706.820665841411</v>
      </c>
      <c r="H186" s="30">
        <f t="shared" si="5"/>
        <v>186.49603616030254</v>
      </c>
      <c r="I186" s="30">
        <f t="shared" si="7"/>
        <v>14382.23156537244</v>
      </c>
      <c r="J186" s="30">
        <f t="shared" si="6"/>
        <v>170.76843462756005</v>
      </c>
    </row>
    <row r="187" spans="1:10" ht="15" customHeight="1" x14ac:dyDescent="0.25">
      <c r="A187" s="27" t="s">
        <v>131</v>
      </c>
      <c r="B187" s="30">
        <f xml:space="preserve"> 15190</f>
        <v>15190</v>
      </c>
      <c r="C187" s="30">
        <v>1.0046707510607737</v>
      </c>
      <c r="D187" s="30">
        <f t="shared" si="0"/>
        <v>15119.381134527663</v>
      </c>
      <c r="E187" s="30">
        <f t="shared" si="2"/>
        <v>15717.881138620847</v>
      </c>
      <c r="F187" s="30">
        <f t="shared" si="3"/>
        <v>43.663825149156239</v>
      </c>
      <c r="G187" s="30">
        <f t="shared" si="4"/>
        <v>15763.763753181178</v>
      </c>
      <c r="H187" s="30">
        <f t="shared" si="5"/>
        <v>-644.38261865351524</v>
      </c>
      <c r="I187" s="30">
        <f t="shared" si="7"/>
        <v>15837.392369453135</v>
      </c>
      <c r="J187" s="30">
        <f t="shared" si="6"/>
        <v>-647.39236945313496</v>
      </c>
    </row>
    <row r="188" spans="1:10" ht="15" customHeight="1" x14ac:dyDescent="0.25">
      <c r="A188" s="27" t="s">
        <v>132</v>
      </c>
      <c r="B188" s="30">
        <f xml:space="preserve"> 17059</f>
        <v>17059</v>
      </c>
      <c r="C188" s="30">
        <v>1.0984136010088161</v>
      </c>
      <c r="D188" s="30">
        <f t="shared" si="0"/>
        <v>15530.579723641897</v>
      </c>
      <c r="E188" s="30">
        <f t="shared" si="2"/>
        <v>15745.099316753987</v>
      </c>
      <c r="F188" s="30">
        <f t="shared" si="3"/>
        <v>43.663825149156239</v>
      </c>
      <c r="G188" s="30">
        <f t="shared" si="4"/>
        <v>15761.544963770004</v>
      </c>
      <c r="H188" s="30">
        <f t="shared" si="5"/>
        <v>-230.96524012810733</v>
      </c>
      <c r="I188" s="30">
        <f t="shared" si="7"/>
        <v>17312.695361116981</v>
      </c>
      <c r="J188" s="30">
        <f t="shared" si="6"/>
        <v>-253.69536111698108</v>
      </c>
    </row>
    <row r="189" spans="1:10" ht="15" customHeight="1" x14ac:dyDescent="0.25">
      <c r="A189" s="27" t="s">
        <v>133</v>
      </c>
      <c r="B189" s="30">
        <f xml:space="preserve"> 18541</f>
        <v>18541</v>
      </c>
      <c r="C189" s="30">
        <v>1.1681866116143564</v>
      </c>
      <c r="D189" s="30">
        <f t="shared" si="0"/>
        <v>15871.608025345855</v>
      </c>
      <c r="E189" s="30">
        <f t="shared" si="2"/>
        <v>15794.662028287199</v>
      </c>
      <c r="F189" s="30">
        <f t="shared" si="3"/>
        <v>43.663825149156239</v>
      </c>
      <c r="G189" s="30">
        <f t="shared" si="4"/>
        <v>15788.763141903144</v>
      </c>
      <c r="H189" s="30">
        <f t="shared" si="5"/>
        <v>82.844883442710852</v>
      </c>
      <c r="I189" s="30">
        <f t="shared" si="7"/>
        <v>18444.221716321474</v>
      </c>
      <c r="J189" s="30">
        <f t="shared" si="6"/>
        <v>96.77828367852635</v>
      </c>
    </row>
    <row r="190" spans="1:10" ht="15" customHeight="1" x14ac:dyDescent="0.25">
      <c r="A190" s="27" t="s">
        <v>134</v>
      </c>
      <c r="B190" s="30">
        <f xml:space="preserve"> 18567</f>
        <v>18567</v>
      </c>
      <c r="C190" s="30">
        <v>1.229305276209552</v>
      </c>
      <c r="D190" s="30">
        <f t="shared" si="0"/>
        <v>15103.652737300217</v>
      </c>
      <c r="E190" s="30">
        <f t="shared" si="2"/>
        <v>15786.014195052478</v>
      </c>
      <c r="F190" s="30">
        <f t="shared" si="3"/>
        <v>43.663825149156239</v>
      </c>
      <c r="G190" s="30">
        <f t="shared" si="4"/>
        <v>15838.325853436356</v>
      </c>
      <c r="H190" s="30">
        <f t="shared" si="5"/>
        <v>-734.67311613613856</v>
      </c>
      <c r="I190" s="30">
        <f t="shared" si="7"/>
        <v>19470.137537955467</v>
      </c>
      <c r="J190" s="30">
        <f t="shared" si="6"/>
        <v>-903.13753795546654</v>
      </c>
    </row>
    <row r="191" spans="1:10" ht="15" customHeight="1" x14ac:dyDescent="0.25">
      <c r="A191" s="27" t="s">
        <v>135</v>
      </c>
      <c r="B191" s="30">
        <f xml:space="preserve"> 16684</f>
        <v>16684</v>
      </c>
      <c r="C191" s="30">
        <v>1.0076470532738075</v>
      </c>
      <c r="D191" s="30">
        <f t="shared" si="0"/>
        <v>16557.384796387098</v>
      </c>
      <c r="E191" s="30">
        <f t="shared" si="2"/>
        <v>15881.49364737424</v>
      </c>
      <c r="F191" s="30">
        <f t="shared" si="3"/>
        <v>43.663825149156239</v>
      </c>
      <c r="G191" s="30">
        <f t="shared" si="4"/>
        <v>15829.678020201634</v>
      </c>
      <c r="H191" s="30">
        <f t="shared" si="5"/>
        <v>727.70677618546324</v>
      </c>
      <c r="I191" s="30">
        <f t="shared" si="7"/>
        <v>15950.728411329337</v>
      </c>
      <c r="J191" s="30">
        <f t="shared" si="6"/>
        <v>733.27158867066282</v>
      </c>
    </row>
    <row r="192" spans="1:10" ht="15" customHeight="1" x14ac:dyDescent="0.25">
      <c r="A192" s="27" t="s">
        <v>136</v>
      </c>
      <c r="B192" s="30">
        <f xml:space="preserve"> 14523</f>
        <v>14523</v>
      </c>
      <c r="C192" s="30">
        <v>1.0242421211021173</v>
      </c>
      <c r="D192" s="30">
        <f t="shared" si="0"/>
        <v>14179.264551601127</v>
      </c>
      <c r="E192" s="30">
        <f t="shared" si="2"/>
        <v>15800.842927662345</v>
      </c>
      <c r="F192" s="30">
        <f t="shared" si="3"/>
        <v>43.663825149156239</v>
      </c>
      <c r="G192" s="30">
        <f t="shared" si="4"/>
        <v>15925.157472523397</v>
      </c>
      <c r="H192" s="30">
        <f t="shared" si="5"/>
        <v>-1745.8929209222697</v>
      </c>
      <c r="I192" s="30">
        <f t="shared" si="7"/>
        <v>16311.217068542597</v>
      </c>
      <c r="J192" s="30">
        <f t="shared" si="6"/>
        <v>-1788.2170685425972</v>
      </c>
    </row>
    <row r="193" spans="1:10" ht="15" customHeight="1" x14ac:dyDescent="0.25">
      <c r="A193" s="27" t="s">
        <v>137</v>
      </c>
      <c r="B193" s="30">
        <f xml:space="preserve"> 13316</f>
        <v>13316</v>
      </c>
      <c r="C193" s="30">
        <v>0.94663970878958614</v>
      </c>
      <c r="D193" s="30">
        <f t="shared" si="0"/>
        <v>14066.597752408257</v>
      </c>
      <c r="E193" s="30">
        <f t="shared" si="2"/>
        <v>15717.912535296291</v>
      </c>
      <c r="F193" s="30">
        <f t="shared" si="3"/>
        <v>43.663825149156239</v>
      </c>
      <c r="G193" s="30">
        <f t="shared" si="4"/>
        <v>15844.506752811501</v>
      </c>
      <c r="H193" s="30">
        <f t="shared" si="5"/>
        <v>-1777.9090004032441</v>
      </c>
      <c r="I193" s="30">
        <f t="shared" si="7"/>
        <v>14999.039258396111</v>
      </c>
      <c r="J193" s="30">
        <f t="shared" si="6"/>
        <v>-1683.0392583961111</v>
      </c>
    </row>
    <row r="194" spans="1:10" ht="15" customHeight="1" x14ac:dyDescent="0.25">
      <c r="A194" s="27" t="s">
        <v>138</v>
      </c>
      <c r="B194" s="30">
        <f xml:space="preserve"> 14466</f>
        <v>14466</v>
      </c>
      <c r="C194" s="30">
        <v>0.9050536648720291</v>
      </c>
      <c r="D194" s="30">
        <f t="shared" si="0"/>
        <v>15983.582589045074</v>
      </c>
      <c r="E194" s="30">
        <f t="shared" si="2"/>
        <v>15777.384090079922</v>
      </c>
      <c r="F194" s="30">
        <f t="shared" si="3"/>
        <v>43.663825149156239</v>
      </c>
      <c r="G194" s="30">
        <f t="shared" si="4"/>
        <v>15761.576360445448</v>
      </c>
      <c r="H194" s="30">
        <f t="shared" si="5"/>
        <v>222.00622859962641</v>
      </c>
      <c r="I194" s="30">
        <f t="shared" si="7"/>
        <v>14265.072449181491</v>
      </c>
      <c r="J194" s="30">
        <f t="shared" si="6"/>
        <v>200.92755081850919</v>
      </c>
    </row>
    <row r="195" spans="1:10" ht="15" customHeight="1" x14ac:dyDescent="0.25">
      <c r="A195" s="27" t="s">
        <v>139</v>
      </c>
      <c r="B195" s="30">
        <f xml:space="preserve"> 15045</f>
        <v>15045</v>
      </c>
      <c r="C195" s="30">
        <v>0.90657052885571165</v>
      </c>
      <c r="D195" s="30">
        <f t="shared" si="0"/>
        <v>16595.509694088611</v>
      </c>
      <c r="E195" s="30">
        <f t="shared" si="2"/>
        <v>15876.19268521895</v>
      </c>
      <c r="F195" s="30">
        <f t="shared" si="3"/>
        <v>43.663825149156239</v>
      </c>
      <c r="G195" s="30">
        <f t="shared" si="4"/>
        <v>15821.047915229079</v>
      </c>
      <c r="H195" s="30">
        <f t="shared" si="5"/>
        <v>774.46177885953148</v>
      </c>
      <c r="I195" s="30">
        <f t="shared" si="7"/>
        <v>14342.895775560781</v>
      </c>
      <c r="J195" s="30">
        <f t="shared" si="6"/>
        <v>702.10422443921925</v>
      </c>
    </row>
    <row r="196" spans="1:10" ht="15" customHeight="1" x14ac:dyDescent="0.25">
      <c r="A196" s="27" t="s">
        <v>140</v>
      </c>
      <c r="B196" s="30">
        <f xml:space="preserve"> 15028</f>
        <v>15028</v>
      </c>
      <c r="C196" s="30">
        <v>0.90805598066695403</v>
      </c>
      <c r="D196" s="30">
        <f t="shared" si="0"/>
        <v>16549.64046265314</v>
      </c>
      <c r="E196" s="30">
        <f t="shared" si="2"/>
        <v>15964.699641611087</v>
      </c>
      <c r="F196" s="30">
        <f t="shared" si="3"/>
        <v>43.663825149156239</v>
      </c>
      <c r="G196" s="30">
        <f t="shared" si="4"/>
        <v>15919.856510368107</v>
      </c>
      <c r="H196" s="30">
        <f t="shared" si="5"/>
        <v>629.78395228503359</v>
      </c>
      <c r="I196" s="30">
        <f t="shared" si="7"/>
        <v>14456.120915599504</v>
      </c>
      <c r="J196" s="30">
        <f t="shared" si="6"/>
        <v>571.87908440049614</v>
      </c>
    </row>
    <row r="197" spans="1:10" ht="15" customHeight="1" x14ac:dyDescent="0.25">
      <c r="A197" s="27" t="s">
        <v>141</v>
      </c>
      <c r="B197" s="30">
        <f xml:space="preserve"> 15187</f>
        <v>15187</v>
      </c>
      <c r="C197" s="30">
        <v>0.88554664064815469</v>
      </c>
      <c r="D197" s="30">
        <f t="shared" si="0"/>
        <v>17149.858971724221</v>
      </c>
      <c r="E197" s="30">
        <f t="shared" si="2"/>
        <v>16089.642503097462</v>
      </c>
      <c r="F197" s="30">
        <f t="shared" si="3"/>
        <v>43.663825149156239</v>
      </c>
      <c r="G197" s="30">
        <f t="shared" si="4"/>
        <v>16008.363466760244</v>
      </c>
      <c r="H197" s="30">
        <f t="shared" si="5"/>
        <v>1141.4955049639775</v>
      </c>
      <c r="I197" s="30">
        <f t="shared" si="7"/>
        <v>14176.152490264181</v>
      </c>
      <c r="J197" s="30">
        <f t="shared" si="6"/>
        <v>1010.8475097358187</v>
      </c>
    </row>
    <row r="198" spans="1:10" ht="15" customHeight="1" x14ac:dyDescent="0.25">
      <c r="A198" s="27" t="s">
        <v>142</v>
      </c>
      <c r="B198" s="30">
        <f xml:space="preserve"> 14271</f>
        <v>14271</v>
      </c>
      <c r="C198" s="30">
        <v>0.91566790449517033</v>
      </c>
      <c r="D198" s="30">
        <f t="shared" si="0"/>
        <v>15585.344784873665</v>
      </c>
      <c r="E198" s="30">
        <f t="shared" si="2"/>
        <v>16094.289279119812</v>
      </c>
      <c r="F198" s="30">
        <f t="shared" si="3"/>
        <v>43.663825149156239</v>
      </c>
      <c r="G198" s="30">
        <f t="shared" si="4"/>
        <v>16133.306328246619</v>
      </c>
      <c r="H198" s="30">
        <f t="shared" si="5"/>
        <v>-547.96154337295411</v>
      </c>
      <c r="I198" s="30">
        <f t="shared" si="7"/>
        <v>14772.750798164252</v>
      </c>
      <c r="J198" s="30">
        <f t="shared" si="6"/>
        <v>-501.75079816425205</v>
      </c>
    </row>
    <row r="199" spans="1:10" ht="15" customHeight="1" x14ac:dyDescent="0.25">
      <c r="A199" s="27" t="s">
        <v>143</v>
      </c>
      <c r="B199" s="30">
        <f xml:space="preserve"> 15923</f>
        <v>15923</v>
      </c>
      <c r="C199" s="30">
        <v>1.0046707510607737</v>
      </c>
      <c r="D199" s="30">
        <f t="shared" si="0"/>
        <v>15848.973390723106</v>
      </c>
      <c r="E199" s="30">
        <f t="shared" si="2"/>
        <v>16117.376595175527</v>
      </c>
      <c r="F199" s="30">
        <f t="shared" si="3"/>
        <v>43.663825149156239</v>
      </c>
      <c r="G199" s="30">
        <f t="shared" si="4"/>
        <v>16137.953104268969</v>
      </c>
      <c r="H199" s="30">
        <f t="shared" si="5"/>
        <v>-288.97971354586298</v>
      </c>
      <c r="I199" s="30">
        <f t="shared" si="7"/>
        <v>16213.329465849451</v>
      </c>
      <c r="J199" s="30">
        <f t="shared" si="6"/>
        <v>-290.32946584945057</v>
      </c>
    </row>
    <row r="200" spans="1:10" ht="15" customHeight="1" x14ac:dyDescent="0.25">
      <c r="A200" s="27" t="s">
        <v>144</v>
      </c>
      <c r="B200" s="30">
        <f xml:space="preserve"> 16632</f>
        <v>16632</v>
      </c>
      <c r="C200" s="30">
        <v>1.0984136010088161</v>
      </c>
      <c r="D200" s="30">
        <f t="shared" si="0"/>
        <v>15141.837268515857</v>
      </c>
      <c r="E200" s="30">
        <f t="shared" si="2"/>
        <v>16088.469087673231</v>
      </c>
      <c r="F200" s="30">
        <f t="shared" si="3"/>
        <v>43.663825149156239</v>
      </c>
      <c r="G200" s="30">
        <f t="shared" si="4"/>
        <v>16161.040420324684</v>
      </c>
      <c r="H200" s="30">
        <f t="shared" si="5"/>
        <v>-1019.2031518088261</v>
      </c>
      <c r="I200" s="30">
        <f t="shared" si="7"/>
        <v>17751.506604137867</v>
      </c>
      <c r="J200" s="30">
        <f t="shared" si="6"/>
        <v>-1119.5066041378668</v>
      </c>
    </row>
    <row r="201" spans="1:10" ht="15" customHeight="1" x14ac:dyDescent="0.25">
      <c r="A201" s="27" t="s">
        <v>145</v>
      </c>
      <c r="B201" s="30">
        <f xml:space="preserve"> 18432</f>
        <v>18432</v>
      </c>
      <c r="C201" s="30">
        <v>1.1681866116143564</v>
      </c>
      <c r="D201" s="30">
        <f t="shared" si="0"/>
        <v>15778.301015218962</v>
      </c>
      <c r="E201" s="30">
        <f t="shared" si="2"/>
        <v>16106.938669360621</v>
      </c>
      <c r="F201" s="30">
        <f t="shared" si="3"/>
        <v>43.663825149156239</v>
      </c>
      <c r="G201" s="30">
        <f t="shared" si="4"/>
        <v>16132.132912822388</v>
      </c>
      <c r="H201" s="30">
        <f t="shared" si="5"/>
        <v>-353.83189760342611</v>
      </c>
      <c r="I201" s="30">
        <f t="shared" si="7"/>
        <v>18845.341685542422</v>
      </c>
      <c r="J201" s="30">
        <f t="shared" si="6"/>
        <v>-413.34168554242206</v>
      </c>
    </row>
    <row r="202" spans="1:10" ht="15" customHeight="1" x14ac:dyDescent="0.25">
      <c r="A202" s="27" t="s">
        <v>146</v>
      </c>
      <c r="B202" s="30">
        <f xml:space="preserve"> 19743</f>
        <v>19743</v>
      </c>
      <c r="C202" s="30">
        <v>1.229305276209552</v>
      </c>
      <c r="D202" s="30">
        <f t="shared" si="0"/>
        <v>16060.290622745635</v>
      </c>
      <c r="E202" s="30">
        <f t="shared" si="2"/>
        <v>16144.171928752068</v>
      </c>
      <c r="F202" s="30">
        <f t="shared" si="3"/>
        <v>43.663825149156239</v>
      </c>
      <c r="G202" s="30">
        <f t="shared" si="4"/>
        <v>16150.602494509778</v>
      </c>
      <c r="H202" s="30">
        <f t="shared" si="5"/>
        <v>-90.311871764142779</v>
      </c>
      <c r="I202" s="30">
        <f t="shared" si="7"/>
        <v>19854.020860464021</v>
      </c>
      <c r="J202" s="30">
        <f t="shared" si="6"/>
        <v>-111.0208604640211</v>
      </c>
    </row>
    <row r="203" spans="1:10" ht="15" customHeight="1" x14ac:dyDescent="0.25">
      <c r="A203" s="27" t="s">
        <v>147</v>
      </c>
      <c r="B203" s="30">
        <f xml:space="preserve"> 15632</f>
        <v>15632</v>
      </c>
      <c r="C203" s="30">
        <v>1.0076470532738075</v>
      </c>
      <c r="D203" s="30">
        <f t="shared" si="0"/>
        <v>15513.36844504454</v>
      </c>
      <c r="E203" s="30">
        <f t="shared" si="2"/>
        <v>16139.810989312633</v>
      </c>
      <c r="F203" s="30">
        <f t="shared" si="3"/>
        <v>43.663825149156239</v>
      </c>
      <c r="G203" s="30">
        <f t="shared" si="4"/>
        <v>16187.835753901225</v>
      </c>
      <c r="H203" s="30">
        <f t="shared" si="5"/>
        <v>-674.46730885668512</v>
      </c>
      <c r="I203" s="30">
        <f t="shared" si="7"/>
        <v>16311.624996298955</v>
      </c>
      <c r="J203" s="30">
        <f t="shared" si="6"/>
        <v>-679.62499629895501</v>
      </c>
    </row>
    <row r="204" spans="1:10" ht="15" customHeight="1" x14ac:dyDescent="0.25">
      <c r="A204" s="27" t="s">
        <v>148</v>
      </c>
      <c r="B204" s="30">
        <f xml:space="preserve"> 16404</f>
        <v>16404</v>
      </c>
      <c r="C204" s="30">
        <v>1.0242421211021173</v>
      </c>
      <c r="D204" s="30">
        <f t="shared" si="0"/>
        <v>16015.744385076421</v>
      </c>
      <c r="E204" s="30">
        <f t="shared" si="2"/>
        <v>16171.531738378191</v>
      </c>
      <c r="F204" s="30">
        <f t="shared" si="3"/>
        <v>43.663825149156239</v>
      </c>
      <c r="G204" s="30">
        <f t="shared" si="4"/>
        <v>16183.47481446179</v>
      </c>
      <c r="H204" s="30">
        <f t="shared" si="5"/>
        <v>-167.73042938536855</v>
      </c>
      <c r="I204" s="30">
        <f t="shared" si="7"/>
        <v>16575.796570767037</v>
      </c>
      <c r="J204" s="30">
        <f t="shared" si="6"/>
        <v>-171.79657076703734</v>
      </c>
    </row>
    <row r="205" spans="1:10" ht="15" customHeight="1" x14ac:dyDescent="0.25">
      <c r="A205" s="27" t="s">
        <v>149</v>
      </c>
      <c r="B205" s="30">
        <f xml:space="preserve"> 15572</f>
        <v>15572</v>
      </c>
      <c r="C205" s="30">
        <v>0.94663970878958614</v>
      </c>
      <c r="D205" s="30">
        <f t="shared" si="0"/>
        <v>16449.764208508666</v>
      </c>
      <c r="E205" s="30">
        <f t="shared" si="2"/>
        <v>16231.897787352233</v>
      </c>
      <c r="F205" s="30">
        <f t="shared" si="3"/>
        <v>43.663825149156239</v>
      </c>
      <c r="G205" s="30">
        <f t="shared" si="4"/>
        <v>16215.195563527348</v>
      </c>
      <c r="H205" s="30">
        <f t="shared" si="5"/>
        <v>234.56864498131836</v>
      </c>
      <c r="I205" s="30">
        <f t="shared" si="7"/>
        <v>15349.948006223718</v>
      </c>
      <c r="J205" s="30">
        <f t="shared" si="6"/>
        <v>222.05199377628196</v>
      </c>
    </row>
    <row r="206" spans="1:10" ht="15" customHeight="1" x14ac:dyDescent="0.25">
      <c r="A206" s="27" t="s">
        <v>150</v>
      </c>
      <c r="B206" s="30">
        <f xml:space="preserve"> 14310</f>
        <v>14310</v>
      </c>
      <c r="C206" s="30">
        <v>0.9050536648720291</v>
      </c>
      <c r="D206" s="30">
        <f t="shared" si="0"/>
        <v>15811.217119399627</v>
      </c>
      <c r="E206" s="30">
        <f t="shared" si="2"/>
        <v>16242.498431119</v>
      </c>
      <c r="F206" s="30">
        <f t="shared" si="3"/>
        <v>43.663825149156239</v>
      </c>
      <c r="G206" s="30">
        <f t="shared" si="4"/>
        <v>16275.561612501389</v>
      </c>
      <c r="H206" s="30">
        <f t="shared" si="5"/>
        <v>-464.34449310176205</v>
      </c>
      <c r="I206" s="30">
        <f t="shared" si="7"/>
        <v>14730.256685244894</v>
      </c>
      <c r="J206" s="30">
        <f t="shared" si="6"/>
        <v>-420.25668524489447</v>
      </c>
    </row>
    <row r="207" spans="1:10" ht="15" customHeight="1" x14ac:dyDescent="0.25">
      <c r="A207" s="27" t="s">
        <v>151</v>
      </c>
      <c r="B207" s="30">
        <f xml:space="preserve"> 16102</f>
        <v>16102</v>
      </c>
      <c r="C207" s="30">
        <v>0.90657052885571165</v>
      </c>
      <c r="D207" s="30">
        <f t="shared" si="0"/>
        <v>17761.442146508129</v>
      </c>
      <c r="E207" s="30">
        <f t="shared" si="2"/>
        <v>16391.208073167949</v>
      </c>
      <c r="F207" s="30">
        <f t="shared" si="3"/>
        <v>43.663825149156239</v>
      </c>
      <c r="G207" s="30">
        <f t="shared" si="4"/>
        <v>16286.162256268157</v>
      </c>
      <c r="H207" s="30">
        <f t="shared" si="5"/>
        <v>1475.2798902399718</v>
      </c>
      <c r="I207" s="30">
        <f t="shared" si="7"/>
        <v>14764.554729694953</v>
      </c>
      <c r="J207" s="30">
        <f t="shared" si="6"/>
        <v>1337.4452703050465</v>
      </c>
    </row>
    <row r="208" spans="1:10" ht="15" customHeight="1" x14ac:dyDescent="0.25">
      <c r="A208" s="27" t="s">
        <v>152</v>
      </c>
      <c r="B208" s="30">
        <f xml:space="preserve"> 14942</f>
        <v>14942</v>
      </c>
      <c r="C208" s="30">
        <v>0.90805598066695403</v>
      </c>
      <c r="D208" s="30">
        <f t="shared" si="0"/>
        <v>16454.932645259731</v>
      </c>
      <c r="E208" s="30">
        <f t="shared" si="2"/>
        <v>16436.300303573727</v>
      </c>
      <c r="F208" s="30">
        <f t="shared" si="3"/>
        <v>43.663825149156239</v>
      </c>
      <c r="G208" s="30">
        <f t="shared" si="4"/>
        <v>16434.871898317106</v>
      </c>
      <c r="H208" s="30">
        <f t="shared" si="5"/>
        <v>20.060746942624974</v>
      </c>
      <c r="I208" s="30">
        <f t="shared" si="7"/>
        <v>14923.783718762104</v>
      </c>
      <c r="J208" s="30">
        <f t="shared" si="6"/>
        <v>18.2162812378956</v>
      </c>
    </row>
    <row r="209" spans="1:10" ht="15" customHeight="1" x14ac:dyDescent="0.25">
      <c r="A209" s="27" t="s">
        <v>153</v>
      </c>
      <c r="B209" s="30">
        <f xml:space="preserve"> 14242</f>
        <v>14242</v>
      </c>
      <c r="C209" s="30">
        <v>0.88554664064815469</v>
      </c>
      <c r="D209" s="30">
        <f t="shared" si="0"/>
        <v>16082.721503608109</v>
      </c>
      <c r="E209" s="30">
        <f t="shared" si="2"/>
        <v>16451.678868184415</v>
      </c>
      <c r="F209" s="30">
        <f t="shared" si="3"/>
        <v>43.663825149156239</v>
      </c>
      <c r="G209" s="30">
        <f t="shared" si="4"/>
        <v>16479.964128722884</v>
      </c>
      <c r="H209" s="30">
        <f t="shared" si="5"/>
        <v>-397.24262511477536</v>
      </c>
      <c r="I209" s="30">
        <f t="shared" si="7"/>
        <v>14593.776872192644</v>
      </c>
      <c r="J209" s="30">
        <f t="shared" si="6"/>
        <v>-351.77687219264408</v>
      </c>
    </row>
    <row r="210" spans="1:10" ht="15" customHeight="1" x14ac:dyDescent="0.25">
      <c r="A210" s="27" t="s">
        <v>154</v>
      </c>
      <c r="B210" s="30">
        <f xml:space="preserve"> 15039</f>
        <v>15039</v>
      </c>
      <c r="C210" s="30">
        <v>0.91566790449517033</v>
      </c>
      <c r="D210" s="30">
        <f t="shared" si="0"/>
        <v>16424.076814498989</v>
      </c>
      <c r="E210" s="30">
        <f t="shared" si="2"/>
        <v>16490.268278296273</v>
      </c>
      <c r="F210" s="30">
        <f t="shared" si="3"/>
        <v>43.663825149156239</v>
      </c>
      <c r="G210" s="30">
        <f t="shared" si="4"/>
        <v>16495.342693333572</v>
      </c>
      <c r="H210" s="30">
        <f t="shared" si="5"/>
        <v>-71.265878834583418</v>
      </c>
      <c r="I210" s="30">
        <f t="shared" si="7"/>
        <v>15104.255877934471</v>
      </c>
      <c r="J210" s="30">
        <f t="shared" si="6"/>
        <v>-65.255877934470846</v>
      </c>
    </row>
    <row r="211" spans="1:10" ht="15" customHeight="1" x14ac:dyDescent="0.25">
      <c r="A211" s="27" t="s">
        <v>155</v>
      </c>
      <c r="B211" s="30">
        <f xml:space="preserve"> 15683</f>
        <v>15683</v>
      </c>
      <c r="C211" s="30">
        <v>1.0046707510607737</v>
      </c>
      <c r="D211" s="30">
        <f t="shared" si="0"/>
        <v>15610.089159499496</v>
      </c>
      <c r="E211" s="30">
        <f t="shared" si="2"/>
        <v>16468.150798232811</v>
      </c>
      <c r="F211" s="30">
        <f t="shared" si="3"/>
        <v>43.663825149156239</v>
      </c>
      <c r="G211" s="30">
        <f t="shared" si="4"/>
        <v>16533.93210344543</v>
      </c>
      <c r="H211" s="30">
        <f t="shared" si="5"/>
        <v>-923.84294394593417</v>
      </c>
      <c r="I211" s="30">
        <f t="shared" si="7"/>
        <v>16611.15798435636</v>
      </c>
      <c r="J211" s="30">
        <f t="shared" si="6"/>
        <v>-928.15798435635952</v>
      </c>
    </row>
    <row r="212" spans="1:10" ht="15" customHeight="1" x14ac:dyDescent="0.25">
      <c r="A212" s="27" t="s">
        <v>156</v>
      </c>
      <c r="B212" s="30">
        <f xml:space="preserve"> 19459</f>
        <v>19459</v>
      </c>
      <c r="C212" s="30">
        <v>1.0984136010088161</v>
      </c>
      <c r="D212" s="30">
        <f t="shared" ref="D212:D263" si="8">B212/C212</f>
        <v>17715.549026458037</v>
      </c>
      <c r="E212" s="30">
        <f t="shared" si="2"/>
        <v>16597.525317697025</v>
      </c>
      <c r="F212" s="30">
        <f t="shared" si="3"/>
        <v>43.663825149156239</v>
      </c>
      <c r="G212" s="30">
        <f t="shared" si="4"/>
        <v>16511.814623381968</v>
      </c>
      <c r="H212" s="30">
        <f t="shared" si="5"/>
        <v>1203.7344030760687</v>
      </c>
      <c r="I212" s="30">
        <f t="shared" ref="I212:I243" si="9">G212*C212</f>
        <v>18136.801759659018</v>
      </c>
      <c r="J212" s="30">
        <f t="shared" si="6"/>
        <v>1322.198240340982</v>
      </c>
    </row>
    <row r="213" spans="1:10" ht="15" customHeight="1" x14ac:dyDescent="0.25">
      <c r="A213" s="27" t="s">
        <v>157</v>
      </c>
      <c r="B213" s="30">
        <f xml:space="preserve"> 18687</f>
        <v>18687</v>
      </c>
      <c r="C213" s="30">
        <v>1.1681866116143564</v>
      </c>
      <c r="D213" s="30">
        <f t="shared" si="8"/>
        <v>15996.588057258938</v>
      </c>
      <c r="E213" s="30">
        <f t="shared" ref="E213:E263" si="10">$B$9*D213+(1-$B$9)*(E212+F212)</f>
        <v>16595.290972568138</v>
      </c>
      <c r="F213" s="30">
        <f t="shared" ref="F213:F263" si="11">$B$10*(E213-E212)+(1-$B$10)*F212</f>
        <v>43.663825149156239</v>
      </c>
      <c r="G213" s="30">
        <f t="shared" ref="G213:G263" si="12">E212+F212</f>
        <v>16641.189142846182</v>
      </c>
      <c r="H213" s="30">
        <f t="shared" ref="H213:H263" si="13">D213-G213</f>
        <v>-644.6010855872446</v>
      </c>
      <c r="I213" s="30">
        <f t="shared" si="9"/>
        <v>19440.014358015098</v>
      </c>
      <c r="J213" s="30">
        <f t="shared" ref="J213:J263" si="14">B213-I213</f>
        <v>-753.01435801509797</v>
      </c>
    </row>
    <row r="214" spans="1:10" ht="15" customHeight="1" x14ac:dyDescent="0.25">
      <c r="A214" s="27" t="s">
        <v>158</v>
      </c>
      <c r="B214" s="30">
        <f xml:space="preserve"> 20459</f>
        <v>20459</v>
      </c>
      <c r="C214" s="30">
        <v>1.229305276209552</v>
      </c>
      <c r="D214" s="30">
        <f t="shared" si="8"/>
        <v>16642.733416945393</v>
      </c>
      <c r="E214" s="30">
        <f t="shared" si="10"/>
        <v>16639.223850489041</v>
      </c>
      <c r="F214" s="30">
        <f t="shared" si="11"/>
        <v>43.663825149156239</v>
      </c>
      <c r="G214" s="30">
        <f t="shared" si="12"/>
        <v>16638.954797717295</v>
      </c>
      <c r="H214" s="30">
        <f t="shared" si="13"/>
        <v>3.7786192280982505</v>
      </c>
      <c r="I214" s="30">
        <f t="shared" si="9"/>
        <v>20454.35492344611</v>
      </c>
      <c r="J214" s="30">
        <f t="shared" si="14"/>
        <v>4.6450765538902488</v>
      </c>
    </row>
    <row r="215" spans="1:10" ht="15" customHeight="1" x14ac:dyDescent="0.25">
      <c r="A215" s="27" t="s">
        <v>159</v>
      </c>
      <c r="B215" s="30">
        <f xml:space="preserve"> 17137</f>
        <v>17137</v>
      </c>
      <c r="C215" s="30">
        <v>1.0076470532738075</v>
      </c>
      <c r="D215" s="30">
        <f t="shared" si="8"/>
        <v>17006.94697049183</v>
      </c>
      <c r="E215" s="30">
        <f t="shared" si="10"/>
        <v>16705.96199094411</v>
      </c>
      <c r="F215" s="30">
        <f t="shared" si="11"/>
        <v>43.663825149156239</v>
      </c>
      <c r="G215" s="30">
        <f t="shared" si="12"/>
        <v>16682.887675638198</v>
      </c>
      <c r="H215" s="30">
        <f t="shared" si="13"/>
        <v>324.05929485363231</v>
      </c>
      <c r="I215" s="30">
        <f t="shared" si="9"/>
        <v>16810.462606454752</v>
      </c>
      <c r="J215" s="30">
        <f t="shared" si="14"/>
        <v>326.53739354524805</v>
      </c>
    </row>
    <row r="216" spans="1:10" ht="15" customHeight="1" x14ac:dyDescent="0.25">
      <c r="A216" s="27" t="s">
        <v>160</v>
      </c>
      <c r="B216" s="30">
        <f xml:space="preserve"> 16594</f>
        <v>16594</v>
      </c>
      <c r="C216" s="30">
        <v>1.0242421211021173</v>
      </c>
      <c r="D216" s="30">
        <f t="shared" si="8"/>
        <v>16201.247398558775</v>
      </c>
      <c r="E216" s="30">
        <f t="shared" si="10"/>
        <v>16710.579083862165</v>
      </c>
      <c r="F216" s="30">
        <f t="shared" si="11"/>
        <v>43.663825149156239</v>
      </c>
      <c r="G216" s="30">
        <f t="shared" si="12"/>
        <v>16749.625816093267</v>
      </c>
      <c r="H216" s="30">
        <f t="shared" si="13"/>
        <v>-548.37841753449175</v>
      </c>
      <c r="I216" s="30">
        <f t="shared" si="9"/>
        <v>17155.67227354215</v>
      </c>
      <c r="J216" s="30">
        <f t="shared" si="14"/>
        <v>-561.67227354214992</v>
      </c>
    </row>
    <row r="217" spans="1:10" ht="15" customHeight="1" x14ac:dyDescent="0.25">
      <c r="A217" s="27" t="s">
        <v>161</v>
      </c>
      <c r="B217" s="30">
        <f xml:space="preserve"> 16274</f>
        <v>16274</v>
      </c>
      <c r="C217" s="30">
        <v>0.94663970878958614</v>
      </c>
      <c r="D217" s="30">
        <f t="shared" si="8"/>
        <v>17191.334621710121</v>
      </c>
      <c r="E217" s="30">
        <f t="shared" si="10"/>
        <v>16785.36558364705</v>
      </c>
      <c r="F217" s="30">
        <f t="shared" si="11"/>
        <v>43.663825149156239</v>
      </c>
      <c r="G217" s="30">
        <f t="shared" si="12"/>
        <v>16754.242909011322</v>
      </c>
      <c r="H217" s="30">
        <f t="shared" si="13"/>
        <v>437.0917126987988</v>
      </c>
      <c r="I217" s="30">
        <f t="shared" si="9"/>
        <v>15860.231628376467</v>
      </c>
      <c r="J217" s="30">
        <f t="shared" si="14"/>
        <v>413.76837162353331</v>
      </c>
    </row>
    <row r="218" spans="1:10" ht="15" customHeight="1" x14ac:dyDescent="0.25">
      <c r="A218" s="27" t="s">
        <v>162</v>
      </c>
      <c r="B218" s="30">
        <f xml:space="preserve"> 15103</f>
        <v>15103</v>
      </c>
      <c r="C218" s="30">
        <v>0.9050536648720291</v>
      </c>
      <c r="D218" s="30">
        <f t="shared" si="8"/>
        <v>16687.408256763982</v>
      </c>
      <c r="E218" s="30">
        <f t="shared" si="10"/>
        <v>16818.94541747772</v>
      </c>
      <c r="F218" s="30">
        <f t="shared" si="11"/>
        <v>43.663825149156239</v>
      </c>
      <c r="G218" s="30">
        <f t="shared" si="12"/>
        <v>16829.029408796207</v>
      </c>
      <c r="H218" s="30">
        <f t="shared" si="13"/>
        <v>-141.62115203222493</v>
      </c>
      <c r="I218" s="30">
        <f t="shared" si="9"/>
        <v>15231.174742670164</v>
      </c>
      <c r="J218" s="30">
        <f t="shared" si="14"/>
        <v>-128.17474267016405</v>
      </c>
    </row>
    <row r="219" spans="1:10" ht="15" customHeight="1" x14ac:dyDescent="0.25">
      <c r="A219" s="27" t="s">
        <v>163</v>
      </c>
      <c r="B219" s="30">
        <f xml:space="preserve"> 15413</f>
        <v>15413</v>
      </c>
      <c r="C219" s="30">
        <v>0.90657052885571165</v>
      </c>
      <c r="D219" s="30">
        <f t="shared" si="8"/>
        <v>17001.435089065319</v>
      </c>
      <c r="E219" s="30">
        <f t="shared" si="10"/>
        <v>16872.494197029366</v>
      </c>
      <c r="F219" s="30">
        <f t="shared" si="11"/>
        <v>43.663825149156239</v>
      </c>
      <c r="G219" s="30">
        <f t="shared" si="12"/>
        <v>16862.609242626877</v>
      </c>
      <c r="H219" s="30">
        <f t="shared" si="13"/>
        <v>138.82584643844166</v>
      </c>
      <c r="I219" s="30">
        <f t="shared" si="9"/>
        <v>15287.14457897546</v>
      </c>
      <c r="J219" s="30">
        <f t="shared" si="14"/>
        <v>125.85542102454019</v>
      </c>
    </row>
    <row r="220" spans="1:10" ht="15" customHeight="1" x14ac:dyDescent="0.25">
      <c r="A220" s="27" t="s">
        <v>164</v>
      </c>
      <c r="B220" s="30">
        <f xml:space="preserve"> 14860</f>
        <v>14860</v>
      </c>
      <c r="C220" s="30">
        <v>0.90805598066695403</v>
      </c>
      <c r="D220" s="30">
        <f t="shared" si="8"/>
        <v>16364.629842628803</v>
      </c>
      <c r="E220" s="30">
        <f t="shared" si="10"/>
        <v>16876.887014319374</v>
      </c>
      <c r="F220" s="30">
        <f t="shared" si="11"/>
        <v>43.663825149156239</v>
      </c>
      <c r="G220" s="30">
        <f t="shared" si="12"/>
        <v>16916.158022178523</v>
      </c>
      <c r="H220" s="30">
        <f t="shared" si="13"/>
        <v>-551.52817954971943</v>
      </c>
      <c r="I220" s="30">
        <f t="shared" si="9"/>
        <v>15360.818461946479</v>
      </c>
      <c r="J220" s="30">
        <f t="shared" si="14"/>
        <v>-500.81846194647915</v>
      </c>
    </row>
    <row r="221" spans="1:10" ht="15" customHeight="1" x14ac:dyDescent="0.25">
      <c r="A221" s="27" t="s">
        <v>165</v>
      </c>
      <c r="B221" s="30">
        <f xml:space="preserve"> 14334</f>
        <v>14334</v>
      </c>
      <c r="C221" s="30">
        <v>0.88554664064815469</v>
      </c>
      <c r="D221" s="30">
        <f t="shared" si="8"/>
        <v>16186.612135424704</v>
      </c>
      <c r="E221" s="30">
        <f t="shared" si="10"/>
        <v>16868.2914741571</v>
      </c>
      <c r="F221" s="30">
        <f t="shared" si="11"/>
        <v>43.663825149156239</v>
      </c>
      <c r="G221" s="30">
        <f t="shared" si="12"/>
        <v>16920.550839468531</v>
      </c>
      <c r="H221" s="30">
        <f t="shared" si="13"/>
        <v>-733.93870404382687</v>
      </c>
      <c r="I221" s="30">
        <f t="shared" si="9"/>
        <v>14983.936953807672</v>
      </c>
      <c r="J221" s="30">
        <f t="shared" si="14"/>
        <v>-649.93695380767167</v>
      </c>
    </row>
    <row r="222" spans="1:10" ht="15" customHeight="1" x14ac:dyDescent="0.25">
      <c r="A222" s="27" t="s">
        <v>166</v>
      </c>
      <c r="B222" s="30">
        <f xml:space="preserve"> 14398</f>
        <v>14398</v>
      </c>
      <c r="C222" s="30">
        <v>0.91566790449517033</v>
      </c>
      <c r="D222" s="30">
        <f t="shared" si="8"/>
        <v>15724.041357480977</v>
      </c>
      <c r="E222" s="30">
        <f t="shared" si="10"/>
        <v>16827.371084981074</v>
      </c>
      <c r="F222" s="30">
        <f t="shared" si="11"/>
        <v>43.663825149156239</v>
      </c>
      <c r="G222" s="30">
        <f t="shared" si="12"/>
        <v>16911.955299306257</v>
      </c>
      <c r="H222" s="30">
        <f t="shared" si="13"/>
        <v>-1187.9139418252798</v>
      </c>
      <c r="I222" s="30">
        <f t="shared" si="9"/>
        <v>15485.734669831752</v>
      </c>
      <c r="J222" s="30">
        <f t="shared" si="14"/>
        <v>-1087.7346698317524</v>
      </c>
    </row>
    <row r="223" spans="1:10" ht="15" customHeight="1" x14ac:dyDescent="0.25">
      <c r="A223" s="27" t="s">
        <v>167</v>
      </c>
      <c r="B223" s="30">
        <f xml:space="preserve"> 16939</f>
        <v>16939</v>
      </c>
      <c r="C223" s="30">
        <v>1.0046707510607737</v>
      </c>
      <c r="D223" s="30">
        <f t="shared" si="8"/>
        <v>16860.249969569722</v>
      </c>
      <c r="E223" s="30">
        <f t="shared" si="10"/>
        <v>16870.266979313245</v>
      </c>
      <c r="F223" s="30">
        <f t="shared" si="11"/>
        <v>43.663825149156239</v>
      </c>
      <c r="G223" s="30">
        <f t="shared" si="12"/>
        <v>16871.034910130231</v>
      </c>
      <c r="H223" s="30">
        <f t="shared" si="13"/>
        <v>-10.784940560508403</v>
      </c>
      <c r="I223" s="30">
        <f t="shared" si="9"/>
        <v>16949.835314333071</v>
      </c>
      <c r="J223" s="30">
        <f t="shared" si="14"/>
        <v>-10.835314333071437</v>
      </c>
    </row>
    <row r="224" spans="1:10" ht="15" customHeight="1" x14ac:dyDescent="0.25">
      <c r="A224" s="27" t="s">
        <v>168</v>
      </c>
      <c r="B224" s="30">
        <f xml:space="preserve"> 19489</f>
        <v>19489</v>
      </c>
      <c r="C224" s="30">
        <v>1.0984136010088161</v>
      </c>
      <c r="D224" s="30">
        <f t="shared" si="8"/>
        <v>17742.861142743241</v>
      </c>
      <c r="E224" s="30">
        <f t="shared" si="10"/>
        <v>16972.953953299311</v>
      </c>
      <c r="F224" s="30">
        <f t="shared" si="11"/>
        <v>43.663825149156239</v>
      </c>
      <c r="G224" s="30">
        <f t="shared" si="12"/>
        <v>16913.930804462401</v>
      </c>
      <c r="H224" s="30">
        <f t="shared" si="13"/>
        <v>828.93033828083935</v>
      </c>
      <c r="I224" s="30">
        <f t="shared" si="9"/>
        <v>18578.49164214349</v>
      </c>
      <c r="J224" s="30">
        <f t="shared" si="14"/>
        <v>910.50835785650997</v>
      </c>
    </row>
    <row r="225" spans="1:10" ht="15" customHeight="1" x14ac:dyDescent="0.25">
      <c r="A225" s="27" t="s">
        <v>169</v>
      </c>
      <c r="B225" s="30">
        <f xml:space="preserve"> 20016</f>
        <v>20016</v>
      </c>
      <c r="C225" s="30">
        <v>1.1681866116143564</v>
      </c>
      <c r="D225" s="30">
        <f t="shared" si="8"/>
        <v>17134.248758714341</v>
      </c>
      <c r="E225" s="30">
        <f t="shared" si="10"/>
        <v>17024.993573778222</v>
      </c>
      <c r="F225" s="30">
        <f t="shared" si="11"/>
        <v>43.663825149156239</v>
      </c>
      <c r="G225" s="30">
        <f t="shared" si="12"/>
        <v>17016.617778448468</v>
      </c>
      <c r="H225" s="30">
        <f t="shared" si="13"/>
        <v>117.63098026587249</v>
      </c>
      <c r="I225" s="30">
        <f t="shared" si="9"/>
        <v>19878.585063742332</v>
      </c>
      <c r="J225" s="30">
        <f t="shared" si="14"/>
        <v>137.41493625766816</v>
      </c>
    </row>
    <row r="226" spans="1:10" ht="15" customHeight="1" x14ac:dyDescent="0.25">
      <c r="A226" s="27" t="s">
        <v>170</v>
      </c>
      <c r="B226" s="30">
        <f xml:space="preserve"> 22099</f>
        <v>22099</v>
      </c>
      <c r="C226" s="30">
        <v>1.229305276209552</v>
      </c>
      <c r="D226" s="30">
        <f t="shared" si="8"/>
        <v>17976.820263995127</v>
      </c>
      <c r="E226" s="30">
        <f t="shared" si="10"/>
        <v>17133.322219935399</v>
      </c>
      <c r="F226" s="30">
        <f t="shared" si="11"/>
        <v>43.663825149156239</v>
      </c>
      <c r="G226" s="30">
        <f t="shared" si="12"/>
        <v>17068.657398927378</v>
      </c>
      <c r="H226" s="30">
        <f t="shared" si="13"/>
        <v>908.1628650677485</v>
      </c>
      <c r="I226" s="30">
        <f t="shared" si="9"/>
        <v>20982.590598314633</v>
      </c>
      <c r="J226" s="30">
        <f t="shared" si="14"/>
        <v>1116.4094016853669</v>
      </c>
    </row>
    <row r="227" spans="1:10" ht="15" customHeight="1" x14ac:dyDescent="0.25">
      <c r="A227" s="27" t="s">
        <v>171</v>
      </c>
      <c r="B227" s="30">
        <f xml:space="preserve"> 16689</f>
        <v>16689</v>
      </c>
      <c r="C227" s="30">
        <v>1.0076470532738075</v>
      </c>
      <c r="D227" s="30">
        <f t="shared" si="8"/>
        <v>16562.346851288916</v>
      </c>
      <c r="E227" s="30">
        <f t="shared" si="10"/>
        <v>17133.221281097707</v>
      </c>
      <c r="F227" s="30">
        <f t="shared" si="11"/>
        <v>43.663825149156239</v>
      </c>
      <c r="G227" s="30">
        <f t="shared" si="12"/>
        <v>17176.986045084555</v>
      </c>
      <c r="H227" s="30">
        <f t="shared" si="13"/>
        <v>-614.63919379563959</v>
      </c>
      <c r="I227" s="30">
        <f t="shared" si="9"/>
        <v>17308.339372454764</v>
      </c>
      <c r="J227" s="30">
        <f t="shared" si="14"/>
        <v>-619.33937245476409</v>
      </c>
    </row>
    <row r="228" spans="1:10" ht="15" customHeight="1" x14ac:dyDescent="0.25">
      <c r="A228" s="27" t="s">
        <v>172</v>
      </c>
      <c r="B228" s="30">
        <f xml:space="preserve"> 16804</f>
        <v>16804</v>
      </c>
      <c r="C228" s="30">
        <v>1.0242421211021173</v>
      </c>
      <c r="D228" s="30">
        <f t="shared" si="8"/>
        <v>16406.277045039271</v>
      </c>
      <c r="E228" s="30">
        <f t="shared" si="10"/>
        <v>17122.014736336278</v>
      </c>
      <c r="F228" s="30">
        <f t="shared" si="11"/>
        <v>43.663825149156239</v>
      </c>
      <c r="G228" s="30">
        <f t="shared" si="12"/>
        <v>17176.885106246864</v>
      </c>
      <c r="H228" s="30">
        <f t="shared" si="13"/>
        <v>-770.60806120759298</v>
      </c>
      <c r="I228" s="30">
        <f t="shared" si="9"/>
        <v>17593.289235149656</v>
      </c>
      <c r="J228" s="30">
        <f t="shared" si="14"/>
        <v>-789.28923514965572</v>
      </c>
    </row>
    <row r="229" spans="1:10" ht="15" customHeight="1" x14ac:dyDescent="0.25">
      <c r="A229" s="27" t="s">
        <v>173</v>
      </c>
      <c r="B229" s="30">
        <f xml:space="preserve"> 16543</f>
        <v>16543</v>
      </c>
      <c r="C229" s="30">
        <v>0.94663970878958614</v>
      </c>
      <c r="D229" s="30">
        <f t="shared" si="8"/>
        <v>17475.497643293016</v>
      </c>
      <c r="E229" s="30">
        <f t="shared" si="10"/>
        <v>17187.738916781356</v>
      </c>
      <c r="F229" s="30">
        <f t="shared" si="11"/>
        <v>43.663825149156239</v>
      </c>
      <c r="G229" s="30">
        <f t="shared" si="12"/>
        <v>17165.678561485434</v>
      </c>
      <c r="H229" s="30">
        <f t="shared" si="13"/>
        <v>309.81908180758182</v>
      </c>
      <c r="I229" s="30">
        <f t="shared" si="9"/>
        <v>16249.712954620214</v>
      </c>
      <c r="J229" s="30">
        <f t="shared" si="14"/>
        <v>293.28704537978592</v>
      </c>
    </row>
    <row r="230" spans="1:10" ht="15" customHeight="1" x14ac:dyDescent="0.25">
      <c r="A230" s="27" t="s">
        <v>174</v>
      </c>
      <c r="B230" s="30">
        <f xml:space="preserve"> 16045</f>
        <v>16045</v>
      </c>
      <c r="C230" s="30">
        <v>0.9050536648720291</v>
      </c>
      <c r="D230" s="30">
        <f t="shared" si="8"/>
        <v>17728.230515776871</v>
      </c>
      <c r="E230" s="30">
        <f t="shared" si="10"/>
        <v>17266.778862561907</v>
      </c>
      <c r="F230" s="30">
        <f t="shared" si="11"/>
        <v>43.663825149156239</v>
      </c>
      <c r="G230" s="30">
        <f t="shared" si="12"/>
        <v>17231.402741930513</v>
      </c>
      <c r="H230" s="30">
        <f t="shared" si="13"/>
        <v>496.82777384635847</v>
      </c>
      <c r="I230" s="30">
        <f t="shared" si="9"/>
        <v>15595.344202470142</v>
      </c>
      <c r="J230" s="30">
        <f t="shared" si="14"/>
        <v>449.65579752985832</v>
      </c>
    </row>
    <row r="231" spans="1:10" ht="15" customHeight="1" x14ac:dyDescent="0.25">
      <c r="A231" s="27" t="s">
        <v>175</v>
      </c>
      <c r="B231" s="30">
        <f xml:space="preserve"> 16896</f>
        <v>16896</v>
      </c>
      <c r="C231" s="30">
        <v>0.90657052885571165</v>
      </c>
      <c r="D231" s="30">
        <f t="shared" si="8"/>
        <v>18637.270308495921</v>
      </c>
      <c r="E231" s="30">
        <f t="shared" si="10"/>
        <v>17404.918110464831</v>
      </c>
      <c r="F231" s="30">
        <f t="shared" si="11"/>
        <v>43.663825149156239</v>
      </c>
      <c r="G231" s="30">
        <f t="shared" si="12"/>
        <v>17310.442687711064</v>
      </c>
      <c r="H231" s="30">
        <f t="shared" si="13"/>
        <v>1326.8276207848576</v>
      </c>
      <c r="I231" s="30">
        <f t="shared" si="9"/>
        <v>15693.137182124705</v>
      </c>
      <c r="J231" s="30">
        <f t="shared" si="14"/>
        <v>1202.8628178752951</v>
      </c>
    </row>
    <row r="232" spans="1:10" ht="15" customHeight="1" x14ac:dyDescent="0.25">
      <c r="A232" s="27" t="s">
        <v>176</v>
      </c>
      <c r="B232" s="30">
        <f xml:space="preserve"> 16546</f>
        <v>16546</v>
      </c>
      <c r="C232" s="30">
        <v>0.90805598066695403</v>
      </c>
      <c r="D232" s="30">
        <f t="shared" si="8"/>
        <v>18221.343565015894</v>
      </c>
      <c r="E232" s="30">
        <f t="shared" si="10"/>
        <v>17503.605648176173</v>
      </c>
      <c r="F232" s="30">
        <f t="shared" si="11"/>
        <v>43.663825149156239</v>
      </c>
      <c r="G232" s="30">
        <f t="shared" si="12"/>
        <v>17448.581935613987</v>
      </c>
      <c r="H232" s="30">
        <f t="shared" si="13"/>
        <v>772.76162940190625</v>
      </c>
      <c r="I232" s="30">
        <f t="shared" si="9"/>
        <v>15844.289180791659</v>
      </c>
      <c r="J232" s="30">
        <f t="shared" si="14"/>
        <v>701.71081920834149</v>
      </c>
    </row>
    <row r="233" spans="1:10" ht="15" customHeight="1" x14ac:dyDescent="0.25">
      <c r="A233" s="27" t="s">
        <v>177</v>
      </c>
      <c r="B233" s="30">
        <f xml:space="preserve"> 15039</f>
        <v>15039</v>
      </c>
      <c r="C233" s="30">
        <v>0.88554664064815469</v>
      </c>
      <c r="D233" s="30">
        <f t="shared" si="8"/>
        <v>16982.730564019264</v>
      </c>
      <c r="E233" s="30">
        <f t="shared" si="10"/>
        <v>17507.07204957401</v>
      </c>
      <c r="F233" s="30">
        <f t="shared" si="11"/>
        <v>43.663825149156239</v>
      </c>
      <c r="G233" s="30">
        <f t="shared" si="12"/>
        <v>17547.26947332533</v>
      </c>
      <c r="H233" s="30">
        <f t="shared" si="13"/>
        <v>-564.53890930606576</v>
      </c>
      <c r="I233" s="30">
        <f t="shared" si="9"/>
        <v>15538.92553465116</v>
      </c>
      <c r="J233" s="30">
        <f t="shared" si="14"/>
        <v>-499.92553465115998</v>
      </c>
    </row>
    <row r="234" spans="1:10" ht="15" customHeight="1" x14ac:dyDescent="0.25">
      <c r="A234" s="27" t="s">
        <v>178</v>
      </c>
      <c r="B234" s="30">
        <f xml:space="preserve"> 16872</f>
        <v>16872</v>
      </c>
      <c r="C234" s="30">
        <v>0.91566790449517033</v>
      </c>
      <c r="D234" s="30">
        <f t="shared" si="8"/>
        <v>18425.894275831299</v>
      </c>
      <c r="E234" s="30">
        <f t="shared" si="10"/>
        <v>17613.050646156924</v>
      </c>
      <c r="F234" s="30">
        <f t="shared" si="11"/>
        <v>43.663825149156239</v>
      </c>
      <c r="G234" s="30">
        <f t="shared" si="12"/>
        <v>17550.735874723166</v>
      </c>
      <c r="H234" s="30">
        <f t="shared" si="13"/>
        <v>875.15840110813224</v>
      </c>
      <c r="I234" s="30">
        <f t="shared" si="9"/>
        <v>16070.645540755972</v>
      </c>
      <c r="J234" s="30">
        <f t="shared" si="14"/>
        <v>801.35445924402848</v>
      </c>
    </row>
    <row r="235" spans="1:10" ht="15" customHeight="1" x14ac:dyDescent="0.25">
      <c r="A235" s="27" t="s">
        <v>179</v>
      </c>
      <c r="B235" s="30">
        <f xml:space="preserve"> 17068</f>
        <v>17068</v>
      </c>
      <c r="C235" s="30">
        <v>1.0046707510607737</v>
      </c>
      <c r="D235" s="30">
        <f t="shared" si="8"/>
        <v>16988.650243852411</v>
      </c>
      <c r="E235" s="30">
        <f t="shared" si="10"/>
        <v>17609.145631671869</v>
      </c>
      <c r="F235" s="30">
        <f t="shared" si="11"/>
        <v>43.663825149156239</v>
      </c>
      <c r="G235" s="30">
        <f t="shared" si="12"/>
        <v>17656.714471306081</v>
      </c>
      <c r="H235" s="30">
        <f t="shared" si="13"/>
        <v>-668.06422745366945</v>
      </c>
      <c r="I235" s="30">
        <f t="shared" si="9"/>
        <v>17739.184589152712</v>
      </c>
      <c r="J235" s="30">
        <f t="shared" si="14"/>
        <v>-671.18458915271185</v>
      </c>
    </row>
    <row r="236" spans="1:10" ht="15" customHeight="1" x14ac:dyDescent="0.25">
      <c r="A236" s="27" t="s">
        <v>180</v>
      </c>
      <c r="B236" s="30">
        <f xml:space="preserve"> 17368</f>
        <v>17368</v>
      </c>
      <c r="C236" s="30">
        <v>1.0984136010088161</v>
      </c>
      <c r="D236" s="30">
        <f t="shared" si="8"/>
        <v>15811.894521379474</v>
      </c>
      <c r="E236" s="30">
        <f t="shared" si="10"/>
        <v>17521.728965237133</v>
      </c>
      <c r="F236" s="30">
        <f t="shared" si="11"/>
        <v>43.663825149156239</v>
      </c>
      <c r="G236" s="30">
        <f t="shared" si="12"/>
        <v>17652.809456821025</v>
      </c>
      <c r="H236" s="30">
        <f t="shared" si="13"/>
        <v>-1840.9149354415513</v>
      </c>
      <c r="I236" s="30">
        <f t="shared" si="9"/>
        <v>19390.086003389268</v>
      </c>
      <c r="J236" s="30">
        <f t="shared" si="14"/>
        <v>-2022.0860033892677</v>
      </c>
    </row>
    <row r="237" spans="1:10" ht="15" customHeight="1" x14ac:dyDescent="0.25">
      <c r="A237" s="27" t="s">
        <v>181</v>
      </c>
      <c r="B237" s="30">
        <f xml:space="preserve"> 20287</f>
        <v>20287</v>
      </c>
      <c r="C237" s="30">
        <v>1.1681866116143564</v>
      </c>
      <c r="D237" s="30">
        <f t="shared" si="8"/>
        <v>17366.232242607806</v>
      </c>
      <c r="E237" s="30">
        <f t="shared" si="10"/>
        <v>17551.211764416905</v>
      </c>
      <c r="F237" s="30">
        <f t="shared" si="11"/>
        <v>43.663825149156239</v>
      </c>
      <c r="G237" s="30">
        <f t="shared" si="12"/>
        <v>17565.39279038629</v>
      </c>
      <c r="H237" s="30">
        <f t="shared" si="13"/>
        <v>-199.16054777848331</v>
      </c>
      <c r="I237" s="30">
        <f t="shared" si="9"/>
        <v>20519.656685476606</v>
      </c>
      <c r="J237" s="30">
        <f t="shared" si="14"/>
        <v>-232.65668547660607</v>
      </c>
    </row>
    <row r="238" spans="1:10" ht="15" customHeight="1" x14ac:dyDescent="0.25">
      <c r="A238" s="27" t="s">
        <v>182</v>
      </c>
      <c r="B238" s="30">
        <f xml:space="preserve"> 22133</f>
        <v>22133</v>
      </c>
      <c r="C238" s="30">
        <v>1.229305276209552</v>
      </c>
      <c r="D238" s="30">
        <f t="shared" si="8"/>
        <v>18004.478162043717</v>
      </c>
      <c r="E238" s="30">
        <f t="shared" si="10"/>
        <v>17624.040927692626</v>
      </c>
      <c r="F238" s="30">
        <f t="shared" si="11"/>
        <v>43.663825149156239</v>
      </c>
      <c r="G238" s="30">
        <f t="shared" si="12"/>
        <v>17594.875589566062</v>
      </c>
      <c r="H238" s="30">
        <f t="shared" si="13"/>
        <v>409.60257247765549</v>
      </c>
      <c r="I238" s="30">
        <f t="shared" si="9"/>
        <v>21629.473396504211</v>
      </c>
      <c r="J238" s="30">
        <f t="shared" si="14"/>
        <v>503.52660349578946</v>
      </c>
    </row>
    <row r="239" spans="1:10" ht="15" customHeight="1" x14ac:dyDescent="0.25">
      <c r="A239" s="27" t="s">
        <v>183</v>
      </c>
      <c r="B239" s="30">
        <f xml:space="preserve"> 18534</f>
        <v>18534</v>
      </c>
      <c r="C239" s="30">
        <v>1.0076470532738075</v>
      </c>
      <c r="D239" s="30">
        <f t="shared" si="8"/>
        <v>18393.345110059843</v>
      </c>
      <c r="E239" s="30">
        <f t="shared" si="10"/>
        <v>17719.373242735608</v>
      </c>
      <c r="F239" s="30">
        <f t="shared" si="11"/>
        <v>43.663825149156239</v>
      </c>
      <c r="G239" s="30">
        <f t="shared" si="12"/>
        <v>17667.704752841782</v>
      </c>
      <c r="H239" s="30">
        <f t="shared" si="13"/>
        <v>725.64035721806067</v>
      </c>
      <c r="I239" s="30">
        <f t="shared" si="9"/>
        <v>17802.810632312667</v>
      </c>
      <c r="J239" s="30">
        <f t="shared" si="14"/>
        <v>731.18936768733329</v>
      </c>
    </row>
    <row r="240" spans="1:10" ht="15" customHeight="1" x14ac:dyDescent="0.25">
      <c r="A240" s="27" t="s">
        <v>184</v>
      </c>
      <c r="B240" s="30">
        <f xml:space="preserve"> 18978</f>
        <v>18978</v>
      </c>
      <c r="C240" s="30">
        <v>1.0242421211021173</v>
      </c>
      <c r="D240" s="30">
        <f t="shared" si="8"/>
        <v>18528.822051937354</v>
      </c>
      <c r="E240" s="30">
        <f t="shared" si="10"/>
        <v>17817.564015450163</v>
      </c>
      <c r="F240" s="30">
        <f t="shared" si="11"/>
        <v>43.663825149156239</v>
      </c>
      <c r="G240" s="30">
        <f t="shared" si="12"/>
        <v>17763.037067884765</v>
      </c>
      <c r="H240" s="30">
        <f t="shared" si="13"/>
        <v>765.7849840525887</v>
      </c>
      <c r="I240" s="30">
        <f t="shared" si="9"/>
        <v>18193.650763625825</v>
      </c>
      <c r="J240" s="30">
        <f t="shared" si="14"/>
        <v>784.34923637417523</v>
      </c>
    </row>
    <row r="241" spans="1:10" ht="15" customHeight="1" x14ac:dyDescent="0.25">
      <c r="A241" s="27" t="s">
        <v>185</v>
      </c>
      <c r="B241" s="30">
        <f xml:space="preserve"> 15800</f>
        <v>15800</v>
      </c>
      <c r="C241" s="30">
        <v>0.94663970878958614</v>
      </c>
      <c r="D241" s="30">
        <f t="shared" si="8"/>
        <v>16690.616137582641</v>
      </c>
      <c r="E241" s="30">
        <f t="shared" si="10"/>
        <v>17777.87561474078</v>
      </c>
      <c r="F241" s="30">
        <f t="shared" si="11"/>
        <v>43.663825149156239</v>
      </c>
      <c r="G241" s="30">
        <f t="shared" si="12"/>
        <v>17861.22784059932</v>
      </c>
      <c r="H241" s="30">
        <f t="shared" si="13"/>
        <v>-1170.6117030166788</v>
      </c>
      <c r="I241" s="30">
        <f t="shared" si="9"/>
        <v>16908.147521649389</v>
      </c>
      <c r="J241" s="30">
        <f t="shared" si="14"/>
        <v>-1108.1475216493891</v>
      </c>
    </row>
    <row r="242" spans="1:10" ht="15" customHeight="1" x14ac:dyDescent="0.25">
      <c r="A242" s="27" t="s">
        <v>186</v>
      </c>
      <c r="B242" s="30">
        <f xml:space="preserve"> 16379</f>
        <v>16379</v>
      </c>
      <c r="C242" s="30">
        <v>0.9050536648720291</v>
      </c>
      <c r="D242" s="30">
        <f t="shared" si="8"/>
        <v>18097.269405915198</v>
      </c>
      <c r="E242" s="30">
        <f t="shared" si="10"/>
        <v>17841.172514072332</v>
      </c>
      <c r="F242" s="30">
        <f t="shared" si="11"/>
        <v>43.663825149156239</v>
      </c>
      <c r="G242" s="30">
        <f t="shared" si="12"/>
        <v>17821.539439889937</v>
      </c>
      <c r="H242" s="30">
        <f t="shared" si="13"/>
        <v>275.72996602526109</v>
      </c>
      <c r="I242" s="30">
        <f t="shared" si="9"/>
        <v>16129.449583733796</v>
      </c>
      <c r="J242" s="30">
        <f t="shared" si="14"/>
        <v>249.55041626620368</v>
      </c>
    </row>
    <row r="243" spans="1:10" ht="15" customHeight="1" x14ac:dyDescent="0.25">
      <c r="A243" s="27" t="s">
        <v>187</v>
      </c>
      <c r="B243" s="30">
        <f xml:space="preserve"> 15686</f>
        <v>15686</v>
      </c>
      <c r="C243" s="30">
        <v>0.90657052885571165</v>
      </c>
      <c r="D243" s="30">
        <f t="shared" si="8"/>
        <v>17302.56996088228</v>
      </c>
      <c r="E243" s="30">
        <f t="shared" si="10"/>
        <v>17843.376648914196</v>
      </c>
      <c r="F243" s="30">
        <f t="shared" si="11"/>
        <v>43.663825149156239</v>
      </c>
      <c r="G243" s="30">
        <f t="shared" si="12"/>
        <v>17884.836339221489</v>
      </c>
      <c r="H243" s="30">
        <f t="shared" si="13"/>
        <v>-582.26637833920904</v>
      </c>
      <c r="I243" s="30">
        <f t="shared" si="9"/>
        <v>16213.865538545875</v>
      </c>
      <c r="J243" s="30">
        <f t="shared" si="14"/>
        <v>-527.8655385458751</v>
      </c>
    </row>
    <row r="244" spans="1:10" ht="15" customHeight="1" x14ac:dyDescent="0.25">
      <c r="A244" s="27" t="s">
        <v>188</v>
      </c>
      <c r="B244" s="30">
        <f xml:space="preserve"> 17447</f>
        <v>17447</v>
      </c>
      <c r="C244" s="30">
        <v>0.90805598066695403</v>
      </c>
      <c r="D244" s="30">
        <f t="shared" si="8"/>
        <v>19213.57314026546</v>
      </c>
      <c r="E244" s="30">
        <f t="shared" si="10"/>
        <v>17981.494894873489</v>
      </c>
      <c r="F244" s="30">
        <f t="shared" si="11"/>
        <v>43.663825149156239</v>
      </c>
      <c r="G244" s="30">
        <f t="shared" si="12"/>
        <v>17887.040474063353</v>
      </c>
      <c r="H244" s="30">
        <f t="shared" si="13"/>
        <v>1326.5326662021071</v>
      </c>
      <c r="I244" s="30">
        <f t="shared" ref="I244:I271" si="15">G244*C244</f>
        <v>16242.434078905097</v>
      </c>
      <c r="J244" s="30">
        <f t="shared" si="14"/>
        <v>1204.5659210949034</v>
      </c>
    </row>
    <row r="245" spans="1:10" ht="15" customHeight="1" x14ac:dyDescent="0.25">
      <c r="A245" s="27" t="s">
        <v>189</v>
      </c>
      <c r="B245" s="30">
        <f xml:space="preserve"> 15853</f>
        <v>15853</v>
      </c>
      <c r="C245" s="30">
        <v>0.88554664064815469</v>
      </c>
      <c r="D245" s="30">
        <f t="shared" si="8"/>
        <v>17901.936806396527</v>
      </c>
      <c r="E245" s="30">
        <f t="shared" si="10"/>
        <v>18016.38482792092</v>
      </c>
      <c r="F245" s="30">
        <f t="shared" si="11"/>
        <v>43.663825149156239</v>
      </c>
      <c r="G245" s="30">
        <f t="shared" si="12"/>
        <v>18025.158720022646</v>
      </c>
      <c r="H245" s="30">
        <f t="shared" si="13"/>
        <v>-123.2219136261192</v>
      </c>
      <c r="I245" s="30">
        <f t="shared" si="15"/>
        <v>15962.118751665847</v>
      </c>
      <c r="J245" s="30">
        <f t="shared" si="14"/>
        <v>-109.1187516658465</v>
      </c>
    </row>
    <row r="246" spans="1:10" ht="15" customHeight="1" x14ac:dyDescent="0.25">
      <c r="A246" s="27" t="s">
        <v>190</v>
      </c>
      <c r="B246" s="30">
        <f xml:space="preserve"> 16267</f>
        <v>16267</v>
      </c>
      <c r="C246" s="30">
        <v>0.91566790449517033</v>
      </c>
      <c r="D246" s="30">
        <f t="shared" si="8"/>
        <v>17765.174382701978</v>
      </c>
      <c r="E246" s="30">
        <f t="shared" si="10"/>
        <v>18039.052428002229</v>
      </c>
      <c r="F246" s="30">
        <f t="shared" si="11"/>
        <v>43.663825149156239</v>
      </c>
      <c r="G246" s="30">
        <f t="shared" si="12"/>
        <v>18060.048653070076</v>
      </c>
      <c r="H246" s="30">
        <f t="shared" si="13"/>
        <v>-294.87427036809822</v>
      </c>
      <c r="I246" s="30">
        <f t="shared" si="15"/>
        <v>16537.0069052375</v>
      </c>
      <c r="J246" s="30">
        <f t="shared" si="14"/>
        <v>-270.00690523750018</v>
      </c>
    </row>
    <row r="247" spans="1:10" ht="15" customHeight="1" x14ac:dyDescent="0.25">
      <c r="A247" s="27" t="s">
        <v>191</v>
      </c>
      <c r="B247" s="30">
        <f xml:space="preserve"> 18437</f>
        <v>18437</v>
      </c>
      <c r="C247" s="30">
        <v>1.0046707510607737</v>
      </c>
      <c r="D247" s="30">
        <f t="shared" si="8"/>
        <v>18351.285712790421</v>
      </c>
      <c r="E247" s="30">
        <f t="shared" si="10"/>
        <v>18101.839470697265</v>
      </c>
      <c r="F247" s="30">
        <f t="shared" si="11"/>
        <v>43.663825149156239</v>
      </c>
      <c r="G247" s="30">
        <f t="shared" si="12"/>
        <v>18082.716253151386</v>
      </c>
      <c r="H247" s="30">
        <f t="shared" si="13"/>
        <v>268.5694596390349</v>
      </c>
      <c r="I247" s="30">
        <f t="shared" si="15"/>
        <v>18167.176119272463</v>
      </c>
      <c r="J247" s="30">
        <f t="shared" si="14"/>
        <v>269.82388072753747</v>
      </c>
    </row>
    <row r="248" spans="1:10" ht="15" customHeight="1" x14ac:dyDescent="0.25">
      <c r="A248" s="27" t="s">
        <v>192</v>
      </c>
      <c r="B248" s="30">
        <f xml:space="preserve"> 19665</f>
        <v>19665</v>
      </c>
      <c r="C248" s="30">
        <v>1.0984136010088161</v>
      </c>
      <c r="D248" s="30">
        <f t="shared" si="8"/>
        <v>17903.092224949756</v>
      </c>
      <c r="E248" s="30">
        <f t="shared" si="10"/>
        <v>18128.2426599926</v>
      </c>
      <c r="F248" s="30">
        <f t="shared" si="11"/>
        <v>43.663825149156239</v>
      </c>
      <c r="G248" s="30">
        <f t="shared" si="12"/>
        <v>18145.503295846422</v>
      </c>
      <c r="H248" s="30">
        <f t="shared" si="13"/>
        <v>-242.41107089666548</v>
      </c>
      <c r="I248" s="30">
        <f t="shared" si="15"/>
        <v>19931.267617308011</v>
      </c>
      <c r="J248" s="30">
        <f t="shared" si="14"/>
        <v>-266.26761730801081</v>
      </c>
    </row>
    <row r="249" spans="1:10" ht="15" customHeight="1" x14ac:dyDescent="0.25">
      <c r="A249" s="27" t="s">
        <v>193</v>
      </c>
      <c r="B249" s="30">
        <f xml:space="preserve"> 22022</f>
        <v>22022</v>
      </c>
      <c r="C249" s="30">
        <v>1.1681866116143564</v>
      </c>
      <c r="D249" s="30">
        <f t="shared" si="8"/>
        <v>18851.440156095487</v>
      </c>
      <c r="E249" s="30">
        <f t="shared" si="10"/>
        <v>18220.291994934505</v>
      </c>
      <c r="F249" s="30">
        <f t="shared" si="11"/>
        <v>43.663825149156239</v>
      </c>
      <c r="G249" s="30">
        <f t="shared" si="12"/>
        <v>18171.906485141757</v>
      </c>
      <c r="H249" s="30">
        <f t="shared" si="13"/>
        <v>679.5336709537296</v>
      </c>
      <c r="I249" s="30">
        <f t="shared" si="15"/>
        <v>21228.177863450699</v>
      </c>
      <c r="J249" s="30">
        <f t="shared" si="14"/>
        <v>793.82213654930092</v>
      </c>
    </row>
    <row r="250" spans="1:10" ht="15" customHeight="1" x14ac:dyDescent="0.25">
      <c r="A250" s="27" t="s">
        <v>194</v>
      </c>
      <c r="B250" s="30">
        <f xml:space="preserve"> 21775</f>
        <v>21775</v>
      </c>
      <c r="C250" s="30">
        <v>1.229305276209552</v>
      </c>
      <c r="D250" s="30">
        <f t="shared" si="8"/>
        <v>17713.256764943839</v>
      </c>
      <c r="E250" s="30">
        <f t="shared" si="10"/>
        <v>18224.743849192026</v>
      </c>
      <c r="F250" s="30">
        <f t="shared" si="11"/>
        <v>43.663825149156239</v>
      </c>
      <c r="G250" s="30">
        <f t="shared" si="12"/>
        <v>18263.955820083662</v>
      </c>
      <c r="H250" s="30">
        <f t="shared" si="13"/>
        <v>-550.69905513982303</v>
      </c>
      <c r="I250" s="30">
        <f t="shared" si="15"/>
        <v>22451.977254087</v>
      </c>
      <c r="J250" s="30">
        <f t="shared" si="14"/>
        <v>-676.97725408699989</v>
      </c>
    </row>
    <row r="251" spans="1:10" ht="15" customHeight="1" x14ac:dyDescent="0.25">
      <c r="A251" s="27" t="s">
        <v>195</v>
      </c>
      <c r="B251" s="30">
        <f xml:space="preserve"> 18675</f>
        <v>18675</v>
      </c>
      <c r="C251" s="30">
        <v>1.0076470532738075</v>
      </c>
      <c r="D251" s="30">
        <f t="shared" si="8"/>
        <v>18533.275058291118</v>
      </c>
      <c r="E251" s="30">
        <f t="shared" si="10"/>
        <v>18287.267289320822</v>
      </c>
      <c r="F251" s="30">
        <f t="shared" si="11"/>
        <v>43.663825149156239</v>
      </c>
      <c r="G251" s="30">
        <f t="shared" si="12"/>
        <v>18268.407674341182</v>
      </c>
      <c r="H251" s="30">
        <f t="shared" si="13"/>
        <v>264.86738394993517</v>
      </c>
      <c r="I251" s="30">
        <f t="shared" si="15"/>
        <v>18408.107161054504</v>
      </c>
      <c r="J251" s="30">
        <f t="shared" si="14"/>
        <v>266.8928389454959</v>
      </c>
    </row>
    <row r="252" spans="1:10" ht="15" customHeight="1" x14ac:dyDescent="0.25">
      <c r="A252" s="27" t="s">
        <v>196</v>
      </c>
      <c r="B252" s="30">
        <f xml:space="preserve"> 18869</f>
        <v>18869</v>
      </c>
      <c r="C252" s="30">
        <v>1.0242421211021173</v>
      </c>
      <c r="D252" s="30">
        <f t="shared" si="8"/>
        <v>18422.401902097477</v>
      </c>
      <c r="E252" s="30">
        <f t="shared" si="10"/>
        <v>18337.444199663078</v>
      </c>
      <c r="F252" s="30">
        <f t="shared" si="11"/>
        <v>43.663825149156239</v>
      </c>
      <c r="G252" s="30">
        <f t="shared" si="12"/>
        <v>18330.931114469979</v>
      </c>
      <c r="H252" s="30">
        <f t="shared" si="13"/>
        <v>91.470787627498794</v>
      </c>
      <c r="I252" s="30">
        <f t="shared" si="15"/>
        <v>18775.311766461531</v>
      </c>
      <c r="J252" s="30">
        <f t="shared" si="14"/>
        <v>93.688233538468921</v>
      </c>
    </row>
    <row r="253" spans="1:10" ht="15" customHeight="1" x14ac:dyDescent="0.25">
      <c r="A253" s="27" t="s">
        <v>197</v>
      </c>
      <c r="B253" s="30">
        <f xml:space="preserve"> 17166</f>
        <v>17166</v>
      </c>
      <c r="C253" s="30">
        <v>0.94663970878958614</v>
      </c>
      <c r="D253" s="30">
        <f t="shared" si="8"/>
        <v>18133.614975806559</v>
      </c>
      <c r="E253" s="30">
        <f t="shared" si="10"/>
        <v>18363.485531831873</v>
      </c>
      <c r="F253" s="30">
        <f t="shared" si="11"/>
        <v>43.663825149156239</v>
      </c>
      <c r="G253" s="30">
        <f t="shared" si="12"/>
        <v>18381.108024812234</v>
      </c>
      <c r="H253" s="30">
        <f t="shared" si="13"/>
        <v>-247.49304900567586</v>
      </c>
      <c r="I253" s="30">
        <f t="shared" si="15"/>
        <v>17400.286747838178</v>
      </c>
      <c r="J253" s="30">
        <f t="shared" si="14"/>
        <v>-234.28674783817769</v>
      </c>
    </row>
    <row r="254" spans="1:10" ht="15" customHeight="1" x14ac:dyDescent="0.25">
      <c r="A254" s="27" t="s">
        <v>198</v>
      </c>
      <c r="B254" s="30">
        <f xml:space="preserve"> 16354</f>
        <v>16354</v>
      </c>
      <c r="C254" s="30">
        <v>0.9050536648720291</v>
      </c>
      <c r="D254" s="30">
        <f t="shared" si="8"/>
        <v>18069.646734497659</v>
      </c>
      <c r="E254" s="30">
        <f t="shared" si="10"/>
        <v>18383.117823087607</v>
      </c>
      <c r="F254" s="30">
        <f t="shared" si="11"/>
        <v>43.663825149156239</v>
      </c>
      <c r="G254" s="30">
        <f t="shared" si="12"/>
        <v>18407.14935698103</v>
      </c>
      <c r="H254" s="30">
        <f t="shared" si="13"/>
        <v>-337.50262248337094</v>
      </c>
      <c r="I254" s="30">
        <f t="shared" si="15"/>
        <v>16659.457985382494</v>
      </c>
      <c r="J254" s="30">
        <f t="shared" si="14"/>
        <v>-305.45798538249437</v>
      </c>
    </row>
    <row r="255" spans="1:10" ht="15" customHeight="1" x14ac:dyDescent="0.25">
      <c r="A255" s="27" t="s">
        <v>199</v>
      </c>
      <c r="B255" s="30">
        <f xml:space="preserve"> 16719</f>
        <v>16719</v>
      </c>
      <c r="C255" s="30">
        <v>0.90657052885571165</v>
      </c>
      <c r="D255" s="30">
        <f t="shared" si="8"/>
        <v>18442.029017977231</v>
      </c>
      <c r="E255" s="30">
        <f t="shared" si="10"/>
        <v>18427.867321823556</v>
      </c>
      <c r="F255" s="30">
        <f t="shared" si="11"/>
        <v>43.663825149156239</v>
      </c>
      <c r="G255" s="30">
        <f t="shared" si="12"/>
        <v>18426.781648236763</v>
      </c>
      <c r="H255" s="30">
        <f t="shared" si="13"/>
        <v>15.247369740467548</v>
      </c>
      <c r="I255" s="30">
        <f t="shared" si="15"/>
        <v>16705.177183950724</v>
      </c>
      <c r="J255" s="30">
        <f t="shared" si="14"/>
        <v>13.822816049276298</v>
      </c>
    </row>
    <row r="256" spans="1:10" ht="15" customHeight="1" x14ac:dyDescent="0.25">
      <c r="A256" s="27" t="s">
        <v>200</v>
      </c>
      <c r="B256" s="30">
        <f xml:space="preserve"> 16232</f>
        <v>16232</v>
      </c>
      <c r="C256" s="30">
        <v>0.90805598066695403</v>
      </c>
      <c r="D256" s="30">
        <f t="shared" si="8"/>
        <v>17875.549906160886</v>
      </c>
      <c r="E256" s="30">
        <f t="shared" si="10"/>
        <v>18429.094903713241</v>
      </c>
      <c r="F256" s="30">
        <f t="shared" si="11"/>
        <v>43.663825149156239</v>
      </c>
      <c r="G256" s="30">
        <f t="shared" si="12"/>
        <v>18471.531146972713</v>
      </c>
      <c r="H256" s="30">
        <f t="shared" si="13"/>
        <v>-595.98124081182686</v>
      </c>
      <c r="I256" s="30">
        <f t="shared" si="15"/>
        <v>16773.184330084492</v>
      </c>
      <c r="J256" s="30">
        <f t="shared" si="14"/>
        <v>-541.1843300844921</v>
      </c>
    </row>
    <row r="257" spans="1:10" ht="15" customHeight="1" x14ac:dyDescent="0.25">
      <c r="A257" s="27" t="s">
        <v>201</v>
      </c>
      <c r="B257" s="30">
        <f xml:space="preserve"> 15923</f>
        <v>15923</v>
      </c>
      <c r="C257" s="30">
        <v>0.88554664064815469</v>
      </c>
      <c r="D257" s="30">
        <f t="shared" si="8"/>
        <v>17980.984026256981</v>
      </c>
      <c r="E257" s="30">
        <f t="shared" si="10"/>
        <v>18437.742407073158</v>
      </c>
      <c r="F257" s="30">
        <f t="shared" si="11"/>
        <v>43.663825149156239</v>
      </c>
      <c r="G257" s="30">
        <f t="shared" si="12"/>
        <v>18472.758728862398</v>
      </c>
      <c r="H257" s="30">
        <f t="shared" si="13"/>
        <v>-491.77470260541668</v>
      </c>
      <c r="I257" s="30">
        <f t="shared" si="15"/>
        <v>16358.489435847972</v>
      </c>
      <c r="J257" s="30">
        <f t="shared" si="14"/>
        <v>-435.48943584797235</v>
      </c>
    </row>
    <row r="258" spans="1:10" ht="15" customHeight="1" x14ac:dyDescent="0.25">
      <c r="A258" s="27" t="s">
        <v>202</v>
      </c>
      <c r="B258" s="30">
        <f xml:space="preserve"> 17682</f>
        <v>17682</v>
      </c>
      <c r="C258" s="30">
        <v>0.91566790449517033</v>
      </c>
      <c r="D258" s="30">
        <f t="shared" si="8"/>
        <v>19310.494463326755</v>
      </c>
      <c r="E258" s="30">
        <f t="shared" si="10"/>
        <v>18540.440623658506</v>
      </c>
      <c r="F258" s="30">
        <f t="shared" si="11"/>
        <v>43.663825149156239</v>
      </c>
      <c r="G258" s="30">
        <f t="shared" si="12"/>
        <v>18481.406232222314</v>
      </c>
      <c r="H258" s="30">
        <f t="shared" si="13"/>
        <v>829.08823110444064</v>
      </c>
      <c r="I258" s="30">
        <f t="shared" si="15"/>
        <v>16922.830516782989</v>
      </c>
      <c r="J258" s="30">
        <f t="shared" si="14"/>
        <v>759.16948321701057</v>
      </c>
    </row>
    <row r="259" spans="1:10" ht="15" customHeight="1" x14ac:dyDescent="0.25">
      <c r="A259" s="27" t="s">
        <v>203</v>
      </c>
      <c r="B259" s="30">
        <f xml:space="preserve"> 18182</f>
        <v>18182</v>
      </c>
      <c r="C259" s="30">
        <v>1.0046707510607737</v>
      </c>
      <c r="D259" s="30">
        <f t="shared" si="8"/>
        <v>18097.471217115337</v>
      </c>
      <c r="E259" s="30">
        <f t="shared" si="10"/>
        <v>18549.454220270083</v>
      </c>
      <c r="F259" s="30">
        <f t="shared" si="11"/>
        <v>43.663825149156239</v>
      </c>
      <c r="G259" s="30">
        <f t="shared" si="12"/>
        <v>18584.104448807662</v>
      </c>
      <c r="H259" s="30">
        <f t="shared" si="13"/>
        <v>-486.63323169232535</v>
      </c>
      <c r="I259" s="30">
        <f t="shared" si="15"/>
        <v>18670.906174375461</v>
      </c>
      <c r="J259" s="30">
        <f t="shared" si="14"/>
        <v>-488.90617437546098</v>
      </c>
    </row>
    <row r="260" spans="1:10" ht="15" customHeight="1" x14ac:dyDescent="0.25">
      <c r="A260" s="27" t="s">
        <v>204</v>
      </c>
      <c r="B260" s="30">
        <f xml:space="preserve"> 19671</f>
        <v>19671</v>
      </c>
      <c r="C260" s="30">
        <v>1.0984136010088161</v>
      </c>
      <c r="D260" s="30">
        <f t="shared" si="8"/>
        <v>17908.554648206798</v>
      </c>
      <c r="E260" s="30">
        <f t="shared" si="10"/>
        <v>18544.374399040258</v>
      </c>
      <c r="F260" s="30">
        <f t="shared" si="11"/>
        <v>43.663825149156239</v>
      </c>
      <c r="G260" s="30">
        <f t="shared" si="12"/>
        <v>18593.11804541924</v>
      </c>
      <c r="H260" s="30">
        <f t="shared" si="13"/>
        <v>-684.56339721244149</v>
      </c>
      <c r="I260" s="30">
        <f t="shared" si="15"/>
        <v>20422.933746250947</v>
      </c>
      <c r="J260" s="30">
        <f t="shared" si="14"/>
        <v>-751.93374625094657</v>
      </c>
    </row>
    <row r="261" spans="1:10" ht="15" customHeight="1" x14ac:dyDescent="0.25">
      <c r="A261" s="27" t="s">
        <v>205</v>
      </c>
      <c r="B261" s="30">
        <f xml:space="preserve"> 21998</f>
        <v>21998</v>
      </c>
      <c r="C261" s="30">
        <v>1.1681866116143564</v>
      </c>
      <c r="D261" s="30">
        <f t="shared" si="8"/>
        <v>18830.895493315253</v>
      </c>
      <c r="E261" s="30">
        <f t="shared" si="10"/>
        <v>18605.330631138193</v>
      </c>
      <c r="F261" s="30">
        <f t="shared" si="11"/>
        <v>43.663825149156239</v>
      </c>
      <c r="G261" s="30">
        <f t="shared" si="12"/>
        <v>18588.038224189415</v>
      </c>
      <c r="H261" s="30">
        <f t="shared" si="13"/>
        <v>242.85726912583777</v>
      </c>
      <c r="I261" s="30">
        <f t="shared" si="15"/>
        <v>21714.297389673971</v>
      </c>
      <c r="J261" s="30">
        <f t="shared" si="14"/>
        <v>283.70261032602866</v>
      </c>
    </row>
    <row r="262" spans="1:10" ht="15" customHeight="1" x14ac:dyDescent="0.25">
      <c r="A262" s="27" t="s">
        <v>206</v>
      </c>
      <c r="B262" s="30">
        <f xml:space="preserve"> 23076</f>
        <v>23076</v>
      </c>
      <c r="C262" s="30">
        <v>1.229305276209552</v>
      </c>
      <c r="D262" s="30">
        <f t="shared" si="8"/>
        <v>18771.578099097314</v>
      </c>
      <c r="E262" s="30">
        <f t="shared" si="10"/>
        <v>18657.722900959248</v>
      </c>
      <c r="F262" s="30">
        <f t="shared" si="11"/>
        <v>43.663825149156239</v>
      </c>
      <c r="G262" s="30">
        <f t="shared" si="12"/>
        <v>18648.99445628735</v>
      </c>
      <c r="H262" s="30">
        <f t="shared" si="13"/>
        <v>122.58364280996466</v>
      </c>
      <c r="I262" s="30">
        <f t="shared" si="15"/>
        <v>22925.307281116726</v>
      </c>
      <c r="J262" s="30">
        <f t="shared" si="14"/>
        <v>150.69271888327421</v>
      </c>
    </row>
    <row r="263" spans="1:10" ht="15" customHeight="1" x14ac:dyDescent="0.25">
      <c r="A263" s="40" t="s">
        <v>207</v>
      </c>
      <c r="B263" s="41">
        <f xml:space="preserve"> 18848</f>
        <v>18848</v>
      </c>
      <c r="C263" s="41">
        <v>1.0076470532738075</v>
      </c>
      <c r="D263" s="41">
        <f t="shared" si="8"/>
        <v>18704.962157894031</v>
      </c>
      <c r="E263" s="41">
        <f t="shared" si="10"/>
        <v>18701.641311123207</v>
      </c>
      <c r="F263" s="41">
        <f t="shared" si="11"/>
        <v>43.663825149156239</v>
      </c>
      <c r="G263" s="41">
        <f t="shared" si="12"/>
        <v>18701.386726108405</v>
      </c>
      <c r="H263" s="41">
        <f t="shared" si="13"/>
        <v>3.5754317856262787</v>
      </c>
      <c r="I263" s="41">
        <f t="shared" si="15"/>
        <v>18844.397226697034</v>
      </c>
      <c r="J263" s="41">
        <f t="shared" si="14"/>
        <v>3.602773302965943</v>
      </c>
    </row>
    <row r="264" spans="1:10" ht="15" customHeight="1" x14ac:dyDescent="0.25">
      <c r="A264" s="27" t="s">
        <v>208</v>
      </c>
      <c r="B264" s="30"/>
      <c r="C264" s="30">
        <v>1.0242421211021173</v>
      </c>
      <c r="D264" s="30"/>
      <c r="E264" s="30"/>
      <c r="F264" s="30"/>
      <c r="G264" s="30">
        <f>E263+(1*F263)</f>
        <v>18745.305136272364</v>
      </c>
      <c r="H264" s="30"/>
      <c r="I264" s="30">
        <f t="shared" si="15"/>
        <v>19199.73109348202</v>
      </c>
      <c r="J264" s="30"/>
    </row>
    <row r="265" spans="1:10" ht="15" customHeight="1" x14ac:dyDescent="0.25">
      <c r="A265" s="27" t="s">
        <v>213</v>
      </c>
      <c r="B265" s="30"/>
      <c r="C265" s="30">
        <v>0.94663970878958614</v>
      </c>
      <c r="D265" s="30"/>
      <c r="E265" s="30"/>
      <c r="F265" s="30"/>
      <c r="G265" s="30">
        <f>E263+(2*F263)</f>
        <v>18788.96896142152</v>
      </c>
      <c r="H265" s="30"/>
      <c r="I265" s="30">
        <f t="shared" si="15"/>
        <v>17786.384106096641</v>
      </c>
      <c r="J265" s="30"/>
    </row>
    <row r="266" spans="1:10" ht="15" customHeight="1" x14ac:dyDescent="0.25">
      <c r="A266" s="27" t="s">
        <v>214</v>
      </c>
      <c r="B266" s="30"/>
      <c r="C266" s="30">
        <v>0.9050536648720291</v>
      </c>
      <c r="D266" s="30"/>
      <c r="E266" s="30"/>
      <c r="F266" s="30"/>
      <c r="G266" s="30">
        <f>E263+(3*F263)</f>
        <v>18832.632786570677</v>
      </c>
      <c r="H266" s="30"/>
      <c r="I266" s="30">
        <f t="shared" si="15"/>
        <v>17044.543322674926</v>
      </c>
      <c r="J266" s="30"/>
    </row>
    <row r="267" spans="1:10" ht="15" customHeight="1" x14ac:dyDescent="0.25">
      <c r="A267" s="27" t="s">
        <v>215</v>
      </c>
      <c r="B267" s="30"/>
      <c r="C267" s="30">
        <v>0.90657052885571165</v>
      </c>
      <c r="D267" s="30"/>
      <c r="E267" s="30"/>
      <c r="F267" s="30"/>
      <c r="G267" s="30">
        <f>E263+(4*F263)</f>
        <v>18876.29661171983</v>
      </c>
      <c r="H267" s="30"/>
      <c r="I267" s="30">
        <f t="shared" si="15"/>
        <v>17112.694202124123</v>
      </c>
      <c r="J267" s="30"/>
    </row>
    <row r="268" spans="1:10" ht="15" customHeight="1" x14ac:dyDescent="0.25">
      <c r="A268" s="27" t="s">
        <v>216</v>
      </c>
      <c r="B268" s="30"/>
      <c r="C268" s="30">
        <v>0.90805598066695403</v>
      </c>
      <c r="D268" s="30"/>
      <c r="E268" s="30"/>
      <c r="F268" s="30"/>
      <c r="G268" s="30">
        <f>E263+(5*F263)</f>
        <v>18919.960436868987</v>
      </c>
      <c r="H268" s="30"/>
      <c r="I268" s="30">
        <f t="shared" si="15"/>
        <v>17180.383228681039</v>
      </c>
      <c r="J268" s="30"/>
    </row>
    <row r="269" spans="1:10" ht="15" customHeight="1" x14ac:dyDescent="0.25">
      <c r="A269" s="27" t="s">
        <v>217</v>
      </c>
      <c r="B269" s="30"/>
      <c r="C269" s="30">
        <v>0.88554664064815469</v>
      </c>
      <c r="D269" s="30"/>
      <c r="E269" s="30"/>
      <c r="F269" s="30"/>
      <c r="G269" s="30">
        <f>E263+(6*F263)</f>
        <v>18963.624262018144</v>
      </c>
      <c r="H269" s="30"/>
      <c r="I269" s="30">
        <f t="shared" si="15"/>
        <v>16793.173759744008</v>
      </c>
      <c r="J269" s="30"/>
    </row>
    <row r="270" spans="1:10" ht="15" customHeight="1" x14ac:dyDescent="0.25">
      <c r="A270" s="27" t="s">
        <v>218</v>
      </c>
      <c r="B270" s="30"/>
      <c r="C270" s="30">
        <v>0.91566790449517033</v>
      </c>
      <c r="D270" s="30"/>
      <c r="E270" s="30"/>
      <c r="F270" s="30"/>
      <c r="G270" s="30">
        <f>E263+(7*F263)</f>
        <v>19007.288087167301</v>
      </c>
      <c r="H270" s="30"/>
      <c r="I270" s="30">
        <f t="shared" si="15"/>
        <v>17404.363652912496</v>
      </c>
      <c r="J270" s="30"/>
    </row>
    <row r="271" spans="1:10" ht="15" customHeight="1" x14ac:dyDescent="0.25">
      <c r="A271" s="27" t="s">
        <v>219</v>
      </c>
      <c r="B271" s="30"/>
      <c r="C271" s="30">
        <v>1.0046707510607737</v>
      </c>
      <c r="D271" s="30"/>
      <c r="E271" s="30"/>
      <c r="F271" s="30"/>
      <c r="G271" s="30">
        <f>E263+(8*F263)</f>
        <v>19050.951912316457</v>
      </c>
      <c r="H271" s="30"/>
      <c r="I271" s="30">
        <f t="shared" si="15"/>
        <v>19139.93416616966</v>
      </c>
      <c r="J271" s="30"/>
    </row>
  </sheetData>
  <pageMargins left="0.7" right="0.7" top="0.75" bottom="0.75" header="0.3" footer="0.3"/>
  <pageSetup paperSize="9" orientation="portrait" r:id="rId1"/>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9"/>
  <sheetViews>
    <sheetView showGridLines="0" topLeftCell="A188" zoomScaleNormal="100" workbookViewId="0">
      <selection activeCell="K197" sqref="K197"/>
    </sheetView>
  </sheetViews>
  <sheetFormatPr defaultColWidth="12.7109375" defaultRowHeight="15" x14ac:dyDescent="0.25"/>
  <cols>
    <col min="1" max="1" width="36.42578125" bestFit="1" customWidth="1"/>
    <col min="2" max="7" width="12.7109375" customWidth="1"/>
  </cols>
  <sheetData>
    <row r="1" spans="1:2" s="16" customFormat="1" ht="18.75" x14ac:dyDescent="0.3">
      <c r="A1" s="22" t="s">
        <v>75</v>
      </c>
      <c r="B1" s="20"/>
    </row>
    <row r="2" spans="1:2" s="16" customFormat="1" ht="11.25" x14ac:dyDescent="0.2">
      <c r="A2" s="18" t="s">
        <v>76</v>
      </c>
      <c r="B2" s="20" t="s">
        <v>77</v>
      </c>
    </row>
    <row r="3" spans="1:2" s="16" customFormat="1" ht="11.25" x14ac:dyDescent="0.2">
      <c r="A3" s="18" t="s">
        <v>78</v>
      </c>
      <c r="B3" s="20" t="s">
        <v>79</v>
      </c>
    </row>
    <row r="4" spans="1:2" s="16" customFormat="1" ht="11.25" x14ac:dyDescent="0.2">
      <c r="A4" s="18" t="s">
        <v>80</v>
      </c>
      <c r="B4" s="23">
        <v>45064</v>
      </c>
    </row>
    <row r="5" spans="1:2" s="17" customFormat="1" ht="11.25" x14ac:dyDescent="0.2">
      <c r="A5" s="19" t="s">
        <v>81</v>
      </c>
      <c r="B5" s="21" t="s">
        <v>82</v>
      </c>
    </row>
    <row r="7" spans="1:2" ht="15" customHeight="1" x14ac:dyDescent="0.25">
      <c r="A7" s="28" t="s">
        <v>233</v>
      </c>
      <c r="B7" s="25"/>
    </row>
    <row r="8" spans="1:2" ht="15" customHeight="1" thickBot="1" x14ac:dyDescent="0.3">
      <c r="A8" s="29" t="s">
        <v>226</v>
      </c>
      <c r="B8" s="26"/>
    </row>
    <row r="9" spans="1:2" ht="15" customHeight="1" thickTop="1" x14ac:dyDescent="0.25">
      <c r="A9" s="27" t="s">
        <v>229</v>
      </c>
      <c r="B9" s="35">
        <v>7.104909436696398E-2</v>
      </c>
    </row>
    <row r="10" spans="1:2" ht="15" customHeight="1" x14ac:dyDescent="0.25">
      <c r="A10" s="27" t="s">
        <v>230</v>
      </c>
      <c r="B10" s="35">
        <v>0</v>
      </c>
    </row>
    <row r="11" spans="1:2" ht="15" customHeight="1" x14ac:dyDescent="0.25">
      <c r="A11" s="27" t="s">
        <v>231</v>
      </c>
      <c r="B11" s="35">
        <v>0</v>
      </c>
    </row>
    <row r="12" spans="1:2" ht="15" customHeight="1" x14ac:dyDescent="0.25"/>
    <row r="13" spans="1:2" ht="15" customHeight="1" x14ac:dyDescent="0.25">
      <c r="A13" s="28"/>
      <c r="B13" s="25"/>
    </row>
    <row r="14" spans="1:2" ht="15" customHeight="1" thickBot="1" x14ac:dyDescent="0.3">
      <c r="A14" s="29" t="s">
        <v>228</v>
      </c>
      <c r="B14" s="26"/>
    </row>
    <row r="15" spans="1:2" ht="15" customHeight="1" thickTop="1" x14ac:dyDescent="0.25">
      <c r="A15" s="27" t="s">
        <v>88</v>
      </c>
      <c r="B15" s="30">
        <f>_xll.StatMeanAbs(G86:G201)</f>
        <v>617.93306968883167</v>
      </c>
    </row>
    <row r="16" spans="1:2" ht="15" customHeight="1" x14ac:dyDescent="0.25">
      <c r="A16" s="27" t="s">
        <v>89</v>
      </c>
      <c r="B16" s="30">
        <f>SQRT(SUMSQ(G86:G201)/_xll.StatCount(G86:G201))</f>
        <v>762.30207777243334</v>
      </c>
    </row>
    <row r="17" spans="1:2" ht="15" customHeight="1" x14ac:dyDescent="0.25">
      <c r="A17" s="27" t="s">
        <v>90</v>
      </c>
      <c r="B17" s="33">
        <f>_xll.StatPairMeanAbsQuotient(G86:G201,B86:B201)</f>
        <v>3.8890963284982677E-2</v>
      </c>
    </row>
    <row r="18" spans="1:2" ht="15" customHeight="1" x14ac:dyDescent="0.25"/>
    <row r="19" spans="1:2" ht="15" customHeight="1" x14ac:dyDescent="0.25"/>
    <row r="20" spans="1:2" ht="15" customHeight="1" x14ac:dyDescent="0.25"/>
    <row r="21" spans="1:2" ht="15" customHeight="1" x14ac:dyDescent="0.25"/>
    <row r="22" spans="1:2" ht="15" customHeight="1" x14ac:dyDescent="0.25"/>
    <row r="23" spans="1:2" ht="15" customHeight="1" x14ac:dyDescent="0.25"/>
    <row r="24" spans="1:2" ht="15" customHeight="1" x14ac:dyDescent="0.25"/>
    <row r="25" spans="1:2" ht="15" customHeight="1" x14ac:dyDescent="0.25"/>
    <row r="26" spans="1:2" ht="15" customHeight="1" x14ac:dyDescent="0.25"/>
    <row r="27" spans="1:2" ht="15" customHeight="1" x14ac:dyDescent="0.25"/>
    <row r="28" spans="1:2" ht="15" customHeight="1" x14ac:dyDescent="0.25"/>
    <row r="29" spans="1:2" ht="15" customHeight="1" x14ac:dyDescent="0.25"/>
    <row r="30" spans="1:2" ht="15" customHeight="1" x14ac:dyDescent="0.25"/>
    <row r="31" spans="1:2" ht="15" customHeight="1" x14ac:dyDescent="0.25"/>
    <row r="32" spans="1: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spans="1:11" ht="15" customHeight="1" x14ac:dyDescent="0.25"/>
    <row r="82" spans="1:11" ht="15" customHeight="1" x14ac:dyDescent="0.25"/>
    <row r="83" spans="1:11" ht="15" customHeight="1" x14ac:dyDescent="0.25">
      <c r="A83" s="28"/>
      <c r="B83" s="25"/>
      <c r="C83" s="25"/>
      <c r="D83" s="25"/>
      <c r="E83" s="25"/>
      <c r="F83" s="25"/>
      <c r="G83" s="25"/>
      <c r="J83" s="47" t="s">
        <v>1</v>
      </c>
      <c r="K83" s="47"/>
    </row>
    <row r="84" spans="1:11" ht="15" customHeight="1" thickBot="1" x14ac:dyDescent="0.3">
      <c r="A84" s="29" t="s">
        <v>86</v>
      </c>
      <c r="B84" s="26" t="s">
        <v>1</v>
      </c>
      <c r="C84" s="26" t="s">
        <v>232</v>
      </c>
      <c r="D84" s="26" t="s">
        <v>212</v>
      </c>
      <c r="E84" s="26" t="s">
        <v>222</v>
      </c>
      <c r="F84" s="26" t="s">
        <v>77</v>
      </c>
      <c r="G84" s="26" t="s">
        <v>209</v>
      </c>
      <c r="J84" s="29" t="s">
        <v>86</v>
      </c>
      <c r="K84" s="26" t="s">
        <v>222</v>
      </c>
    </row>
    <row r="85" spans="1:11" ht="15" customHeight="1" thickTop="1" x14ac:dyDescent="0.25">
      <c r="A85" s="27" t="s">
        <v>91</v>
      </c>
      <c r="B85" s="30">
        <f xml:space="preserve"> 12326</f>
        <v>12326</v>
      </c>
      <c r="C85" s="30">
        <f>B85/ 0.906570528855712</f>
        <v>13596.294615442746</v>
      </c>
      <c r="D85" s="30">
        <f>(B201/ 1.00764705327381-B85/ 0.906570528855712)/ 117</f>
        <v>43.663825149155876</v>
      </c>
      <c r="E85" s="30">
        <f>$B$11*(B85/C85)+(1-$B$11)* 0.906570528855712</f>
        <v>0.90657052885571199</v>
      </c>
      <c r="F85" s="30"/>
      <c r="G85" s="30"/>
      <c r="J85" s="27" t="s">
        <v>96</v>
      </c>
      <c r="K85" s="34">
        <v>1.0984136010088199</v>
      </c>
    </row>
    <row r="86" spans="1:11" ht="15" customHeight="1" x14ac:dyDescent="0.25">
      <c r="A86" s="27" t="s">
        <v>92</v>
      </c>
      <c r="B86" s="30">
        <f xml:space="preserve"> 13229</f>
        <v>13229</v>
      </c>
      <c r="C86" s="30">
        <f>$B$9*B86/ 0.908055980666954+(1-$B$9)*(C85+D85)</f>
        <v>13705.929416936153</v>
      </c>
      <c r="D86" s="30">
        <f>$B$10*(C86-C85)+(1-$B$10)*D85</f>
        <v>43.663825149155876</v>
      </c>
      <c r="E86" s="30">
        <f>$B$11*(B86/C86)+(1-$B$11)* 0.908055980666954</f>
        <v>0.90805598066695403</v>
      </c>
      <c r="F86" s="30">
        <f>(C85+D85)* 0.908055980666954</f>
        <v>12385.845838028177</v>
      </c>
      <c r="G86" s="30">
        <f>B86-F86</f>
        <v>843.15416197182276</v>
      </c>
      <c r="J86" s="27" t="s">
        <v>97</v>
      </c>
      <c r="K86" s="34">
        <v>1.16818661161436</v>
      </c>
    </row>
    <row r="87" spans="1:11" ht="15" customHeight="1" x14ac:dyDescent="0.25">
      <c r="A87" s="27" t="s">
        <v>93</v>
      </c>
      <c r="B87" s="30">
        <f xml:space="preserve"> 13278</f>
        <v>13278</v>
      </c>
      <c r="C87" s="30">
        <f>$B$9*B87/ 0.885546640648155+(1-$B$9)*(C86+D86)</f>
        <v>13838.016335229726</v>
      </c>
      <c r="D87" s="30">
        <f t="shared" ref="D87:D150" si="0">$B$10*(C87-C86)+(1-$B$10)*D86</f>
        <v>43.663825149155876</v>
      </c>
      <c r="E87" s="30">
        <f>$B$11*(B87/C87)+(1-$B$11)* 0.885546640648155</f>
        <v>0.88554664064815503</v>
      </c>
      <c r="F87" s="30">
        <f>(C86+D86)* 0.885546640648155</f>
        <v>12175.90610580722</v>
      </c>
      <c r="G87" s="30">
        <f t="shared" ref="G87:G150" si="1">B87-F87</f>
        <v>1102.0938941927798</v>
      </c>
      <c r="J87" s="27" t="s">
        <v>98</v>
      </c>
      <c r="K87" s="34">
        <v>1.22930527620955</v>
      </c>
    </row>
    <row r="88" spans="1:11" ht="15" customHeight="1" x14ac:dyDescent="0.25">
      <c r="A88" s="27" t="s">
        <v>94</v>
      </c>
      <c r="B88" s="30">
        <f xml:space="preserve"> 13592</f>
        <v>13592</v>
      </c>
      <c r="C88" s="30">
        <f>$B$9*B88/ 0.91566790449517+(1-$B$9)*(C87+D87)</f>
        <v>13950.038583310183</v>
      </c>
      <c r="D88" s="30">
        <f t="shared" si="0"/>
        <v>43.663825149155876</v>
      </c>
      <c r="E88" s="30">
        <f>$B$11*(B88/C88)+(1-$B$11)* 0.91566790449517</f>
        <v>0.91566790449516999</v>
      </c>
      <c r="F88" s="30">
        <f>(C87+D87)* 0.91566790449517</f>
        <v>12711.008983326306</v>
      </c>
      <c r="G88" s="30">
        <f t="shared" si="1"/>
        <v>880.99101667369359</v>
      </c>
      <c r="J88" s="27" t="s">
        <v>99</v>
      </c>
      <c r="K88" s="34">
        <v>1.00764705327381</v>
      </c>
    </row>
    <row r="89" spans="1:11" ht="15" customHeight="1" x14ac:dyDescent="0.25">
      <c r="A89" s="27" t="s">
        <v>95</v>
      </c>
      <c r="B89" s="30">
        <f xml:space="preserve"> 14711</f>
        <v>14711</v>
      </c>
      <c r="C89" s="30">
        <f>$B$9*B89/ 1.00467075106077+(1-$B$9)*(C88+D88)</f>
        <v>14039.806564705214</v>
      </c>
      <c r="D89" s="30">
        <f t="shared" si="0"/>
        <v>43.663825149155876</v>
      </c>
      <c r="E89" s="30">
        <f>$B$11*(B89/C89)+(1-$B$11)* 1.00467075106077</f>
        <v>1.00467075106077</v>
      </c>
      <c r="F89" s="30">
        <f>(C88+D88)* 1.00467075106077</f>
        <v>14059.06350882775</v>
      </c>
      <c r="G89" s="30">
        <f t="shared" si="1"/>
        <v>651.93649117224959</v>
      </c>
      <c r="J89" s="27" t="s">
        <v>100</v>
      </c>
      <c r="K89" s="34">
        <v>1.02424212110212</v>
      </c>
    </row>
    <row r="90" spans="1:11" ht="15" customHeight="1" x14ac:dyDescent="0.25">
      <c r="A90" s="27" t="s">
        <v>96</v>
      </c>
      <c r="B90" s="30">
        <f xml:space="preserve"> 16204</f>
        <v>16204</v>
      </c>
      <c r="C90" s="30">
        <f>$B$9*B90/ 1.09841360100882+(1-$B$9)*(C89+D89)</f>
        <v>14130.98191534165</v>
      </c>
      <c r="D90" s="30">
        <f t="shared" si="0"/>
        <v>43.663825149155876</v>
      </c>
      <c r="E90" s="30">
        <f>$B$11*(B90/C90)+(1-$B$11)* 1.09841360100882</f>
        <v>1.0984136010088199</v>
      </c>
      <c r="F90" s="30">
        <f>(C89+D89)* 1.09841360100882</f>
        <v>15469.475425621027</v>
      </c>
      <c r="G90" s="30">
        <f t="shared" si="1"/>
        <v>734.52457437897283</v>
      </c>
      <c r="J90" s="27" t="s">
        <v>101</v>
      </c>
      <c r="K90" s="34">
        <v>0.94663970878958603</v>
      </c>
    </row>
    <row r="91" spans="1:11" ht="15" customHeight="1" x14ac:dyDescent="0.25">
      <c r="A91" s="27" t="s">
        <v>97</v>
      </c>
      <c r="B91" s="30">
        <f xml:space="preserve"> 17507</f>
        <v>17507</v>
      </c>
      <c r="C91" s="30">
        <f>$B$9*B91/ 1.16818661161436+(1-$B$9)*(C90+D90)</f>
        <v>14232.325507592692</v>
      </c>
      <c r="D91" s="30">
        <f t="shared" si="0"/>
        <v>43.663825149155876</v>
      </c>
      <c r="E91" s="30">
        <f>$B$11*(B91/C91)+(1-$B$11)* 1.16818661161436</f>
        <v>1.16818661161436</v>
      </c>
      <c r="F91" s="30">
        <f>(C90+D90)* 1.16818661161436</f>
        <v>16558.631378417878</v>
      </c>
      <c r="G91" s="30">
        <f t="shared" si="1"/>
        <v>948.3686215821217</v>
      </c>
      <c r="J91" s="27" t="s">
        <v>102</v>
      </c>
      <c r="K91" s="34">
        <v>0.90505366487202898</v>
      </c>
    </row>
    <row r="92" spans="1:11" ht="15" customHeight="1" x14ac:dyDescent="0.25">
      <c r="A92" s="27" t="s">
        <v>98</v>
      </c>
      <c r="B92" s="30">
        <f xml:space="preserve"> 18537</f>
        <v>18537</v>
      </c>
      <c r="C92" s="30">
        <f>$B$9*B92/ 1.22930527620955+(1-$B$9)*(C91+D91)</f>
        <v>14333.060184010124</v>
      </c>
      <c r="D92" s="30">
        <f t="shared" si="0"/>
        <v>43.663825149155876</v>
      </c>
      <c r="E92" s="30">
        <f>$B$11*(B92/C92)+(1-$B$11)* 1.22930527620955</f>
        <v>1.22930527620955</v>
      </c>
      <c r="F92" s="30">
        <f>(C91+D91)* 1.22930527620955</f>
        <v>17549.549009850809</v>
      </c>
      <c r="G92" s="30">
        <f t="shared" si="1"/>
        <v>987.45099014919106</v>
      </c>
      <c r="J92" s="27" t="s">
        <v>103</v>
      </c>
      <c r="K92" s="34">
        <v>0.90657052885571199</v>
      </c>
    </row>
    <row r="93" spans="1:11" ht="15" customHeight="1" x14ac:dyDescent="0.25">
      <c r="A93" s="27" t="s">
        <v>99</v>
      </c>
      <c r="B93" s="30">
        <f xml:space="preserve"> 13933</f>
        <v>13933</v>
      </c>
      <c r="C93" s="30">
        <f>$B$9*B93/ 1.00764705327381+(1-$B$9)*(C92+D92)</f>
        <v>14337.685244476635</v>
      </c>
      <c r="D93" s="30">
        <f t="shared" si="0"/>
        <v>43.663825149155876</v>
      </c>
      <c r="E93" s="30">
        <f>$B$11*(B93/C93)+(1-$B$11)* 1.00764705327381</f>
        <v>1.00764705327381</v>
      </c>
      <c r="F93" s="30">
        <f>(C92+D92)* 1.00764705327381</f>
        <v>14486.663583560185</v>
      </c>
      <c r="G93" s="30">
        <f t="shared" si="1"/>
        <v>-553.66358356018463</v>
      </c>
      <c r="J93" s="27" t="s">
        <v>104</v>
      </c>
      <c r="K93" s="34">
        <v>0.90805598066695403</v>
      </c>
    </row>
    <row r="94" spans="1:11" ht="15" customHeight="1" x14ac:dyDescent="0.25">
      <c r="A94" s="27" t="s">
        <v>100</v>
      </c>
      <c r="B94" s="30">
        <f xml:space="preserve"> 16680</f>
        <v>16680</v>
      </c>
      <c r="C94" s="30">
        <f>$B$9*B94/ 1.02424212110212+(1-$B$9)*(C93+D93)</f>
        <v>14516.616800975813</v>
      </c>
      <c r="D94" s="30">
        <f t="shared" si="0"/>
        <v>43.663825149155876</v>
      </c>
      <c r="E94" s="30">
        <f>$B$11*(B94/C94)+(1-$B$11)* 1.02424212110212</f>
        <v>1.02424212110212</v>
      </c>
      <c r="F94" s="30">
        <f>(C93+D93)* 1.02424212110212</f>
        <v>14729.983475383522</v>
      </c>
      <c r="G94" s="30">
        <f t="shared" si="1"/>
        <v>1950.0165246164779</v>
      </c>
      <c r="J94" s="27" t="s">
        <v>105</v>
      </c>
      <c r="K94" s="34">
        <v>0.88554664064815503</v>
      </c>
    </row>
    <row r="95" spans="1:11" ht="15" customHeight="1" x14ac:dyDescent="0.25">
      <c r="A95" s="27" t="s">
        <v>101</v>
      </c>
      <c r="B95" s="30">
        <f xml:space="preserve"> 14793</f>
        <v>14793</v>
      </c>
      <c r="C95" s="30">
        <f>$B$9*B95/ 0.946639708789586+(1-$B$9)*(C94+D94)</f>
        <v>14636.059659397333</v>
      </c>
      <c r="D95" s="30">
        <f t="shared" si="0"/>
        <v>43.663825149155876</v>
      </c>
      <c r="E95" s="30">
        <f>$B$11*(B95/C95)+(1-$B$11)* 0.946639708789586</f>
        <v>0.94663970878958603</v>
      </c>
      <c r="F95" s="30">
        <f>(C94+D94)* 0.946639708789586</f>
        <v>13783.339811809592</v>
      </c>
      <c r="G95" s="30">
        <f t="shared" si="1"/>
        <v>1009.660188190408</v>
      </c>
      <c r="J95" s="27" t="s">
        <v>106</v>
      </c>
      <c r="K95" s="34">
        <v>0.91566790449516999</v>
      </c>
    </row>
    <row r="96" spans="1:11" ht="15" customHeight="1" x14ac:dyDescent="0.25">
      <c r="A96" s="27" t="s">
        <v>102</v>
      </c>
      <c r="B96" s="30">
        <f xml:space="preserve"> 12742</f>
        <v>12742</v>
      </c>
      <c r="C96" s="30">
        <f>$B$9*B96/ 0.905053664872029+(1-$B$9)*(C95+D95)</f>
        <v>14637.02295634811</v>
      </c>
      <c r="D96" s="30">
        <f t="shared" si="0"/>
        <v>43.663825149155876</v>
      </c>
      <c r="E96" s="30">
        <f>$B$11*(B96/C96)+(1-$B$11)* 0.905053664872029</f>
        <v>0.90505366487202898</v>
      </c>
      <c r="F96" s="30">
        <f>(C95+D95)* 0.905053664872029</f>
        <v>13285.937538996792</v>
      </c>
      <c r="G96" s="30">
        <f t="shared" si="1"/>
        <v>-543.93753899679177</v>
      </c>
      <c r="J96" s="27" t="s">
        <v>107</v>
      </c>
      <c r="K96" s="34">
        <v>1.00467075106077</v>
      </c>
    </row>
    <row r="97" spans="1:7" ht="15" customHeight="1" x14ac:dyDescent="0.25">
      <c r="A97" s="27" t="s">
        <v>103</v>
      </c>
      <c r="B97" s="30">
        <f xml:space="preserve"> 11850</f>
        <v>11850</v>
      </c>
      <c r="C97" s="30">
        <f>$B$9*B97/E85+(1-$B$9)*(C96+D96)</f>
        <v>14566.336970034985</v>
      </c>
      <c r="D97" s="30">
        <f t="shared" si="0"/>
        <v>43.663825149155876</v>
      </c>
      <c r="E97" s="30">
        <f>$B$11*(B97/C97)+(1-$B$11)*E85</f>
        <v>0.90657052885571199</v>
      </c>
      <c r="F97" s="30">
        <f>(C96+D96)*E85</f>
        <v>13309.077979467038</v>
      </c>
      <c r="G97" s="30">
        <f t="shared" si="1"/>
        <v>-1459.0779794670379</v>
      </c>
    </row>
    <row r="98" spans="1:7" ht="15" customHeight="1" x14ac:dyDescent="0.25">
      <c r="A98" s="27" t="s">
        <v>104</v>
      </c>
      <c r="B98" s="30">
        <f xml:space="preserve"> 13061</f>
        <v>13061</v>
      </c>
      <c r="C98" s="30">
        <f t="shared" ref="C98:C161" si="2">$B$9*B98/E86+(1-$B$9)*(C97+D97)</f>
        <v>14593.906303736017</v>
      </c>
      <c r="D98" s="30">
        <f t="shared" si="0"/>
        <v>43.663825149155876</v>
      </c>
      <c r="E98" s="30">
        <f t="shared" ref="E98:E161" si="3">$B$11*(B98/C98)+(1-$B$11)*E86</f>
        <v>0.90805598066695403</v>
      </c>
      <c r="F98" s="30">
        <f t="shared" ref="F98:F161" si="4">(C97+D97)*E86</f>
        <v>13266.698599615915</v>
      </c>
      <c r="G98" s="30">
        <f t="shared" si="1"/>
        <v>-205.69859961591465</v>
      </c>
    </row>
    <row r="99" spans="1:7" ht="15" customHeight="1" x14ac:dyDescent="0.25">
      <c r="A99" s="27" t="s">
        <v>105</v>
      </c>
      <c r="B99" s="30">
        <f xml:space="preserve"> 13179</f>
        <v>13179</v>
      </c>
      <c r="C99" s="30">
        <f t="shared" si="2"/>
        <v>14654.960309761553</v>
      </c>
      <c r="D99" s="30">
        <f t="shared" si="0"/>
        <v>43.663825149155876</v>
      </c>
      <c r="E99" s="30">
        <f t="shared" si="3"/>
        <v>0.88554664064815503</v>
      </c>
      <c r="F99" s="30">
        <f t="shared" si="4"/>
        <v>12962.251054886048</v>
      </c>
      <c r="G99" s="30">
        <f t="shared" si="1"/>
        <v>216.74894511395178</v>
      </c>
    </row>
    <row r="100" spans="1:7" ht="15" customHeight="1" x14ac:dyDescent="0.25">
      <c r="A100" s="27" t="s">
        <v>106</v>
      </c>
      <c r="B100" s="30">
        <f xml:space="preserve"> 14340</f>
        <v>14340</v>
      </c>
      <c r="C100" s="30">
        <f t="shared" si="2"/>
        <v>14766.978726530631</v>
      </c>
      <c r="D100" s="30">
        <f t="shared" si="0"/>
        <v>43.663825149155876</v>
      </c>
      <c r="E100" s="30">
        <f t="shared" si="3"/>
        <v>0.91566790449516999</v>
      </c>
      <c r="F100" s="30">
        <f t="shared" si="4"/>
        <v>13459.05836057582</v>
      </c>
      <c r="G100" s="30">
        <f t="shared" si="1"/>
        <v>880.94163942417981</v>
      </c>
    </row>
    <row r="101" spans="1:7" ht="15" customHeight="1" x14ac:dyDescent="0.25">
      <c r="A101" s="27" t="s">
        <v>107</v>
      </c>
      <c r="B101" s="30">
        <f xml:space="preserve"> 15465</f>
        <v>15465</v>
      </c>
      <c r="C101" s="30">
        <f t="shared" si="2"/>
        <v>14852.025814132779</v>
      </c>
      <c r="D101" s="30">
        <f t="shared" si="0"/>
        <v>43.663825149155876</v>
      </c>
      <c r="E101" s="30">
        <f t="shared" si="3"/>
        <v>1.00467075106077</v>
      </c>
      <c r="F101" s="30">
        <f t="shared" si="4"/>
        <v>14879.819376088732</v>
      </c>
      <c r="G101" s="30">
        <f t="shared" si="1"/>
        <v>585.18062391126841</v>
      </c>
    </row>
    <row r="102" spans="1:7" ht="15" customHeight="1" x14ac:dyDescent="0.25">
      <c r="A102" s="27" t="s">
        <v>108</v>
      </c>
      <c r="B102" s="30">
        <f xml:space="preserve"> 16643</f>
        <v>16643</v>
      </c>
      <c r="C102" s="30">
        <f t="shared" si="2"/>
        <v>14913.889722499593</v>
      </c>
      <c r="D102" s="30">
        <f t="shared" si="0"/>
        <v>43.663825149155876</v>
      </c>
      <c r="E102" s="30">
        <f t="shared" si="3"/>
        <v>1.0984136010088199</v>
      </c>
      <c r="F102" s="30">
        <f t="shared" si="4"/>
        <v>16361.628096193441</v>
      </c>
      <c r="G102" s="30">
        <f t="shared" si="1"/>
        <v>281.3719038065592</v>
      </c>
    </row>
    <row r="103" spans="1:7" ht="15" customHeight="1" x14ac:dyDescent="0.25">
      <c r="A103" s="27" t="s">
        <v>109</v>
      </c>
      <c r="B103" s="30">
        <f xml:space="preserve"> 17772</f>
        <v>17772</v>
      </c>
      <c r="C103" s="30">
        <f t="shared" si="2"/>
        <v>14975.725720596807</v>
      </c>
      <c r="D103" s="30">
        <f t="shared" si="0"/>
        <v>43.663825149155876</v>
      </c>
      <c r="E103" s="30">
        <f t="shared" si="3"/>
        <v>1.16818661161436</v>
      </c>
      <c r="F103" s="30">
        <f t="shared" si="4"/>
        <v>17473.213796868142</v>
      </c>
      <c r="G103" s="30">
        <f t="shared" si="1"/>
        <v>298.7862031318582</v>
      </c>
    </row>
    <row r="104" spans="1:7" ht="15" customHeight="1" x14ac:dyDescent="0.25">
      <c r="A104" s="27" t="s">
        <v>110</v>
      </c>
      <c r="B104" s="30">
        <f xml:space="preserve"> 16582</f>
        <v>16582</v>
      </c>
      <c r="C104" s="30">
        <f t="shared" si="2"/>
        <v>14910.651040142429</v>
      </c>
      <c r="D104" s="30">
        <f t="shared" si="0"/>
        <v>43.663825149155876</v>
      </c>
      <c r="E104" s="30">
        <f t="shared" si="3"/>
        <v>1.22930527620955</v>
      </c>
      <c r="F104" s="30">
        <f t="shared" si="4"/>
        <v>18463.414814032069</v>
      </c>
      <c r="G104" s="30">
        <f t="shared" si="1"/>
        <v>-1881.4148140320685</v>
      </c>
    </row>
    <row r="105" spans="1:7" ht="15" customHeight="1" x14ac:dyDescent="0.25">
      <c r="A105" s="27" t="s">
        <v>111</v>
      </c>
      <c r="B105" s="30">
        <f xml:space="preserve"> 15786</f>
        <v>15786</v>
      </c>
      <c r="C105" s="30">
        <f t="shared" si="2"/>
        <v>15004.89364065042</v>
      </c>
      <c r="D105" s="30">
        <f t="shared" si="0"/>
        <v>43.663825149155876</v>
      </c>
      <c r="E105" s="30">
        <f t="shared" si="3"/>
        <v>1.00764705327381</v>
      </c>
      <c r="F105" s="30">
        <f t="shared" si="4"/>
        <v>15068.6713077398</v>
      </c>
      <c r="G105" s="30">
        <f t="shared" si="1"/>
        <v>717.32869226020011</v>
      </c>
    </row>
    <row r="106" spans="1:7" ht="15" customHeight="1" x14ac:dyDescent="0.25">
      <c r="A106" s="27" t="s">
        <v>112</v>
      </c>
      <c r="B106" s="30">
        <f xml:space="preserve"> 15861</f>
        <v>15861</v>
      </c>
      <c r="C106" s="30">
        <f t="shared" si="2"/>
        <v>15079.608679114226</v>
      </c>
      <c r="D106" s="30">
        <f t="shared" si="0"/>
        <v>43.663825149155876</v>
      </c>
      <c r="E106" s="30">
        <f t="shared" si="3"/>
        <v>1.02424212110212</v>
      </c>
      <c r="F106" s="30">
        <f t="shared" si="4"/>
        <v>15413.366418297703</v>
      </c>
      <c r="G106" s="30">
        <f t="shared" si="1"/>
        <v>447.63358170229731</v>
      </c>
    </row>
    <row r="107" spans="1:7" ht="15" customHeight="1" x14ac:dyDescent="0.25">
      <c r="A107" s="27" t="s">
        <v>113</v>
      </c>
      <c r="B107" s="30">
        <f xml:space="preserve"> 15179</f>
        <v>15179</v>
      </c>
      <c r="C107" s="30">
        <f t="shared" si="2"/>
        <v>15188.022317505318</v>
      </c>
      <c r="D107" s="30">
        <f t="shared" si="0"/>
        <v>43.663825149155876</v>
      </c>
      <c r="E107" s="30">
        <f t="shared" si="3"/>
        <v>0.94663970878958603</v>
      </c>
      <c r="F107" s="30">
        <f t="shared" si="4"/>
        <v>14316.290279381443</v>
      </c>
      <c r="G107" s="30">
        <f t="shared" si="1"/>
        <v>862.70972061855718</v>
      </c>
    </row>
    <row r="108" spans="1:7" ht="15" customHeight="1" x14ac:dyDescent="0.25">
      <c r="A108" s="27" t="s">
        <v>114</v>
      </c>
      <c r="B108" s="30">
        <f xml:space="preserve"> 13520</f>
        <v>13520</v>
      </c>
      <c r="C108" s="30">
        <f t="shared" si="2"/>
        <v>15210.84421480231</v>
      </c>
      <c r="D108" s="30">
        <f t="shared" si="0"/>
        <v>43.663825149155876</v>
      </c>
      <c r="E108" s="30">
        <f t="shared" si="3"/>
        <v>0.90505366487202898</v>
      </c>
      <c r="F108" s="30">
        <f t="shared" si="4"/>
        <v>13785.493365589931</v>
      </c>
      <c r="G108" s="30">
        <f t="shared" si="1"/>
        <v>-265.49336558993127</v>
      </c>
    </row>
    <row r="109" spans="1:7" ht="15" customHeight="1" x14ac:dyDescent="0.25">
      <c r="A109" s="27" t="s">
        <v>115</v>
      </c>
      <c r="B109" s="30">
        <f xml:space="preserve"> 12332</f>
        <v>12332</v>
      </c>
      <c r="C109" s="30">
        <f t="shared" si="2"/>
        <v>15137.163705563638</v>
      </c>
      <c r="D109" s="30">
        <f t="shared" si="0"/>
        <v>43.663825149155876</v>
      </c>
      <c r="E109" s="30">
        <f t="shared" si="3"/>
        <v>0.90657052885571199</v>
      </c>
      <c r="F109" s="30">
        <f t="shared" si="4"/>
        <v>13829.287421212512</v>
      </c>
      <c r="G109" s="30">
        <f t="shared" si="1"/>
        <v>-1497.2874212125116</v>
      </c>
    </row>
    <row r="110" spans="1:7" ht="15" customHeight="1" x14ac:dyDescent="0.25">
      <c r="A110" s="27" t="s">
        <v>116</v>
      </c>
      <c r="B110" s="30">
        <f xml:space="preserve"> 12433</f>
        <v>12433</v>
      </c>
      <c r="C110" s="30">
        <f t="shared" si="2"/>
        <v>15075.039664065933</v>
      </c>
      <c r="D110" s="30">
        <f t="shared" si="0"/>
        <v>43.663825149155876</v>
      </c>
      <c r="E110" s="30">
        <f t="shared" si="3"/>
        <v>0.90805598066695403</v>
      </c>
      <c r="F110" s="30">
        <f t="shared" si="4"/>
        <v>13785.041230737301</v>
      </c>
      <c r="G110" s="30">
        <f t="shared" si="1"/>
        <v>-1352.0412307373008</v>
      </c>
    </row>
    <row r="111" spans="1:7" ht="15" customHeight="1" x14ac:dyDescent="0.25">
      <c r="A111" s="27" t="s">
        <v>117</v>
      </c>
      <c r="B111" s="30">
        <f xml:space="preserve"> 12867</f>
        <v>12867</v>
      </c>
      <c r="C111" s="30">
        <f t="shared" si="2"/>
        <v>15076.877226061821</v>
      </c>
      <c r="D111" s="30">
        <f t="shared" si="0"/>
        <v>43.663825149155876</v>
      </c>
      <c r="E111" s="30">
        <f t="shared" si="3"/>
        <v>0.88554664064815503</v>
      </c>
      <c r="F111" s="30">
        <f t="shared" si="4"/>
        <v>13388.317085829962</v>
      </c>
      <c r="G111" s="30">
        <f t="shared" si="1"/>
        <v>-521.3170858299618</v>
      </c>
    </row>
    <row r="112" spans="1:7" ht="15" customHeight="1" x14ac:dyDescent="0.25">
      <c r="A112" s="27" t="s">
        <v>118</v>
      </c>
      <c r="B112" s="30">
        <f xml:space="preserve"> 13505</f>
        <v>13505</v>
      </c>
      <c r="C112" s="30">
        <f t="shared" si="2"/>
        <v>15094.128969714031</v>
      </c>
      <c r="D112" s="30">
        <f t="shared" si="0"/>
        <v>43.663825149155876</v>
      </c>
      <c r="E112" s="30">
        <f t="shared" si="3"/>
        <v>0.91566790449516999</v>
      </c>
      <c r="F112" s="30">
        <f t="shared" si="4"/>
        <v>13845.39413919555</v>
      </c>
      <c r="G112" s="30">
        <f t="shared" si="1"/>
        <v>-340.39413919555045</v>
      </c>
    </row>
    <row r="113" spans="1:7" ht="15" customHeight="1" x14ac:dyDescent="0.25">
      <c r="A113" s="27" t="s">
        <v>119</v>
      </c>
      <c r="B113" s="30">
        <f xml:space="preserve"> 16212</f>
        <v>16212</v>
      </c>
      <c r="C113" s="30">
        <f t="shared" si="2"/>
        <v>15208.75926085931</v>
      </c>
      <c r="D113" s="30">
        <f t="shared" si="0"/>
        <v>43.663825149155876</v>
      </c>
      <c r="E113" s="30">
        <f t="shared" si="3"/>
        <v>1.00467075106077</v>
      </c>
      <c r="F113" s="30">
        <f t="shared" si="4"/>
        <v>15208.497656617512</v>
      </c>
      <c r="G113" s="30">
        <f t="shared" si="1"/>
        <v>1003.5023433824881</v>
      </c>
    </row>
    <row r="114" spans="1:7" ht="15" customHeight="1" x14ac:dyDescent="0.25">
      <c r="A114" s="27" t="s">
        <v>120</v>
      </c>
      <c r="B114" s="30">
        <f xml:space="preserve"> 17088</f>
        <v>17088</v>
      </c>
      <c r="C114" s="30">
        <f t="shared" si="2"/>
        <v>15274.061680960876</v>
      </c>
      <c r="D114" s="30">
        <f t="shared" si="0"/>
        <v>43.663825149155876</v>
      </c>
      <c r="E114" s="30">
        <f t="shared" si="3"/>
        <v>1.0984136010088199</v>
      </c>
      <c r="F114" s="30">
        <f t="shared" si="4"/>
        <v>16753.468966012617</v>
      </c>
      <c r="G114" s="30">
        <f t="shared" si="1"/>
        <v>334.53103398738313</v>
      </c>
    </row>
    <row r="115" spans="1:7" ht="15" customHeight="1" x14ac:dyDescent="0.25">
      <c r="A115" s="27" t="s">
        <v>121</v>
      </c>
      <c r="B115" s="30">
        <f xml:space="preserve"> 17147</f>
        <v>17147</v>
      </c>
      <c r="C115" s="30">
        <f t="shared" si="2"/>
        <v>15272.295295806318</v>
      </c>
      <c r="D115" s="30">
        <f t="shared" si="0"/>
        <v>43.663825149155876</v>
      </c>
      <c r="E115" s="30">
        <f t="shared" si="3"/>
        <v>1.16818661161436</v>
      </c>
      <c r="F115" s="30">
        <f t="shared" si="4"/>
        <v>17893.961856621536</v>
      </c>
      <c r="G115" s="30">
        <f t="shared" si="1"/>
        <v>-746.96185662153584</v>
      </c>
    </row>
    <row r="116" spans="1:7" ht="15" customHeight="1" x14ac:dyDescent="0.25">
      <c r="A116" s="27" t="s">
        <v>122</v>
      </c>
      <c r="B116" s="30">
        <f xml:space="preserve"> 19881</f>
        <v>19881</v>
      </c>
      <c r="C116" s="30">
        <f t="shared" si="2"/>
        <v>15376.819066771341</v>
      </c>
      <c r="D116" s="30">
        <f t="shared" si="0"/>
        <v>43.663825149155876</v>
      </c>
      <c r="E116" s="30">
        <f t="shared" si="3"/>
        <v>1.22930527620955</v>
      </c>
      <c r="F116" s="30">
        <f t="shared" si="4"/>
        <v>18827.989357600345</v>
      </c>
      <c r="G116" s="30">
        <f t="shared" si="1"/>
        <v>1053.0106423996549</v>
      </c>
    </row>
    <row r="117" spans="1:7" ht="15" customHeight="1" x14ac:dyDescent="0.25">
      <c r="A117" s="27" t="s">
        <v>123</v>
      </c>
      <c r="B117" s="30">
        <f xml:space="preserve"> 14570</f>
        <v>14570</v>
      </c>
      <c r="C117" s="30">
        <f t="shared" si="2"/>
        <v>15352.200811068597</v>
      </c>
      <c r="D117" s="30">
        <f t="shared" si="0"/>
        <v>43.663825149155876</v>
      </c>
      <c r="E117" s="30">
        <f t="shared" si="3"/>
        <v>1.00764705327381</v>
      </c>
      <c r="F117" s="30">
        <f t="shared" si="4"/>
        <v>15538.404146102888</v>
      </c>
      <c r="G117" s="30">
        <f t="shared" si="1"/>
        <v>-968.40414610288826</v>
      </c>
    </row>
    <row r="118" spans="1:7" ht="15" customHeight="1" x14ac:dyDescent="0.25">
      <c r="A118" s="27" t="s">
        <v>124</v>
      </c>
      <c r="B118" s="30">
        <f xml:space="preserve"> 15410</f>
        <v>15410</v>
      </c>
      <c r="C118" s="30">
        <f t="shared" si="2"/>
        <v>15370.955256340043</v>
      </c>
      <c r="D118" s="30">
        <f t="shared" si="0"/>
        <v>43.663825149155876</v>
      </c>
      <c r="E118" s="30">
        <f t="shared" si="3"/>
        <v>1.02424212110212</v>
      </c>
      <c r="F118" s="30">
        <f t="shared" si="4"/>
        <v>15769.093051200791</v>
      </c>
      <c r="G118" s="30">
        <f t="shared" si="1"/>
        <v>-359.0930512007908</v>
      </c>
    </row>
    <row r="119" spans="1:7" ht="15" customHeight="1" x14ac:dyDescent="0.25">
      <c r="A119" s="27" t="s">
        <v>125</v>
      </c>
      <c r="B119" s="30">
        <f xml:space="preserve"> 14320</f>
        <v>14320</v>
      </c>
      <c r="C119" s="30">
        <f t="shared" si="2"/>
        <v>15394.197600392539</v>
      </c>
      <c r="D119" s="30">
        <f t="shared" si="0"/>
        <v>43.663825149155876</v>
      </c>
      <c r="E119" s="30">
        <f t="shared" si="3"/>
        <v>0.94663970878958603</v>
      </c>
      <c r="F119" s="30">
        <f t="shared" si="4"/>
        <v>14592.090518403333</v>
      </c>
      <c r="G119" s="30">
        <f t="shared" si="1"/>
        <v>-272.09051840333268</v>
      </c>
    </row>
    <row r="120" spans="1:7" ht="15" customHeight="1" x14ac:dyDescent="0.25">
      <c r="A120" s="27" t="s">
        <v>126</v>
      </c>
      <c r="B120" s="30">
        <f xml:space="preserve"> 14438</f>
        <v>14438</v>
      </c>
      <c r="C120" s="30">
        <f t="shared" si="2"/>
        <v>15474.4363463027</v>
      </c>
      <c r="D120" s="30">
        <f t="shared" si="0"/>
        <v>43.663825149155876</v>
      </c>
      <c r="E120" s="30">
        <f t="shared" si="3"/>
        <v>0.90505366487202898</v>
      </c>
      <c r="F120" s="30">
        <f t="shared" si="4"/>
        <v>13972.093060973039</v>
      </c>
      <c r="G120" s="30">
        <f t="shared" si="1"/>
        <v>465.90693902696148</v>
      </c>
    </row>
    <row r="121" spans="1:7" ht="15" customHeight="1" x14ac:dyDescent="0.25">
      <c r="A121" s="27" t="s">
        <v>127</v>
      </c>
      <c r="B121" s="30">
        <f xml:space="preserve"> 14051</f>
        <v>14051</v>
      </c>
      <c r="C121" s="30">
        <f t="shared" si="2"/>
        <v>15516.748088211983</v>
      </c>
      <c r="D121" s="30">
        <f t="shared" si="0"/>
        <v>43.663825149155876</v>
      </c>
      <c r="E121" s="30">
        <f t="shared" si="3"/>
        <v>0.90657052885571199</v>
      </c>
      <c r="F121" s="30">
        <f t="shared" si="4"/>
        <v>14068.252279269025</v>
      </c>
      <c r="G121" s="30">
        <f t="shared" si="1"/>
        <v>-17.252279269025166</v>
      </c>
    </row>
    <row r="122" spans="1:7" ht="15" customHeight="1" x14ac:dyDescent="0.25">
      <c r="A122" s="27" t="s">
        <v>128</v>
      </c>
      <c r="B122" s="30">
        <f xml:space="preserve"> 14050</f>
        <v>14050</v>
      </c>
      <c r="C122" s="30">
        <f t="shared" si="2"/>
        <v>15554.173976225893</v>
      </c>
      <c r="D122" s="30">
        <f t="shared" si="0"/>
        <v>43.663825149155876</v>
      </c>
      <c r="E122" s="30">
        <f t="shared" si="3"/>
        <v>0.90805598066695403</v>
      </c>
      <c r="F122" s="30">
        <f t="shared" si="4"/>
        <v>14129.725099568905</v>
      </c>
      <c r="G122" s="30">
        <f t="shared" si="1"/>
        <v>-79.725099568904625</v>
      </c>
    </row>
    <row r="123" spans="1:7" ht="15" customHeight="1" x14ac:dyDescent="0.25">
      <c r="A123" s="27" t="s">
        <v>129</v>
      </c>
      <c r="B123" s="30">
        <f xml:space="preserve"> 14626</f>
        <v>14626</v>
      </c>
      <c r="C123" s="30">
        <f t="shared" si="2"/>
        <v>15663.097400994746</v>
      </c>
      <c r="D123" s="30">
        <f t="shared" si="0"/>
        <v>43.663825149155876</v>
      </c>
      <c r="E123" s="30">
        <f t="shared" si="3"/>
        <v>0.88554664064815503</v>
      </c>
      <c r="F123" s="30">
        <f t="shared" si="4"/>
        <v>13812.61286638248</v>
      </c>
      <c r="G123" s="30">
        <f t="shared" si="1"/>
        <v>813.38713361751979</v>
      </c>
    </row>
    <row r="124" spans="1:7" ht="15" customHeight="1" x14ac:dyDescent="0.25">
      <c r="A124" s="27" t="s">
        <v>130</v>
      </c>
      <c r="B124" s="30">
        <f xml:space="preserve"> 14553</f>
        <v>14553</v>
      </c>
      <c r="C124" s="30">
        <f t="shared" si="2"/>
        <v>15720.015823752798</v>
      </c>
      <c r="D124" s="30">
        <f t="shared" si="0"/>
        <v>43.663825149155876</v>
      </c>
      <c r="E124" s="30">
        <f t="shared" si="3"/>
        <v>0.91566790449516999</v>
      </c>
      <c r="F124" s="30">
        <f t="shared" si="4"/>
        <v>14382.177138349174</v>
      </c>
      <c r="G124" s="30">
        <f t="shared" si="1"/>
        <v>170.82286165082587</v>
      </c>
    </row>
    <row r="125" spans="1:7" ht="15" customHeight="1" x14ac:dyDescent="0.25">
      <c r="A125" s="27" t="s">
        <v>131</v>
      </c>
      <c r="B125" s="30">
        <f xml:space="preserve"> 15190</f>
        <v>15190</v>
      </c>
      <c r="C125" s="30">
        <f t="shared" si="2"/>
        <v>15717.902822953685</v>
      </c>
      <c r="D125" s="30">
        <f t="shared" si="0"/>
        <v>43.663825149155876</v>
      </c>
      <c r="E125" s="30">
        <f t="shared" si="3"/>
        <v>1.00467075106077</v>
      </c>
      <c r="F125" s="30">
        <f t="shared" si="4"/>
        <v>15837.307872343701</v>
      </c>
      <c r="G125" s="30">
        <f t="shared" si="1"/>
        <v>-647.30787234370109</v>
      </c>
    </row>
    <row r="126" spans="1:7" ht="15" customHeight="1" x14ac:dyDescent="0.25">
      <c r="A126" s="27" t="s">
        <v>132</v>
      </c>
      <c r="B126" s="30">
        <f xml:space="preserve"> 17059</f>
        <v>17059</v>
      </c>
      <c r="C126" s="30">
        <f t="shared" si="2"/>
        <v>15745.155236309278</v>
      </c>
      <c r="D126" s="30">
        <f t="shared" si="0"/>
        <v>43.663825149155876</v>
      </c>
      <c r="E126" s="30">
        <f t="shared" si="3"/>
        <v>1.0984136010088199</v>
      </c>
      <c r="F126" s="30">
        <f t="shared" si="4"/>
        <v>17312.71917948316</v>
      </c>
      <c r="G126" s="30">
        <f t="shared" si="1"/>
        <v>-253.71917948315968</v>
      </c>
    </row>
    <row r="127" spans="1:7" ht="15" customHeight="1" x14ac:dyDescent="0.25">
      <c r="A127" s="27" t="s">
        <v>133</v>
      </c>
      <c r="B127" s="30">
        <f xml:space="preserve"> 18541</f>
        <v>18541</v>
      </c>
      <c r="C127" s="30">
        <f t="shared" si="2"/>
        <v>15794.701142366212</v>
      </c>
      <c r="D127" s="30">
        <f t="shared" si="0"/>
        <v>43.663825149155876</v>
      </c>
      <c r="E127" s="30">
        <f t="shared" si="3"/>
        <v>1.16818661161436</v>
      </c>
      <c r="F127" s="30">
        <f t="shared" si="4"/>
        <v>18444.28704079735</v>
      </c>
      <c r="G127" s="30">
        <f t="shared" si="1"/>
        <v>96.712959202650381</v>
      </c>
    </row>
    <row r="128" spans="1:7" ht="15" customHeight="1" x14ac:dyDescent="0.25">
      <c r="A128" s="27" t="s">
        <v>134</v>
      </c>
      <c r="B128" s="30">
        <f xml:space="preserve"> 18567</f>
        <v>18567</v>
      </c>
      <c r="C128" s="30">
        <f t="shared" si="2"/>
        <v>15786.164328938252</v>
      </c>
      <c r="D128" s="30">
        <f t="shared" si="0"/>
        <v>43.663825149155876</v>
      </c>
      <c r="E128" s="30">
        <f t="shared" si="3"/>
        <v>1.22930527620955</v>
      </c>
      <c r="F128" s="30">
        <f t="shared" si="4"/>
        <v>19470.185621099139</v>
      </c>
      <c r="G128" s="30">
        <f t="shared" si="1"/>
        <v>-903.1856210991391</v>
      </c>
    </row>
    <row r="129" spans="1:7" ht="15" customHeight="1" x14ac:dyDescent="0.25">
      <c r="A129" s="27" t="s">
        <v>135</v>
      </c>
      <c r="B129" s="30">
        <f xml:space="preserve"> 16684</f>
        <v>16684</v>
      </c>
      <c r="C129" s="30">
        <f t="shared" si="2"/>
        <v>15881.520394623469</v>
      </c>
      <c r="D129" s="30">
        <f t="shared" si="0"/>
        <v>43.663825149155876</v>
      </c>
      <c r="E129" s="30">
        <f t="shared" si="3"/>
        <v>1.00764705327381</v>
      </c>
      <c r="F129" s="30">
        <f t="shared" si="4"/>
        <v>15950.879693296973</v>
      </c>
      <c r="G129" s="30">
        <f t="shared" si="1"/>
        <v>733.12030670302738</v>
      </c>
    </row>
    <row r="130" spans="1:7" ht="15" customHeight="1" x14ac:dyDescent="0.25">
      <c r="A130" s="27" t="s">
        <v>136</v>
      </c>
      <c r="B130" s="30">
        <f xml:space="preserve"> 14523</f>
        <v>14523</v>
      </c>
      <c r="C130" s="30">
        <f t="shared" si="2"/>
        <v>15801.138208511567</v>
      </c>
      <c r="D130" s="30">
        <f t="shared" si="0"/>
        <v>43.663825149155876</v>
      </c>
      <c r="E130" s="30">
        <f t="shared" si="3"/>
        <v>1.02424212110212</v>
      </c>
      <c r="F130" s="30">
        <f t="shared" si="4"/>
        <v>16311.244464201924</v>
      </c>
      <c r="G130" s="30">
        <f t="shared" si="1"/>
        <v>-1788.2444642019236</v>
      </c>
    </row>
    <row r="131" spans="1:7" ht="15" customHeight="1" x14ac:dyDescent="0.25">
      <c r="A131" s="27" t="s">
        <v>137</v>
      </c>
      <c r="B131" s="30">
        <f xml:space="preserve"> 13316</f>
        <v>13316</v>
      </c>
      <c r="C131" s="30">
        <f t="shared" si="2"/>
        <v>15718.46222987828</v>
      </c>
      <c r="D131" s="30">
        <f t="shared" si="0"/>
        <v>43.663825149155876</v>
      </c>
      <c r="E131" s="30">
        <f t="shared" si="3"/>
        <v>0.94663970878958603</v>
      </c>
      <c r="F131" s="30">
        <f t="shared" si="4"/>
        <v>14999.318782973229</v>
      </c>
      <c r="G131" s="30">
        <f t="shared" si="1"/>
        <v>-1683.3187829732287</v>
      </c>
    </row>
    <row r="132" spans="1:7" ht="15" customHeight="1" x14ac:dyDescent="0.25">
      <c r="A132" s="27" t="s">
        <v>138</v>
      </c>
      <c r="B132" s="30">
        <f xml:space="preserve"> 14466</f>
        <v>14466</v>
      </c>
      <c r="C132" s="30">
        <f t="shared" si="2"/>
        <v>15777.860341211037</v>
      </c>
      <c r="D132" s="30">
        <f t="shared" si="0"/>
        <v>43.663825149155876</v>
      </c>
      <c r="E132" s="30">
        <f t="shared" si="3"/>
        <v>0.90505366487202898</v>
      </c>
      <c r="F132" s="30">
        <f t="shared" si="4"/>
        <v>14265.569952277478</v>
      </c>
      <c r="G132" s="30">
        <f t="shared" si="1"/>
        <v>200.43004772252243</v>
      </c>
    </row>
    <row r="133" spans="1:7" ht="15" customHeight="1" x14ac:dyDescent="0.25">
      <c r="A133" s="27" t="s">
        <v>139</v>
      </c>
      <c r="B133" s="30">
        <f xml:space="preserve"> 15045</f>
        <v>15045</v>
      </c>
      <c r="C133" s="30">
        <f t="shared" si="2"/>
        <v>15876.515137158434</v>
      </c>
      <c r="D133" s="30">
        <f t="shared" si="0"/>
        <v>43.663825149155876</v>
      </c>
      <c r="E133" s="30">
        <f t="shared" si="3"/>
        <v>0.90657052885571199</v>
      </c>
      <c r="F133" s="30">
        <f t="shared" si="4"/>
        <v>14343.327530800589</v>
      </c>
      <c r="G133" s="30">
        <f t="shared" si="1"/>
        <v>701.67246919941135</v>
      </c>
    </row>
    <row r="134" spans="1:7" ht="15" customHeight="1" x14ac:dyDescent="0.25">
      <c r="A134" s="27" t="s">
        <v>140</v>
      </c>
      <c r="B134" s="30">
        <f xml:space="preserve"> 15028</f>
        <v>15028</v>
      </c>
      <c r="C134" s="30">
        <f t="shared" si="2"/>
        <v>15964.901631846013</v>
      </c>
      <c r="D134" s="30">
        <f t="shared" si="0"/>
        <v>43.663825149155876</v>
      </c>
      <c r="E134" s="30">
        <f t="shared" si="3"/>
        <v>0.90805598066695403</v>
      </c>
      <c r="F134" s="30">
        <f t="shared" si="4"/>
        <v>14456.413720011631</v>
      </c>
      <c r="G134" s="30">
        <f t="shared" si="1"/>
        <v>571.58627998836891</v>
      </c>
    </row>
    <row r="135" spans="1:7" ht="15" customHeight="1" x14ac:dyDescent="0.25">
      <c r="A135" s="27" t="s">
        <v>141</v>
      </c>
      <c r="B135" s="30">
        <f xml:space="preserve"> 15187</f>
        <v>15187</v>
      </c>
      <c r="C135" s="30">
        <f t="shared" si="2"/>
        <v>16089.653327623557</v>
      </c>
      <c r="D135" s="30">
        <f t="shared" si="0"/>
        <v>43.663825149155876</v>
      </c>
      <c r="E135" s="30">
        <f t="shared" si="3"/>
        <v>0.88554664064815503</v>
      </c>
      <c r="F135" s="30">
        <f t="shared" si="4"/>
        <v>14176.331362038169</v>
      </c>
      <c r="G135" s="30">
        <f t="shared" si="1"/>
        <v>1010.6686379618313</v>
      </c>
    </row>
    <row r="136" spans="1:7" ht="15" customHeight="1" x14ac:dyDescent="0.25">
      <c r="A136" s="27" t="s">
        <v>142</v>
      </c>
      <c r="B136" s="30">
        <f xml:space="preserve"> 14271</f>
        <v>14271</v>
      </c>
      <c r="C136" s="30">
        <f t="shared" si="2"/>
        <v>16094.384212295367</v>
      </c>
      <c r="D136" s="30">
        <f t="shared" si="0"/>
        <v>43.663825149155876</v>
      </c>
      <c r="E136" s="30">
        <f t="shared" si="3"/>
        <v>0.91566790449516999</v>
      </c>
      <c r="F136" s="30">
        <f t="shared" si="4"/>
        <v>14772.760709835373</v>
      </c>
      <c r="G136" s="30">
        <f t="shared" si="1"/>
        <v>-501.76070983537284</v>
      </c>
    </row>
    <row r="137" spans="1:7" ht="15" customHeight="1" x14ac:dyDescent="0.25">
      <c r="A137" s="27" t="s">
        <v>143</v>
      </c>
      <c r="B137" s="30">
        <f xml:space="preserve"> 15923</f>
        <v>15923</v>
      </c>
      <c r="C137" s="30">
        <f t="shared" si="2"/>
        <v>16117.509545590521</v>
      </c>
      <c r="D137" s="30">
        <f t="shared" si="0"/>
        <v>43.663825149155876</v>
      </c>
      <c r="E137" s="30">
        <f t="shared" si="3"/>
        <v>1.00467075106077</v>
      </c>
      <c r="F137" s="30">
        <f t="shared" si="4"/>
        <v>16213.424842434175</v>
      </c>
      <c r="G137" s="30">
        <f t="shared" si="1"/>
        <v>-290.42484243417493</v>
      </c>
    </row>
    <row r="138" spans="1:7" ht="15" customHeight="1" x14ac:dyDescent="0.25">
      <c r="A138" s="27" t="s">
        <v>144</v>
      </c>
      <c r="B138" s="30">
        <f xml:space="preserve"> 16632</f>
        <v>16632</v>
      </c>
      <c r="C138" s="30">
        <f t="shared" si="2"/>
        <v>16088.750463821121</v>
      </c>
      <c r="D138" s="30">
        <f t="shared" si="0"/>
        <v>43.663825149155876</v>
      </c>
      <c r="E138" s="30">
        <f t="shared" si="3"/>
        <v>1.0984136010088199</v>
      </c>
      <c r="F138" s="30">
        <f t="shared" si="4"/>
        <v>17751.652638682019</v>
      </c>
      <c r="G138" s="30">
        <f t="shared" si="1"/>
        <v>-1119.6526386820187</v>
      </c>
    </row>
    <row r="139" spans="1:7" ht="15" customHeight="1" x14ac:dyDescent="0.25">
      <c r="A139" s="27" t="s">
        <v>145</v>
      </c>
      <c r="B139" s="30">
        <f xml:space="preserve"> 18432</f>
        <v>18432</v>
      </c>
      <c r="C139" s="30">
        <f t="shared" si="2"/>
        <v>16107.254861566924</v>
      </c>
      <c r="D139" s="30">
        <f t="shared" si="0"/>
        <v>43.663825149155876</v>
      </c>
      <c r="E139" s="30">
        <f t="shared" si="3"/>
        <v>1.16818661161436</v>
      </c>
      <c r="F139" s="30">
        <f t="shared" si="4"/>
        <v>18845.670385391273</v>
      </c>
      <c r="G139" s="30">
        <f t="shared" si="1"/>
        <v>-413.67038539127316</v>
      </c>
    </row>
    <row r="140" spans="1:7" ht="15" customHeight="1" x14ac:dyDescent="0.25">
      <c r="A140" s="27" t="s">
        <v>146</v>
      </c>
      <c r="B140" s="30">
        <f xml:space="preserve"> 19743</f>
        <v>19743</v>
      </c>
      <c r="C140" s="30">
        <f t="shared" si="2"/>
        <v>16144.479644846751</v>
      </c>
      <c r="D140" s="30">
        <f t="shared" si="0"/>
        <v>43.663825149155876</v>
      </c>
      <c r="E140" s="30">
        <f t="shared" si="3"/>
        <v>1.22930527620955</v>
      </c>
      <c r="F140" s="30">
        <f t="shared" si="4"/>
        <v>19854.409557211493</v>
      </c>
      <c r="G140" s="30">
        <f t="shared" si="1"/>
        <v>-111.40955721149294</v>
      </c>
    </row>
    <row r="141" spans="1:7" ht="15" customHeight="1" x14ac:dyDescent="0.25">
      <c r="A141" s="27" t="s">
        <v>147</v>
      </c>
      <c r="B141" s="30">
        <f xml:space="preserve"> 15632</f>
        <v>15632</v>
      </c>
      <c r="C141" s="30">
        <f t="shared" si="2"/>
        <v>16140.201315571665</v>
      </c>
      <c r="D141" s="30">
        <f t="shared" si="0"/>
        <v>43.663825149155876</v>
      </c>
      <c r="E141" s="30">
        <f t="shared" si="3"/>
        <v>1.00764705327381</v>
      </c>
      <c r="F141" s="30">
        <f t="shared" si="4"/>
        <v>16311.935065515047</v>
      </c>
      <c r="G141" s="30">
        <f t="shared" si="1"/>
        <v>-679.93506551504652</v>
      </c>
    </row>
    <row r="142" spans="1:7" ht="15" customHeight="1" x14ac:dyDescent="0.25">
      <c r="A142" s="27" t="s">
        <v>148</v>
      </c>
      <c r="B142" s="30">
        <f xml:space="preserve"> 16404</f>
        <v>16404</v>
      </c>
      <c r="C142" s="30">
        <f t="shared" si="2"/>
        <v>16171.920313287996</v>
      </c>
      <c r="D142" s="30">
        <f t="shared" si="0"/>
        <v>43.663825149155876</v>
      </c>
      <c r="E142" s="30">
        <f t="shared" si="3"/>
        <v>1.02424212110212</v>
      </c>
      <c r="F142" s="30">
        <f t="shared" si="4"/>
        <v>16576.196359362555</v>
      </c>
      <c r="G142" s="30">
        <f t="shared" si="1"/>
        <v>-172.19635936255509</v>
      </c>
    </row>
    <row r="143" spans="1:7" ht="15" customHeight="1" x14ac:dyDescent="0.25">
      <c r="A143" s="27" t="s">
        <v>149</v>
      </c>
      <c r="B143" s="30">
        <f xml:space="preserve"> 15572</f>
        <v>15572</v>
      </c>
      <c r="C143" s="30">
        <f t="shared" si="2"/>
        <v>16232.222420334525</v>
      </c>
      <c r="D143" s="30">
        <f t="shared" si="0"/>
        <v>43.663825149155876</v>
      </c>
      <c r="E143" s="30">
        <f t="shared" si="3"/>
        <v>0.94663970878958603</v>
      </c>
      <c r="F143" s="30">
        <f t="shared" si="4"/>
        <v>15350.315846663176</v>
      </c>
      <c r="G143" s="30">
        <f t="shared" si="1"/>
        <v>221.68415333682424</v>
      </c>
    </row>
    <row r="144" spans="1:7" ht="15" customHeight="1" x14ac:dyDescent="0.25">
      <c r="A144" s="27" t="s">
        <v>150</v>
      </c>
      <c r="B144" s="30">
        <f xml:space="preserve"> 14310</f>
        <v>14310</v>
      </c>
      <c r="C144" s="30">
        <f t="shared" si="2"/>
        <v>16242.871924895122</v>
      </c>
      <c r="D144" s="30">
        <f t="shared" si="0"/>
        <v>43.663825149155876</v>
      </c>
      <c r="E144" s="30">
        <f t="shared" si="3"/>
        <v>0.90505366487202898</v>
      </c>
      <c r="F144" s="30">
        <f t="shared" si="4"/>
        <v>14730.550495515254</v>
      </c>
      <c r="G144" s="30">
        <f t="shared" si="1"/>
        <v>-420.55049551525371</v>
      </c>
    </row>
    <row r="145" spans="1:7" ht="15" customHeight="1" x14ac:dyDescent="0.25">
      <c r="A145" s="27" t="s">
        <v>151</v>
      </c>
      <c r="B145" s="30">
        <f xml:space="preserve"> 16102</f>
        <v>16102</v>
      </c>
      <c r="C145" s="30">
        <f t="shared" si="2"/>
        <v>16391.326513789078</v>
      </c>
      <c r="D145" s="30">
        <f t="shared" si="0"/>
        <v>43.663825149155876</v>
      </c>
      <c r="E145" s="30">
        <f t="shared" si="3"/>
        <v>0.90657052885571199</v>
      </c>
      <c r="F145" s="30">
        <f t="shared" si="4"/>
        <v>14764.893328145101</v>
      </c>
      <c r="G145" s="30">
        <f t="shared" si="1"/>
        <v>1337.1066718548991</v>
      </c>
    </row>
    <row r="146" spans="1:7" ht="15" customHeight="1" x14ac:dyDescent="0.25">
      <c r="A146" s="27" t="s">
        <v>152</v>
      </c>
      <c r="B146" s="30">
        <f xml:space="preserve"> 14942</f>
        <v>14942</v>
      </c>
      <c r="C146" s="30">
        <f t="shared" si="2"/>
        <v>16436.407221741967</v>
      </c>
      <c r="D146" s="30">
        <f t="shared" si="0"/>
        <v>43.663825149155876</v>
      </c>
      <c r="E146" s="30">
        <f t="shared" si="3"/>
        <v>0.90805598066695403</v>
      </c>
      <c r="F146" s="30">
        <f t="shared" si="4"/>
        <v>14923.891269476473</v>
      </c>
      <c r="G146" s="30">
        <f t="shared" si="1"/>
        <v>18.108730523526901</v>
      </c>
    </row>
    <row r="147" spans="1:7" ht="15" customHeight="1" x14ac:dyDescent="0.25">
      <c r="A147" s="27" t="s">
        <v>153</v>
      </c>
      <c r="B147" s="30">
        <f xml:space="preserve"> 14242</f>
        <v>14242</v>
      </c>
      <c r="C147" s="30">
        <f t="shared" si="2"/>
        <v>16451.839721693741</v>
      </c>
      <c r="D147" s="30">
        <f t="shared" si="0"/>
        <v>43.663825149155876</v>
      </c>
      <c r="E147" s="30">
        <f t="shared" si="3"/>
        <v>0.88554664064815503</v>
      </c>
      <c r="F147" s="30">
        <f t="shared" si="4"/>
        <v>14593.871553217357</v>
      </c>
      <c r="G147" s="30">
        <f t="shared" si="1"/>
        <v>-351.87155321735736</v>
      </c>
    </row>
    <row r="148" spans="1:7" ht="15" customHeight="1" x14ac:dyDescent="0.25">
      <c r="A148" s="27" t="s">
        <v>154</v>
      </c>
      <c r="B148" s="30">
        <f xml:space="preserve"> 15039</f>
        <v>15039</v>
      </c>
      <c r="C148" s="30">
        <f t="shared" si="2"/>
        <v>16490.428742196273</v>
      </c>
      <c r="D148" s="30">
        <f t="shared" si="0"/>
        <v>43.663825149155876</v>
      </c>
      <c r="E148" s="30">
        <f t="shared" si="3"/>
        <v>0.91566790449516999</v>
      </c>
      <c r="F148" s="30">
        <f t="shared" si="4"/>
        <v>15104.403166330281</v>
      </c>
      <c r="G148" s="30">
        <f t="shared" si="1"/>
        <v>-65.403166330281238</v>
      </c>
    </row>
    <row r="149" spans="1:7" ht="15" customHeight="1" x14ac:dyDescent="0.25">
      <c r="A149" s="27" t="s">
        <v>155</v>
      </c>
      <c r="B149" s="30">
        <f xml:space="preserve"> 15683</f>
        <v>15683</v>
      </c>
      <c r="C149" s="30">
        <f t="shared" si="2"/>
        <v>16468.442962025991</v>
      </c>
      <c r="D149" s="30">
        <f t="shared" si="0"/>
        <v>43.663825149155876</v>
      </c>
      <c r="E149" s="30">
        <f t="shared" si="3"/>
        <v>1.00467075106077</v>
      </c>
      <c r="F149" s="30">
        <f t="shared" si="4"/>
        <v>16611.319197743225</v>
      </c>
      <c r="G149" s="30">
        <f t="shared" si="1"/>
        <v>-928.31919774322523</v>
      </c>
    </row>
    <row r="150" spans="1:7" ht="15" customHeight="1" x14ac:dyDescent="0.25">
      <c r="A150" s="27" t="s">
        <v>156</v>
      </c>
      <c r="B150" s="30">
        <f xml:space="preserve"> 19459</f>
        <v>19459</v>
      </c>
      <c r="C150" s="30">
        <f t="shared" si="2"/>
        <v>16597.610268399145</v>
      </c>
      <c r="D150" s="30">
        <f t="shared" si="0"/>
        <v>43.663825149155876</v>
      </c>
      <c r="E150" s="30">
        <f t="shared" si="3"/>
        <v>1.0984136010088199</v>
      </c>
      <c r="F150" s="30">
        <f t="shared" si="4"/>
        <v>18137.122676343228</v>
      </c>
      <c r="G150" s="30">
        <f t="shared" si="1"/>
        <v>1321.8773236567722</v>
      </c>
    </row>
    <row r="151" spans="1:7" ht="15" customHeight="1" x14ac:dyDescent="0.25">
      <c r="A151" s="27" t="s">
        <v>157</v>
      </c>
      <c r="B151" s="30">
        <f xml:space="preserve"> 18687</f>
        <v>18687</v>
      </c>
      <c r="C151" s="30">
        <f t="shared" si="2"/>
        <v>16595.469734518912</v>
      </c>
      <c r="D151" s="30">
        <f t="shared" ref="D151:D201" si="5">$B$10*(C151-C150)+(1-$B$10)*D150</f>
        <v>43.663825149155876</v>
      </c>
      <c r="E151" s="30">
        <f t="shared" si="3"/>
        <v>1.16818661161436</v>
      </c>
      <c r="F151" s="30">
        <f t="shared" si="4"/>
        <v>19440.113596288022</v>
      </c>
      <c r="G151" s="30">
        <f t="shared" ref="G151:G201" si="6">B151-F151</f>
        <v>-753.11359628802165</v>
      </c>
    </row>
    <row r="152" spans="1:7" ht="15" customHeight="1" x14ac:dyDescent="0.25">
      <c r="A152" s="27" t="s">
        <v>158</v>
      </c>
      <c r="B152" s="30">
        <f xml:space="preserve"> 20459</f>
        <v>20459</v>
      </c>
      <c r="C152" s="30">
        <f t="shared" si="2"/>
        <v>16639.389326267476</v>
      </c>
      <c r="D152" s="30">
        <f t="shared" si="5"/>
        <v>43.663825149155876</v>
      </c>
      <c r="E152" s="30">
        <f t="shared" si="3"/>
        <v>1.22930527620955</v>
      </c>
      <c r="F152" s="30">
        <f t="shared" si="4"/>
        <v>20454.574676455348</v>
      </c>
      <c r="G152" s="30">
        <f t="shared" si="6"/>
        <v>4.4253235446522012</v>
      </c>
    </row>
    <row r="153" spans="1:7" ht="15" customHeight="1" x14ac:dyDescent="0.25">
      <c r="A153" s="27" t="s">
        <v>159</v>
      </c>
      <c r="B153" s="30">
        <f xml:space="preserve"> 17137</f>
        <v>17137</v>
      </c>
      <c r="C153" s="30">
        <f t="shared" si="2"/>
        <v>16706.065513932979</v>
      </c>
      <c r="D153" s="30">
        <f t="shared" si="5"/>
        <v>43.663825149155876</v>
      </c>
      <c r="E153" s="30">
        <f t="shared" si="3"/>
        <v>1.00764705327381</v>
      </c>
      <c r="F153" s="30">
        <f t="shared" si="4"/>
        <v>16810.62934763532</v>
      </c>
      <c r="G153" s="30">
        <f t="shared" si="6"/>
        <v>326.3706523646797</v>
      </c>
    </row>
    <row r="154" spans="1:7" ht="15" customHeight="1" x14ac:dyDescent="0.25">
      <c r="A154" s="27" t="s">
        <v>160</v>
      </c>
      <c r="B154" s="30">
        <f xml:space="preserve"> 16594</f>
        <v>16594</v>
      </c>
      <c r="C154" s="30">
        <f t="shared" si="2"/>
        <v>16710.760193931314</v>
      </c>
      <c r="D154" s="30">
        <f t="shared" si="5"/>
        <v>43.663825149155876</v>
      </c>
      <c r="E154" s="30">
        <f t="shared" si="3"/>
        <v>1.02424212110212</v>
      </c>
      <c r="F154" s="30">
        <f t="shared" si="4"/>
        <v>17155.778306147899</v>
      </c>
      <c r="G154" s="30">
        <f t="shared" si="6"/>
        <v>-561.77830614789855</v>
      </c>
    </row>
    <row r="155" spans="1:7" ht="15" customHeight="1" x14ac:dyDescent="0.25">
      <c r="A155" s="27" t="s">
        <v>161</v>
      </c>
      <c r="B155" s="30">
        <f xml:space="preserve"> 16274</f>
        <v>16274</v>
      </c>
      <c r="C155" s="30">
        <f t="shared" si="2"/>
        <v>16785.466121716632</v>
      </c>
      <c r="D155" s="30">
        <f t="shared" si="5"/>
        <v>43.663825149155876</v>
      </c>
      <c r="E155" s="30">
        <f t="shared" si="3"/>
        <v>0.94663970878958603</v>
      </c>
      <c r="F155" s="30">
        <f t="shared" si="4"/>
        <v>15860.403074359581</v>
      </c>
      <c r="G155" s="30">
        <f t="shared" si="6"/>
        <v>413.5969256404187</v>
      </c>
    </row>
    <row r="156" spans="1:7" ht="15" customHeight="1" x14ac:dyDescent="0.25">
      <c r="A156" s="27" t="s">
        <v>162</v>
      </c>
      <c r="B156" s="30">
        <f xml:space="preserve"> 15103</f>
        <v>15103</v>
      </c>
      <c r="C156" s="30">
        <f t="shared" si="2"/>
        <v>16819.060749131899</v>
      </c>
      <c r="D156" s="30">
        <f t="shared" si="5"/>
        <v>43.663825149155876</v>
      </c>
      <c r="E156" s="30">
        <f t="shared" si="3"/>
        <v>0.90505366487202898</v>
      </c>
      <c r="F156" s="30">
        <f t="shared" si="4"/>
        <v>15231.265735018496</v>
      </c>
      <c r="G156" s="30">
        <f t="shared" si="6"/>
        <v>-128.26573501849634</v>
      </c>
    </row>
    <row r="157" spans="1:7" ht="15" customHeight="1" x14ac:dyDescent="0.25">
      <c r="A157" s="27" t="s">
        <v>163</v>
      </c>
      <c r="B157" s="30">
        <f xml:space="preserve"> 15413</f>
        <v>15413</v>
      </c>
      <c r="C157" s="30">
        <f t="shared" si="2"/>
        <v>16872.579830735653</v>
      </c>
      <c r="D157" s="30">
        <f t="shared" si="5"/>
        <v>43.663825149155876</v>
      </c>
      <c r="E157" s="30">
        <f t="shared" si="3"/>
        <v>0.90657052885571199</v>
      </c>
      <c r="F157" s="30">
        <f t="shared" si="4"/>
        <v>15287.249135254187</v>
      </c>
      <c r="G157" s="30">
        <f t="shared" si="6"/>
        <v>125.75086474581258</v>
      </c>
    </row>
    <row r="158" spans="1:7" ht="15" customHeight="1" x14ac:dyDescent="0.25">
      <c r="A158" s="27" t="s">
        <v>164</v>
      </c>
      <c r="B158" s="30">
        <f xml:space="preserve"> 14860</f>
        <v>14860</v>
      </c>
      <c r="C158" s="30">
        <f t="shared" si="2"/>
        <v>16877.051994012661</v>
      </c>
      <c r="D158" s="30">
        <f t="shared" si="5"/>
        <v>43.663825149155876</v>
      </c>
      <c r="E158" s="30">
        <f t="shared" si="3"/>
        <v>0.90805598066695403</v>
      </c>
      <c r="F158" s="30">
        <f t="shared" si="4"/>
        <v>15360.89622214562</v>
      </c>
      <c r="G158" s="30">
        <f t="shared" si="6"/>
        <v>-500.89622214562041</v>
      </c>
    </row>
    <row r="159" spans="1:7" ht="15" customHeight="1" x14ac:dyDescent="0.25">
      <c r="A159" s="27" t="s">
        <v>165</v>
      </c>
      <c r="B159" s="30">
        <f xml:space="preserve"> 14334</f>
        <v>14334</v>
      </c>
      <c r="C159" s="30">
        <f t="shared" si="2"/>
        <v>16868.558417260843</v>
      </c>
      <c r="D159" s="30">
        <f t="shared" si="5"/>
        <v>43.663825149155876</v>
      </c>
      <c r="E159" s="30">
        <f t="shared" si="3"/>
        <v>0.88554664064815503</v>
      </c>
      <c r="F159" s="30">
        <f t="shared" si="4"/>
        <v>14984.083051020843</v>
      </c>
      <c r="G159" s="30">
        <f t="shared" si="6"/>
        <v>-650.08305102084341</v>
      </c>
    </row>
    <row r="160" spans="1:7" ht="15" customHeight="1" x14ac:dyDescent="0.25">
      <c r="A160" s="27" t="s">
        <v>166</v>
      </c>
      <c r="B160" s="30">
        <f xml:space="preserve"> 14398</f>
        <v>14398</v>
      </c>
      <c r="C160" s="30">
        <f t="shared" si="2"/>
        <v>16827.803066591656</v>
      </c>
      <c r="D160" s="30">
        <f t="shared" si="5"/>
        <v>43.663825149155876</v>
      </c>
      <c r="E160" s="30">
        <f t="shared" si="3"/>
        <v>0.91566790449516999</v>
      </c>
      <c r="F160" s="30">
        <f t="shared" si="4"/>
        <v>15485.979101064169</v>
      </c>
      <c r="G160" s="30">
        <f t="shared" si="6"/>
        <v>-1087.9791010641693</v>
      </c>
    </row>
    <row r="161" spans="1:7" ht="15" customHeight="1" x14ac:dyDescent="0.25">
      <c r="A161" s="27" t="s">
        <v>167</v>
      </c>
      <c r="B161" s="30">
        <f xml:space="preserve"> 16939</f>
        <v>16939</v>
      </c>
      <c r="C161" s="30">
        <f t="shared" si="2"/>
        <v>16870.669939578976</v>
      </c>
      <c r="D161" s="30">
        <f t="shared" si="5"/>
        <v>43.663825149155876</v>
      </c>
      <c r="E161" s="30">
        <f t="shared" si="3"/>
        <v>1.00467075106077</v>
      </c>
      <c r="F161" s="30">
        <f t="shared" si="4"/>
        <v>16950.269313622157</v>
      </c>
      <c r="G161" s="30">
        <f t="shared" si="6"/>
        <v>-11.269313622156915</v>
      </c>
    </row>
    <row r="162" spans="1:7" ht="15" customHeight="1" x14ac:dyDescent="0.25">
      <c r="A162" s="27" t="s">
        <v>168</v>
      </c>
      <c r="B162" s="30">
        <f xml:space="preserve"> 19489</f>
        <v>19489</v>
      </c>
      <c r="C162" s="30">
        <f t="shared" ref="C162:C201" si="7">$B$9*B162/E150+(1-$B$9)*(C161+D161)</f>
        <v>16973.199884594338</v>
      </c>
      <c r="D162" s="30">
        <f t="shared" si="5"/>
        <v>43.663825149155876</v>
      </c>
      <c r="E162" s="30">
        <f t="shared" ref="E162:E201" si="8">$B$11*(B162/C162)+(1-$B$11)*E150</f>
        <v>1.0984136010088199</v>
      </c>
      <c r="F162" s="30">
        <f t="shared" ref="F162:F201" si="9">(C161+D161)*E150</f>
        <v>18578.9342591801</v>
      </c>
      <c r="G162" s="30">
        <f t="shared" si="6"/>
        <v>910.06574081990038</v>
      </c>
    </row>
    <row r="163" spans="1:7" ht="15" customHeight="1" x14ac:dyDescent="0.25">
      <c r="A163" s="27" t="s">
        <v>169</v>
      </c>
      <c r="B163" s="30">
        <f xml:space="preserve"> 20016</f>
        <v>20016</v>
      </c>
      <c r="C163" s="30">
        <f t="shared" si="7"/>
        <v>17025.203811165091</v>
      </c>
      <c r="D163" s="30">
        <f t="shared" si="5"/>
        <v>43.663825149155876</v>
      </c>
      <c r="E163" s="30">
        <f t="shared" si="8"/>
        <v>1.16818661161436</v>
      </c>
      <c r="F163" s="30">
        <f t="shared" si="9"/>
        <v>19878.87235738862</v>
      </c>
      <c r="G163" s="30">
        <f t="shared" si="6"/>
        <v>137.12764261138</v>
      </c>
    </row>
    <row r="164" spans="1:7" ht="15" customHeight="1" x14ac:dyDescent="0.25">
      <c r="A164" s="27" t="s">
        <v>170</v>
      </c>
      <c r="B164" s="30">
        <f xml:space="preserve"> 22099</f>
        <v>22099</v>
      </c>
      <c r="C164" s="30">
        <f t="shared" si="7"/>
        <v>17133.376848239081</v>
      </c>
      <c r="D164" s="30">
        <f t="shared" si="5"/>
        <v>43.663825149155876</v>
      </c>
      <c r="E164" s="30">
        <f t="shared" si="8"/>
        <v>1.22930527620955</v>
      </c>
      <c r="F164" s="30">
        <f t="shared" si="9"/>
        <v>20982.849044243536</v>
      </c>
      <c r="G164" s="30">
        <f t="shared" si="6"/>
        <v>1116.1509557564641</v>
      </c>
    </row>
    <row r="165" spans="1:7" ht="15" customHeight="1" x14ac:dyDescent="0.25">
      <c r="A165" s="27" t="s">
        <v>171</v>
      </c>
      <c r="B165" s="30">
        <f xml:space="preserve"> 16689</f>
        <v>16689</v>
      </c>
      <c r="C165" s="30">
        <f t="shared" si="7"/>
        <v>17133.36723401511</v>
      </c>
      <c r="D165" s="30">
        <f t="shared" si="5"/>
        <v>43.663825149155876</v>
      </c>
      <c r="E165" s="30">
        <f t="shared" si="8"/>
        <v>1.00764705327381</v>
      </c>
      <c r="F165" s="30">
        <f t="shared" si="9"/>
        <v>17308.394418504038</v>
      </c>
      <c r="G165" s="30">
        <f t="shared" si="6"/>
        <v>-619.39441850403819</v>
      </c>
    </row>
    <row r="166" spans="1:7" ht="15" customHeight="1" x14ac:dyDescent="0.25">
      <c r="A166" s="27" t="s">
        <v>172</v>
      </c>
      <c r="B166" s="30">
        <f xml:space="preserve"> 16804</f>
        <v>16804</v>
      </c>
      <c r="C166" s="30">
        <f t="shared" si="7"/>
        <v>17122.26968448098</v>
      </c>
      <c r="D166" s="30">
        <f t="shared" si="5"/>
        <v>43.663825149155876</v>
      </c>
      <c r="E166" s="30">
        <f t="shared" si="8"/>
        <v>1.02424212110212</v>
      </c>
      <c r="F166" s="30">
        <f t="shared" si="9"/>
        <v>17593.438726275403</v>
      </c>
      <c r="G166" s="30">
        <f t="shared" si="6"/>
        <v>-789.43872627540259</v>
      </c>
    </row>
    <row r="167" spans="1:7" ht="15" customHeight="1" x14ac:dyDescent="0.25">
      <c r="A167" s="27" t="s">
        <v>173</v>
      </c>
      <c r="B167" s="30">
        <f xml:space="preserve"> 16543</f>
        <v>16543</v>
      </c>
      <c r="C167" s="30">
        <f t="shared" si="7"/>
        <v>17187.927760975377</v>
      </c>
      <c r="D167" s="30">
        <f t="shared" si="5"/>
        <v>43.663825149155876</v>
      </c>
      <c r="E167" s="30">
        <f t="shared" si="8"/>
        <v>0.94663970878958603</v>
      </c>
      <c r="F167" s="30">
        <f t="shared" si="9"/>
        <v>16249.954298657669</v>
      </c>
      <c r="G167" s="30">
        <f t="shared" si="6"/>
        <v>293.04570134233109</v>
      </c>
    </row>
    <row r="168" spans="1:7" ht="15" customHeight="1" x14ac:dyDescent="0.25">
      <c r="A168" s="27" t="s">
        <v>174</v>
      </c>
      <c r="B168" s="30">
        <f xml:space="preserve"> 16045</f>
        <v>16045</v>
      </c>
      <c r="C168" s="30">
        <f t="shared" si="7"/>
        <v>17266.877332303713</v>
      </c>
      <c r="D168" s="30">
        <f t="shared" si="5"/>
        <v>43.663825149155876</v>
      </c>
      <c r="E168" s="30">
        <f t="shared" si="8"/>
        <v>0.90505366487202898</v>
      </c>
      <c r="F168" s="30">
        <f t="shared" si="9"/>
        <v>15595.515116600029</v>
      </c>
      <c r="G168" s="30">
        <f t="shared" si="6"/>
        <v>449.4848833999713</v>
      </c>
    </row>
    <row r="169" spans="1:7" ht="15" customHeight="1" x14ac:dyDescent="0.25">
      <c r="A169" s="27" t="s">
        <v>175</v>
      </c>
      <c r="B169" s="30">
        <f xml:space="preserve"> 16896</f>
        <v>16896</v>
      </c>
      <c r="C169" s="30">
        <f t="shared" si="7"/>
        <v>17404.804062104729</v>
      </c>
      <c r="D169" s="30">
        <f t="shared" si="5"/>
        <v>43.663825149155876</v>
      </c>
      <c r="E169" s="30">
        <f t="shared" si="8"/>
        <v>0.90657052885571199</v>
      </c>
      <c r="F169" s="30">
        <f t="shared" si="9"/>
        <v>15693.226451890618</v>
      </c>
      <c r="G169" s="30">
        <f t="shared" si="6"/>
        <v>1202.7735481093823</v>
      </c>
    </row>
    <row r="170" spans="1:7" ht="15" customHeight="1" x14ac:dyDescent="0.25">
      <c r="A170" s="27" t="s">
        <v>176</v>
      </c>
      <c r="B170" s="30">
        <f xml:space="preserve"> 16546</f>
        <v>16546</v>
      </c>
      <c r="C170" s="30">
        <f t="shared" si="7"/>
        <v>17503.380004217131</v>
      </c>
      <c r="D170" s="30">
        <f t="shared" si="5"/>
        <v>43.663825149155876</v>
      </c>
      <c r="E170" s="30">
        <f t="shared" si="8"/>
        <v>0.90805598066695403</v>
      </c>
      <c r="F170" s="30">
        <f t="shared" si="9"/>
        <v>15844.185618496183</v>
      </c>
      <c r="G170" s="30">
        <f t="shared" si="6"/>
        <v>701.81438150381655</v>
      </c>
    </row>
    <row r="171" spans="1:7" ht="15" customHeight="1" x14ac:dyDescent="0.25">
      <c r="A171" s="27" t="s">
        <v>177</v>
      </c>
      <c r="B171" s="30">
        <f xml:space="preserve"> 15039</f>
        <v>15039</v>
      </c>
      <c r="C171" s="30">
        <f t="shared" si="7"/>
        <v>17506.94988292412</v>
      </c>
      <c r="D171" s="30">
        <f t="shared" si="5"/>
        <v>43.663825149155876</v>
      </c>
      <c r="E171" s="30">
        <f t="shared" si="8"/>
        <v>0.88554664064815503</v>
      </c>
      <c r="F171" s="30">
        <f t="shared" si="9"/>
        <v>15538.725716401255</v>
      </c>
      <c r="G171" s="30">
        <f t="shared" si="6"/>
        <v>-499.72571640125534</v>
      </c>
    </row>
    <row r="172" spans="1:7" ht="15" customHeight="1" x14ac:dyDescent="0.25">
      <c r="A172" s="27" t="s">
        <v>178</v>
      </c>
      <c r="B172" s="30">
        <f xml:space="preserve"> 16872</f>
        <v>16872</v>
      </c>
      <c r="C172" s="30">
        <f t="shared" si="7"/>
        <v>17612.801599729486</v>
      </c>
      <c r="D172" s="30">
        <f t="shared" si="5"/>
        <v>43.663825149155876</v>
      </c>
      <c r="E172" s="30">
        <f t="shared" si="8"/>
        <v>0.91566790449516999</v>
      </c>
      <c r="F172" s="30">
        <f t="shared" si="9"/>
        <v>16070.533676675663</v>
      </c>
      <c r="G172" s="30">
        <f t="shared" si="6"/>
        <v>801.46632332433728</v>
      </c>
    </row>
    <row r="173" spans="1:7" ht="15" customHeight="1" x14ac:dyDescent="0.25">
      <c r="A173" s="27" t="s">
        <v>179</v>
      </c>
      <c r="B173" s="30">
        <f xml:space="preserve"> 17068</f>
        <v>17068</v>
      </c>
      <c r="C173" s="30">
        <f t="shared" si="7"/>
        <v>17609.017761062223</v>
      </c>
      <c r="D173" s="30">
        <f t="shared" si="5"/>
        <v>43.663825149155876</v>
      </c>
      <c r="E173" s="30">
        <f t="shared" si="8"/>
        <v>1.00467075106077</v>
      </c>
      <c r="F173" s="30">
        <f t="shared" si="9"/>
        <v>17738.934379491344</v>
      </c>
      <c r="G173" s="30">
        <f t="shared" si="6"/>
        <v>-670.93437949134386</v>
      </c>
    </row>
    <row r="174" spans="1:7" ht="15" customHeight="1" x14ac:dyDescent="0.25">
      <c r="A174" s="27" t="s">
        <v>180</v>
      </c>
      <c r="B174" s="30">
        <f xml:space="preserve"> 17368</f>
        <v>17368</v>
      </c>
      <c r="C174" s="30">
        <f t="shared" si="7"/>
        <v>17521.89533233265</v>
      </c>
      <c r="D174" s="30">
        <f t="shared" si="5"/>
        <v>43.663825149155876</v>
      </c>
      <c r="E174" s="30">
        <f t="shared" si="8"/>
        <v>1.0984136010088199</v>
      </c>
      <c r="F174" s="30">
        <f t="shared" si="9"/>
        <v>19389.94554857253</v>
      </c>
      <c r="G174" s="30">
        <f t="shared" si="6"/>
        <v>-2021.9455485725302</v>
      </c>
    </row>
    <row r="175" spans="1:7" ht="15" customHeight="1" x14ac:dyDescent="0.25">
      <c r="A175" s="27" t="s">
        <v>181</v>
      </c>
      <c r="B175" s="30">
        <f xml:space="preserve"> 20287</f>
        <v>20287</v>
      </c>
      <c r="C175" s="30">
        <f t="shared" si="7"/>
        <v>17551.397160697044</v>
      </c>
      <c r="D175" s="30">
        <f t="shared" si="5"/>
        <v>43.663825149155876</v>
      </c>
      <c r="E175" s="30">
        <f t="shared" si="8"/>
        <v>1.16818661161436</v>
      </c>
      <c r="F175" s="30">
        <f t="shared" si="9"/>
        <v>20519.851033290262</v>
      </c>
      <c r="G175" s="30">
        <f t="shared" si="6"/>
        <v>-232.85103329026242</v>
      </c>
    </row>
    <row r="176" spans="1:7" ht="15" customHeight="1" x14ac:dyDescent="0.25">
      <c r="A176" s="27" t="s">
        <v>182</v>
      </c>
      <c r="B176" s="30">
        <f xml:space="preserve"> 22133</f>
        <v>22133</v>
      </c>
      <c r="C176" s="30">
        <f t="shared" si="7"/>
        <v>17624.149705433316</v>
      </c>
      <c r="D176" s="30">
        <f t="shared" si="5"/>
        <v>43.663825149155876</v>
      </c>
      <c r="E176" s="30">
        <f t="shared" si="8"/>
        <v>1.22930527620955</v>
      </c>
      <c r="F176" s="30">
        <f t="shared" si="9"/>
        <v>21629.70130512954</v>
      </c>
      <c r="G176" s="30">
        <f t="shared" si="6"/>
        <v>503.29869487046017</v>
      </c>
    </row>
    <row r="177" spans="1:7" ht="15" customHeight="1" x14ac:dyDescent="0.25">
      <c r="A177" s="27" t="s">
        <v>183</v>
      </c>
      <c r="B177" s="30">
        <f xml:space="preserve"> 18534</f>
        <v>18534</v>
      </c>
      <c r="C177" s="30">
        <f t="shared" si="7"/>
        <v>17719.361892238969</v>
      </c>
      <c r="D177" s="30">
        <f t="shared" si="5"/>
        <v>43.663825149155876</v>
      </c>
      <c r="E177" s="30">
        <f t="shared" si="8"/>
        <v>1.00764705327381</v>
      </c>
      <c r="F177" s="30">
        <f t="shared" si="9"/>
        <v>17802.920241882577</v>
      </c>
      <c r="G177" s="30">
        <f t="shared" si="6"/>
        <v>731.0797581174229</v>
      </c>
    </row>
    <row r="178" spans="1:7" ht="15" customHeight="1" x14ac:dyDescent="0.25">
      <c r="A178" s="27" t="s">
        <v>184</v>
      </c>
      <c r="B178" s="30">
        <f xml:space="preserve"> 18978</f>
        <v>18978</v>
      </c>
      <c r="C178" s="30">
        <f t="shared" si="7"/>
        <v>17817.434853427385</v>
      </c>
      <c r="D178" s="30">
        <f t="shared" si="5"/>
        <v>43.663825149155876</v>
      </c>
      <c r="E178" s="30">
        <f t="shared" si="8"/>
        <v>1.02424212110212</v>
      </c>
      <c r="F178" s="30">
        <f t="shared" si="9"/>
        <v>18193.639137969119</v>
      </c>
      <c r="G178" s="30">
        <f t="shared" si="6"/>
        <v>784.36086203088053</v>
      </c>
    </row>
    <row r="179" spans="1:7" ht="15" customHeight="1" x14ac:dyDescent="0.25">
      <c r="A179" s="27" t="s">
        <v>185</v>
      </c>
      <c r="B179" s="30">
        <f xml:space="preserve"> 15800</f>
        <v>15800</v>
      </c>
      <c r="C179" s="30">
        <f t="shared" si="7"/>
        <v>17777.936954066583</v>
      </c>
      <c r="D179" s="30">
        <f t="shared" si="5"/>
        <v>43.663825149155876</v>
      </c>
      <c r="E179" s="30">
        <f t="shared" si="8"/>
        <v>0.94663970878958603</v>
      </c>
      <c r="F179" s="30">
        <f t="shared" si="9"/>
        <v>16908.025251749757</v>
      </c>
      <c r="G179" s="30">
        <f t="shared" si="6"/>
        <v>-1108.0252517497574</v>
      </c>
    </row>
    <row r="180" spans="1:7" ht="15" customHeight="1" x14ac:dyDescent="0.25">
      <c r="A180" s="27" t="s">
        <v>186</v>
      </c>
      <c r="B180" s="30">
        <f xml:space="preserve"> 16379</f>
        <v>16379</v>
      </c>
      <c r="C180" s="30">
        <f t="shared" si="7"/>
        <v>17841.18678548812</v>
      </c>
      <c r="D180" s="30">
        <f t="shared" si="5"/>
        <v>43.663825149155876</v>
      </c>
      <c r="E180" s="30">
        <f t="shared" si="8"/>
        <v>0.90505366487202898</v>
      </c>
      <c r="F180" s="30">
        <f t="shared" si="9"/>
        <v>16129.505099115413</v>
      </c>
      <c r="G180" s="30">
        <f t="shared" si="6"/>
        <v>249.49490088458697</v>
      </c>
    </row>
    <row r="181" spans="1:7" ht="15" customHeight="1" x14ac:dyDescent="0.25">
      <c r="A181" s="27" t="s">
        <v>187</v>
      </c>
      <c r="B181" s="30">
        <f xml:space="preserve"> 15686</f>
        <v>15686</v>
      </c>
      <c r="C181" s="30">
        <f t="shared" si="7"/>
        <v>17843.480097804779</v>
      </c>
      <c r="D181" s="30">
        <f t="shared" si="5"/>
        <v>43.663825149155876</v>
      </c>
      <c r="E181" s="30">
        <f t="shared" si="8"/>
        <v>0.90657052885571199</v>
      </c>
      <c r="F181" s="30">
        <f t="shared" si="9"/>
        <v>16213.87847659084</v>
      </c>
      <c r="G181" s="30">
        <f t="shared" si="6"/>
        <v>-527.87847659084036</v>
      </c>
    </row>
    <row r="182" spans="1:7" ht="15" customHeight="1" x14ac:dyDescent="0.25">
      <c r="A182" s="27" t="s">
        <v>188</v>
      </c>
      <c r="B182" s="30">
        <f xml:space="preserve"> 17447</f>
        <v>17447</v>
      </c>
      <c r="C182" s="30">
        <f t="shared" si="7"/>
        <v>17981.385517585801</v>
      </c>
      <c r="D182" s="30">
        <f t="shared" si="5"/>
        <v>43.663825149155876</v>
      </c>
      <c r="E182" s="30">
        <f t="shared" si="8"/>
        <v>0.90805598066695403</v>
      </c>
      <c r="F182" s="30">
        <f t="shared" si="9"/>
        <v>16242.528016288883</v>
      </c>
      <c r="G182" s="30">
        <f t="shared" si="6"/>
        <v>1204.471983711117</v>
      </c>
    </row>
    <row r="183" spans="1:7" ht="15" customHeight="1" x14ac:dyDescent="0.25">
      <c r="A183" s="27" t="s">
        <v>189</v>
      </c>
      <c r="B183" s="30">
        <f xml:space="preserve"> 15853</f>
        <v>15853</v>
      </c>
      <c r="C183" s="30">
        <f t="shared" si="7"/>
        <v>18016.302308522892</v>
      </c>
      <c r="D183" s="30">
        <f t="shared" si="5"/>
        <v>43.663825149155876</v>
      </c>
      <c r="E183" s="30">
        <f t="shared" si="8"/>
        <v>0.88554664064815503</v>
      </c>
      <c r="F183" s="30">
        <f t="shared" si="9"/>
        <v>15962.021892976176</v>
      </c>
      <c r="G183" s="30">
        <f t="shared" si="6"/>
        <v>-109.02189297617588</v>
      </c>
    </row>
    <row r="184" spans="1:7" ht="15" customHeight="1" x14ac:dyDescent="0.25">
      <c r="A184" s="27" t="s">
        <v>190</v>
      </c>
      <c r="B184" s="30">
        <f xml:space="preserve"> 16267</f>
        <v>16267</v>
      </c>
      <c r="C184" s="30">
        <f t="shared" si="7"/>
        <v>18039.021446738774</v>
      </c>
      <c r="D184" s="30">
        <f t="shared" si="5"/>
        <v>43.663825149155876</v>
      </c>
      <c r="E184" s="30">
        <f t="shared" si="8"/>
        <v>0.91566790449516999</v>
      </c>
      <c r="F184" s="30">
        <f t="shared" si="9"/>
        <v>16536.931344873221</v>
      </c>
      <c r="G184" s="30">
        <f t="shared" si="6"/>
        <v>-269.93134487322095</v>
      </c>
    </row>
    <row r="185" spans="1:7" ht="15" customHeight="1" x14ac:dyDescent="0.25">
      <c r="A185" s="27" t="s">
        <v>191</v>
      </c>
      <c r="B185" s="30">
        <f xml:space="preserve"> 18437</f>
        <v>18437</v>
      </c>
      <c r="C185" s="30">
        <f t="shared" si="7"/>
        <v>18101.769089960628</v>
      </c>
      <c r="D185" s="30">
        <f t="shared" si="5"/>
        <v>43.663825149155876</v>
      </c>
      <c r="E185" s="30">
        <f t="shared" si="8"/>
        <v>1.00467075106077</v>
      </c>
      <c r="F185" s="30">
        <f t="shared" si="9"/>
        <v>18167.144993303173</v>
      </c>
      <c r="G185" s="30">
        <f t="shared" si="6"/>
        <v>269.85500669682733</v>
      </c>
    </row>
    <row r="186" spans="1:7" ht="15" customHeight="1" x14ac:dyDescent="0.25">
      <c r="A186" s="27" t="s">
        <v>192</v>
      </c>
      <c r="B186" s="30">
        <f xml:space="preserve"> 19665</f>
        <v>19665</v>
      </c>
      <c r="C186" s="30">
        <f t="shared" si="7"/>
        <v>18128.214828545646</v>
      </c>
      <c r="D186" s="30">
        <f t="shared" si="5"/>
        <v>43.663825149155876</v>
      </c>
      <c r="E186" s="30">
        <f t="shared" si="8"/>
        <v>1.0984136010088199</v>
      </c>
      <c r="F186" s="30">
        <f t="shared" si="9"/>
        <v>19931.190310149708</v>
      </c>
      <c r="G186" s="30">
        <f t="shared" si="6"/>
        <v>-266.19031014970824</v>
      </c>
    </row>
    <row r="187" spans="1:7" ht="15" customHeight="1" x14ac:dyDescent="0.25">
      <c r="A187" s="27" t="s">
        <v>193</v>
      </c>
      <c r="B187" s="30">
        <f xml:space="preserve"> 22022</f>
        <v>22022</v>
      </c>
      <c r="C187" s="30">
        <f t="shared" si="7"/>
        <v>18220.160883007022</v>
      </c>
      <c r="D187" s="30">
        <f t="shared" si="5"/>
        <v>43.663825149155876</v>
      </c>
      <c r="E187" s="30">
        <f t="shared" si="8"/>
        <v>1.16818661161436</v>
      </c>
      <c r="F187" s="30">
        <f t="shared" si="9"/>
        <v>21228.145351127048</v>
      </c>
      <c r="G187" s="30">
        <f t="shared" si="6"/>
        <v>793.85464887295166</v>
      </c>
    </row>
    <row r="188" spans="1:7" ht="15" customHeight="1" x14ac:dyDescent="0.25">
      <c r="A188" s="27" t="s">
        <v>194</v>
      </c>
      <c r="B188" s="30">
        <f xml:space="preserve"> 21775</f>
        <v>21775</v>
      </c>
      <c r="C188" s="30">
        <f t="shared" si="7"/>
        <v>18224.707354403465</v>
      </c>
      <c r="D188" s="30">
        <f t="shared" si="5"/>
        <v>43.663825149155876</v>
      </c>
      <c r="E188" s="30">
        <f t="shared" si="8"/>
        <v>1.22930527620955</v>
      </c>
      <c r="F188" s="30">
        <f t="shared" si="9"/>
        <v>22451.816077502735</v>
      </c>
      <c r="G188" s="30">
        <f t="shared" si="6"/>
        <v>-676.81607750273542</v>
      </c>
    </row>
    <row r="189" spans="1:7" ht="15" customHeight="1" x14ac:dyDescent="0.25">
      <c r="A189" s="27" t="s">
        <v>195</v>
      </c>
      <c r="B189" s="30">
        <f xml:space="preserve"> 18675</f>
        <v>18675</v>
      </c>
      <c r="C189" s="30">
        <f t="shared" si="7"/>
        <v>18287.192360231285</v>
      </c>
      <c r="D189" s="30">
        <f t="shared" si="5"/>
        <v>43.663825149155876</v>
      </c>
      <c r="E189" s="30">
        <f t="shared" si="8"/>
        <v>1.00764705327381</v>
      </c>
      <c r="F189" s="30">
        <f t="shared" si="9"/>
        <v>18408.070387188396</v>
      </c>
      <c r="G189" s="30">
        <f t="shared" si="6"/>
        <v>266.92961281160387</v>
      </c>
    </row>
    <row r="190" spans="1:7" ht="15" customHeight="1" x14ac:dyDescent="0.25">
      <c r="A190" s="27" t="s">
        <v>196</v>
      </c>
      <c r="B190" s="30">
        <f xml:space="preserve"> 18869</f>
        <v>18869</v>
      </c>
      <c r="C190" s="30">
        <f t="shared" si="7"/>
        <v>18337.360425646359</v>
      </c>
      <c r="D190" s="30">
        <f t="shared" si="5"/>
        <v>43.663825149155876</v>
      </c>
      <c r="E190" s="30">
        <f t="shared" si="8"/>
        <v>1.02424212110212</v>
      </c>
      <c r="F190" s="30">
        <f t="shared" si="9"/>
        <v>18775.235020931981</v>
      </c>
      <c r="G190" s="30">
        <f t="shared" si="6"/>
        <v>93.764979068018874</v>
      </c>
    </row>
    <row r="191" spans="1:7" ht="15" customHeight="1" x14ac:dyDescent="0.25">
      <c r="A191" s="27" t="s">
        <v>197</v>
      </c>
      <c r="B191" s="30">
        <f xml:space="preserve"> 17166</f>
        <v>17166</v>
      </c>
      <c r="C191" s="30">
        <f t="shared" si="7"/>
        <v>18363.446045869565</v>
      </c>
      <c r="D191" s="30">
        <f t="shared" si="5"/>
        <v>43.663825149155876</v>
      </c>
      <c r="E191" s="30">
        <f t="shared" si="8"/>
        <v>0.94663970878958603</v>
      </c>
      <c r="F191" s="30">
        <f t="shared" si="9"/>
        <v>17400.207444027386</v>
      </c>
      <c r="G191" s="30">
        <f t="shared" si="6"/>
        <v>-234.20744402738637</v>
      </c>
    </row>
    <row r="192" spans="1:7" ht="15" customHeight="1" x14ac:dyDescent="0.25">
      <c r="A192" s="27" t="s">
        <v>198</v>
      </c>
      <c r="B192" s="30">
        <f xml:space="preserve"> 16354</f>
        <v>16354</v>
      </c>
      <c r="C192" s="30">
        <f t="shared" si="7"/>
        <v>18383.133420786664</v>
      </c>
      <c r="D192" s="30">
        <f t="shared" si="5"/>
        <v>43.663825149155876</v>
      </c>
      <c r="E192" s="30">
        <f t="shared" si="8"/>
        <v>0.90505366487202898</v>
      </c>
      <c r="F192" s="30">
        <f t="shared" si="9"/>
        <v>16659.422248467596</v>
      </c>
      <c r="G192" s="30">
        <f t="shared" si="6"/>
        <v>-305.42224846759564</v>
      </c>
    </row>
    <row r="193" spans="1:7" ht="15" customHeight="1" x14ac:dyDescent="0.25">
      <c r="A193" s="27" t="s">
        <v>199</v>
      </c>
      <c r="B193" s="30">
        <f xml:space="preserve"> 16719</f>
        <v>16719</v>
      </c>
      <c r="C193" s="30">
        <f t="shared" si="7"/>
        <v>18427.879449544969</v>
      </c>
      <c r="D193" s="30">
        <f t="shared" si="5"/>
        <v>43.663825149155876</v>
      </c>
      <c r="E193" s="30">
        <f t="shared" si="8"/>
        <v>0.90657052885571199</v>
      </c>
      <c r="F193" s="30">
        <f t="shared" si="9"/>
        <v>16705.191324365012</v>
      </c>
      <c r="G193" s="30">
        <f t="shared" si="6"/>
        <v>13.808675634987594</v>
      </c>
    </row>
    <row r="194" spans="1:7" ht="15" customHeight="1" x14ac:dyDescent="0.25">
      <c r="A194" s="27" t="s">
        <v>200</v>
      </c>
      <c r="B194" s="30">
        <f xml:space="preserve"> 16232</f>
        <v>16232</v>
      </c>
      <c r="C194" s="30">
        <f t="shared" si="7"/>
        <v>18429.198485611123</v>
      </c>
      <c r="D194" s="30">
        <f t="shared" si="5"/>
        <v>43.663825149155876</v>
      </c>
      <c r="E194" s="30">
        <f t="shared" si="8"/>
        <v>0.90805598066695403</v>
      </c>
      <c r="F194" s="30">
        <f t="shared" si="9"/>
        <v>16773.195342734452</v>
      </c>
      <c r="G194" s="30">
        <f t="shared" si="6"/>
        <v>-541.19534273445242</v>
      </c>
    </row>
    <row r="195" spans="1:7" ht="15" customHeight="1" x14ac:dyDescent="0.25">
      <c r="A195" s="27" t="s">
        <v>201</v>
      </c>
      <c r="B195" s="30">
        <f xml:space="preserve"> 15923</f>
        <v>15923</v>
      </c>
      <c r="C195" s="30">
        <f t="shared" si="7"/>
        <v>18437.914804107546</v>
      </c>
      <c r="D195" s="30">
        <f t="shared" si="5"/>
        <v>43.663825149155876</v>
      </c>
      <c r="E195" s="30">
        <f t="shared" si="8"/>
        <v>0.88554664064815503</v>
      </c>
      <c r="F195" s="30">
        <f t="shared" si="9"/>
        <v>16358.58116244968</v>
      </c>
      <c r="G195" s="30">
        <f t="shared" si="6"/>
        <v>-435.58116244968005</v>
      </c>
    </row>
    <row r="196" spans="1:7" ht="15" customHeight="1" x14ac:dyDescent="0.25">
      <c r="A196" s="27" t="s">
        <v>202</v>
      </c>
      <c r="B196" s="30">
        <f xml:space="preserve"> 17682</f>
        <v>17682</v>
      </c>
      <c r="C196" s="30">
        <f t="shared" si="7"/>
        <v>18540.472348573818</v>
      </c>
      <c r="D196" s="30">
        <f t="shared" si="5"/>
        <v>43.663825149155876</v>
      </c>
      <c r="E196" s="30">
        <f t="shared" si="8"/>
        <v>0.91566790449516999</v>
      </c>
      <c r="F196" s="30">
        <f t="shared" si="9"/>
        <v>16922.988375214201</v>
      </c>
      <c r="G196" s="30">
        <f t="shared" si="6"/>
        <v>759.01162478579863</v>
      </c>
    </row>
    <row r="197" spans="1:7" ht="15" customHeight="1" x14ac:dyDescent="0.25">
      <c r="A197" s="27" t="s">
        <v>203</v>
      </c>
      <c r="B197" s="30">
        <f xml:space="preserve"> 18182</f>
        <v>18182</v>
      </c>
      <c r="C197" s="30">
        <f t="shared" si="7"/>
        <v>18549.559069295872</v>
      </c>
      <c r="D197" s="30">
        <f t="shared" si="5"/>
        <v>43.663825149155876</v>
      </c>
      <c r="E197" s="30">
        <f t="shared" si="8"/>
        <v>1.00467075106077</v>
      </c>
      <c r="F197" s="30">
        <f t="shared" si="9"/>
        <v>18670.938047469885</v>
      </c>
      <c r="G197" s="30">
        <f t="shared" si="6"/>
        <v>-488.93804746988462</v>
      </c>
    </row>
    <row r="198" spans="1:7" ht="15" customHeight="1" x14ac:dyDescent="0.25">
      <c r="A198" s="27" t="s">
        <v>204</v>
      </c>
      <c r="B198" s="30">
        <f xml:space="preserve"> 19671</f>
        <v>19671</v>
      </c>
      <c r="C198" s="30">
        <f t="shared" si="7"/>
        <v>18544.577835607979</v>
      </c>
      <c r="D198" s="30">
        <f t="shared" si="5"/>
        <v>43.663825149155876</v>
      </c>
      <c r="E198" s="30">
        <f t="shared" si="8"/>
        <v>1.0984136010088199</v>
      </c>
      <c r="F198" s="30">
        <f t="shared" si="9"/>
        <v>20423.048913846997</v>
      </c>
      <c r="G198" s="30">
        <f t="shared" si="6"/>
        <v>-752.04891384699658</v>
      </c>
    </row>
    <row r="199" spans="1:7" ht="15" customHeight="1" x14ac:dyDescent="0.25">
      <c r="A199" s="27" t="s">
        <v>205</v>
      </c>
      <c r="B199" s="30">
        <f xml:space="preserve"> 21998</f>
        <v>21998</v>
      </c>
      <c r="C199" s="30">
        <f t="shared" si="7"/>
        <v>18605.481995805061</v>
      </c>
      <c r="D199" s="30">
        <f t="shared" si="5"/>
        <v>43.663825149155876</v>
      </c>
      <c r="E199" s="30">
        <f t="shared" si="8"/>
        <v>1.16818661161436</v>
      </c>
      <c r="F199" s="30">
        <f t="shared" si="9"/>
        <v>21714.535041548763</v>
      </c>
      <c r="G199" s="30">
        <f t="shared" si="6"/>
        <v>283.46495845123718</v>
      </c>
    </row>
    <row r="200" spans="1:7" ht="15" customHeight="1" x14ac:dyDescent="0.25">
      <c r="A200" s="27" t="s">
        <v>206</v>
      </c>
      <c r="B200" s="30">
        <f xml:space="preserve"> 23076</f>
        <v>23076</v>
      </c>
      <c r="C200" s="30">
        <f t="shared" si="7"/>
        <v>18657.844523437572</v>
      </c>
      <c r="D200" s="30">
        <f t="shared" si="5"/>
        <v>43.663825149155876</v>
      </c>
      <c r="E200" s="30">
        <f t="shared" si="8"/>
        <v>1.22930527620955</v>
      </c>
      <c r="F200" s="30">
        <f t="shared" si="9"/>
        <v>22925.4933545003</v>
      </c>
      <c r="G200" s="30">
        <f t="shared" si="6"/>
        <v>150.50664549969952</v>
      </c>
    </row>
    <row r="201" spans="1:7" ht="15" customHeight="1" x14ac:dyDescent="0.25">
      <c r="A201" s="31" t="s">
        <v>207</v>
      </c>
      <c r="B201" s="32">
        <f xml:space="preserve"> 18848</f>
        <v>18848</v>
      </c>
      <c r="C201" s="32">
        <f t="shared" si="7"/>
        <v>18701.753738610125</v>
      </c>
      <c r="D201" s="32">
        <f t="shared" si="5"/>
        <v>43.663825149155876</v>
      </c>
      <c r="E201" s="32">
        <f t="shared" si="8"/>
        <v>1.00764705327381</v>
      </c>
      <c r="F201" s="32">
        <f t="shared" si="9"/>
        <v>18844.519779228973</v>
      </c>
      <c r="G201" s="32">
        <f t="shared" si="6"/>
        <v>3.4802207710272342</v>
      </c>
    </row>
    <row r="202" spans="1:7" ht="15" customHeight="1" x14ac:dyDescent="0.25">
      <c r="A202" s="27" t="s">
        <v>208</v>
      </c>
      <c r="B202" s="30"/>
      <c r="C202" s="30"/>
      <c r="D202" s="30"/>
      <c r="E202" s="30"/>
      <c r="F202" s="30">
        <f>(C201+(1*D201))*E190</f>
        <v>19199.846246449742</v>
      </c>
      <c r="G202" s="30"/>
    </row>
    <row r="203" spans="1:7" ht="15" customHeight="1" x14ac:dyDescent="0.25">
      <c r="A203" s="27" t="s">
        <v>213</v>
      </c>
      <c r="B203" s="30"/>
      <c r="C203" s="30"/>
      <c r="D203" s="30"/>
      <c r="E203" s="30"/>
      <c r="F203" s="30">
        <f>(C201+(2*D201))*E191</f>
        <v>17786.490534420114</v>
      </c>
      <c r="G203" s="30"/>
    </row>
    <row r="204" spans="1:7" ht="15" customHeight="1" x14ac:dyDescent="0.25">
      <c r="A204" s="27" t="s">
        <v>214</v>
      </c>
      <c r="B204" s="30"/>
      <c r="C204" s="30"/>
      <c r="D204" s="30"/>
      <c r="E204" s="30"/>
      <c r="F204" s="30">
        <f>(C201+(3*D201))*E192</f>
        <v>17044.645075583987</v>
      </c>
      <c r="G204" s="30"/>
    </row>
    <row r="205" spans="1:7" ht="15" customHeight="1" x14ac:dyDescent="0.25">
      <c r="A205" s="27" t="s">
        <v>215</v>
      </c>
      <c r="B205" s="30"/>
      <c r="C205" s="30"/>
      <c r="D205" s="30"/>
      <c r="E205" s="30"/>
      <c r="F205" s="30">
        <f>(C201+(4*D201))*E193</f>
        <v>17112.796125570403</v>
      </c>
      <c r="G205" s="30"/>
    </row>
    <row r="206" spans="1:7" ht="15" customHeight="1" x14ac:dyDescent="0.25">
      <c r="A206" s="27" t="s">
        <v>216</v>
      </c>
      <c r="B206" s="30"/>
      <c r="C206" s="30"/>
      <c r="D206" s="30"/>
      <c r="E206" s="30"/>
      <c r="F206" s="30">
        <f>(C201+(5*D201))*E194</f>
        <v>17180.485319132928</v>
      </c>
      <c r="G206" s="30"/>
    </row>
    <row r="207" spans="1:7" ht="15" customHeight="1" x14ac:dyDescent="0.25">
      <c r="A207" s="27" t="s">
        <v>217</v>
      </c>
      <c r="B207" s="30"/>
      <c r="C207" s="30"/>
      <c r="D207" s="30"/>
      <c r="E207" s="30"/>
      <c r="F207" s="30">
        <f>(C201+(6*D201))*E195</f>
        <v>16793.273319527372</v>
      </c>
      <c r="G207" s="30"/>
    </row>
    <row r="208" spans="1:7" ht="15" customHeight="1" x14ac:dyDescent="0.25">
      <c r="A208" s="27" t="s">
        <v>218</v>
      </c>
      <c r="B208" s="30"/>
      <c r="C208" s="30"/>
      <c r="D208" s="30"/>
      <c r="E208" s="30"/>
      <c r="F208" s="30">
        <f>(C201+(7*D201))*E196</f>
        <v>17404.466599153842</v>
      </c>
      <c r="G208" s="30"/>
    </row>
    <row r="209" spans="1:7" ht="15" customHeight="1" x14ac:dyDescent="0.25">
      <c r="A209" s="27" t="s">
        <v>219</v>
      </c>
      <c r="B209" s="30"/>
      <c r="C209" s="30"/>
      <c r="D209" s="30"/>
      <c r="E209" s="30"/>
      <c r="F209" s="30">
        <f>(C201+(8*D201))*E197</f>
        <v>19140.047118777304</v>
      </c>
      <c r="G209" s="30"/>
    </row>
  </sheetData>
  <mergeCells count="1">
    <mergeCell ref="J83:K83"/>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9"/>
  <sheetViews>
    <sheetView topLeftCell="A81" workbookViewId="0">
      <selection activeCell="M114" sqref="M114"/>
    </sheetView>
  </sheetViews>
  <sheetFormatPr defaultRowHeight="15" x14ac:dyDescent="0.25"/>
  <cols>
    <col min="1" max="1" width="13.5703125" bestFit="1" customWidth="1"/>
    <col min="2" max="4" width="14.28515625" bestFit="1" customWidth="1"/>
  </cols>
  <sheetData>
    <row r="1" spans="1:4" ht="15.75" thickTop="1" x14ac:dyDescent="0.25">
      <c r="A1" s="13" t="s">
        <v>53</v>
      </c>
      <c r="B1" s="13" t="s">
        <v>54</v>
      </c>
      <c r="C1" s="13" t="s">
        <v>55</v>
      </c>
      <c r="D1" s="13" t="s">
        <v>56</v>
      </c>
    </row>
    <row r="2" spans="1:4" x14ac:dyDescent="0.25">
      <c r="A2" s="11">
        <v>-3010.0427350427299</v>
      </c>
      <c r="B2" s="11">
        <v>-4054.9829059829062</v>
      </c>
      <c r="C2" s="11">
        <v>-4283.9829059829062</v>
      </c>
      <c r="D2" s="11">
        <v>-756.05128205128131</v>
      </c>
    </row>
    <row r="3" spans="1:4" x14ac:dyDescent="0.25">
      <c r="A3" s="11">
        <v>-1605.0427350427344</v>
      </c>
      <c r="B3" s="11">
        <v>-3151.9829059829062</v>
      </c>
      <c r="C3" s="11">
        <v>-3739.9829059829062</v>
      </c>
      <c r="D3" s="11">
        <v>-2169.0512820512813</v>
      </c>
    </row>
    <row r="4" spans="1:4" x14ac:dyDescent="0.25">
      <c r="A4" s="11">
        <v>1153.9572649572656</v>
      </c>
      <c r="B4" s="11">
        <v>-3102.9829059829062</v>
      </c>
      <c r="C4" s="11">
        <v>-2664.9829059829062</v>
      </c>
      <c r="D4" s="11">
        <v>-485.05128205128131</v>
      </c>
    </row>
    <row r="5" spans="1:4" x14ac:dyDescent="0.25">
      <c r="A5" s="11">
        <v>-2471.0427350427344</v>
      </c>
      <c r="B5" s="11">
        <v>-2788.9829059829062</v>
      </c>
      <c r="C5" s="11">
        <v>-792.98290598290623</v>
      </c>
      <c r="D5" s="11">
        <v>-292.05128205128131</v>
      </c>
    </row>
    <row r="6" spans="1:4" x14ac:dyDescent="0.25">
      <c r="A6" s="11">
        <v>1503.9572649572656</v>
      </c>
      <c r="B6" s="11">
        <v>-1669.9829059829062</v>
      </c>
      <c r="C6" s="11">
        <v>18.017094017093768</v>
      </c>
      <c r="D6" s="11">
        <v>-593.05128205128131</v>
      </c>
    </row>
    <row r="7" spans="1:4" x14ac:dyDescent="0.25">
      <c r="A7" s="11">
        <v>797.95726495726558</v>
      </c>
      <c r="B7" s="11">
        <v>-176.98290598290623</v>
      </c>
      <c r="C7" s="11">
        <v>1495.0170940170938</v>
      </c>
      <c r="D7" s="11">
        <v>1365.9487179487187</v>
      </c>
    </row>
    <row r="8" spans="1:4" x14ac:dyDescent="0.25">
      <c r="A8" s="11">
        <v>828.95726495726558</v>
      </c>
      <c r="B8" s="11">
        <v>1126.0170940170938</v>
      </c>
      <c r="C8" s="11">
        <v>3241.0170940170938</v>
      </c>
      <c r="D8" s="11">
        <v>1447.9487179487187</v>
      </c>
    </row>
    <row r="9" spans="1:4" x14ac:dyDescent="0.25">
      <c r="A9" s="11">
        <v>5474.9572649572656</v>
      </c>
      <c r="B9" s="11">
        <v>2156.0170940170938</v>
      </c>
      <c r="C9" s="11">
        <v>4039.0170940170938</v>
      </c>
      <c r="D9" s="11">
        <v>3005.9487179487187</v>
      </c>
    </row>
    <row r="10" spans="1:4" x14ac:dyDescent="0.25">
      <c r="A10" s="11">
        <v>4040.9572649572656</v>
      </c>
      <c r="B10" s="11">
        <v>-2447.9829059829062</v>
      </c>
      <c r="C10" s="11">
        <v>2557.0170940170938</v>
      </c>
      <c r="D10" s="11">
        <v>1309.9487179487187</v>
      </c>
    </row>
    <row r="11" spans="1:4" x14ac:dyDescent="0.25">
      <c r="A11" s="11">
        <v>486.95726495726558</v>
      </c>
      <c r="B11" s="11">
        <v>299.01709401709377</v>
      </c>
      <c r="C11" s="11">
        <v>1881.0170940170938</v>
      </c>
      <c r="D11" s="11">
        <v>-561.05128205128131</v>
      </c>
    </row>
    <row r="12" spans="1:4" x14ac:dyDescent="0.25">
      <c r="A12" s="11">
        <v>-38.042735042734421</v>
      </c>
      <c r="B12" s="11">
        <v>-1587.9829059829062</v>
      </c>
      <c r="C12" s="11">
        <v>112.01709401709377</v>
      </c>
      <c r="D12" s="11">
        <v>-1144.0512820512813</v>
      </c>
    </row>
    <row r="13" spans="1:4" x14ac:dyDescent="0.25">
      <c r="A13" s="11">
        <v>-1948.0427350427344</v>
      </c>
      <c r="B13" s="11">
        <v>-3638.9829059829062</v>
      </c>
      <c r="C13" s="11">
        <v>-1521.9829059829062</v>
      </c>
      <c r="D13" s="11">
        <v>-677.05128205128131</v>
      </c>
    </row>
    <row r="14" spans="1:4" x14ac:dyDescent="0.25">
      <c r="A14" s="11">
        <v>-309.04273504273442</v>
      </c>
      <c r="B14" s="11">
        <v>-4530.9829059829062</v>
      </c>
      <c r="C14" s="11">
        <v>-3693.9829059829062</v>
      </c>
      <c r="D14" s="11">
        <v>-1708.0512820512813</v>
      </c>
    </row>
    <row r="15" spans="1:4" x14ac:dyDescent="0.25">
      <c r="A15" s="11">
        <v>-1519.0427350427344</v>
      </c>
      <c r="B15" s="11">
        <v>-3319.9829059829062</v>
      </c>
      <c r="C15" s="11">
        <v>-3215.9829059829062</v>
      </c>
      <c r="D15" s="11">
        <v>-1712.0512820512813</v>
      </c>
    </row>
    <row r="16" spans="1:4" x14ac:dyDescent="0.25">
      <c r="A16" s="11">
        <v>-1054.0427350427344</v>
      </c>
      <c r="B16" s="11">
        <v>-3201.9829059829062</v>
      </c>
      <c r="C16" s="11">
        <v>-3659.9829059829062</v>
      </c>
      <c r="D16" s="11">
        <v>-1663.0512820512813</v>
      </c>
    </row>
    <row r="17" spans="1:4" x14ac:dyDescent="0.25">
      <c r="A17" s="11">
        <v>1936.9572649572656</v>
      </c>
      <c r="B17" s="11">
        <v>-2040.9829059829062</v>
      </c>
      <c r="C17" s="11">
        <v>-1054.9829059829062</v>
      </c>
      <c r="D17" s="11">
        <v>-407.05128205128131</v>
      </c>
    </row>
    <row r="18" spans="1:4" x14ac:dyDescent="0.25">
      <c r="A18" s="11">
        <v>378.95726495726558</v>
      </c>
      <c r="B18" s="11">
        <v>-915.98290598290623</v>
      </c>
      <c r="C18" s="11">
        <v>-1201.9829059829062</v>
      </c>
      <c r="D18" s="11">
        <v>-273.05128205128131</v>
      </c>
    </row>
    <row r="19" spans="1:4" x14ac:dyDescent="0.25">
      <c r="A19" s="11">
        <v>1552.9572649572656</v>
      </c>
      <c r="B19" s="11">
        <v>262.01709401709377</v>
      </c>
      <c r="C19" s="11">
        <v>152.01709401709377</v>
      </c>
      <c r="D19" s="11">
        <v>-123.05128205128131</v>
      </c>
    </row>
    <row r="20" spans="1:4" x14ac:dyDescent="0.25">
      <c r="A20" s="11">
        <v>2900.9572649572656</v>
      </c>
      <c r="B20" s="11">
        <v>1391.0170940170938</v>
      </c>
      <c r="C20" s="11">
        <v>2321.0170940170938</v>
      </c>
      <c r="D20" s="11">
        <v>1544.9487179487187</v>
      </c>
    </row>
    <row r="21" spans="1:4" x14ac:dyDescent="0.25">
      <c r="A21" s="11">
        <v>1803.9572649572656</v>
      </c>
      <c r="B21" s="11">
        <v>201.01709401709377</v>
      </c>
      <c r="C21" s="11">
        <v>4161.0170940170938</v>
      </c>
      <c r="D21" s="11">
        <v>2882.9487179487187</v>
      </c>
    </row>
    <row r="22" spans="1:4" x14ac:dyDescent="0.25">
      <c r="A22" s="11">
        <v>1872.9572649572656</v>
      </c>
      <c r="B22" s="11">
        <v>-594.98290598290623</v>
      </c>
      <c r="C22" s="11">
        <v>3771.0170940170938</v>
      </c>
      <c r="D22" s="11">
        <v>1360.9487179487187</v>
      </c>
    </row>
    <row r="23" spans="1:4" x14ac:dyDescent="0.25">
      <c r="A23" s="11">
        <v>-3202.0427350427344</v>
      </c>
      <c r="B23" s="11">
        <v>-519.98290598290623</v>
      </c>
      <c r="C23" s="11">
        <v>1480.0170940170938</v>
      </c>
      <c r="D23" s="11">
        <v>1465.9487179487187</v>
      </c>
    </row>
    <row r="24" spans="1:4" x14ac:dyDescent="0.25">
      <c r="A24" s="11">
        <v>2230.9572649572656</v>
      </c>
      <c r="B24" s="11">
        <v>-1201.9829059829062</v>
      </c>
      <c r="C24" s="11">
        <v>1008.0170940170938</v>
      </c>
      <c r="D24" s="11">
        <v>-892.05128205128131</v>
      </c>
    </row>
    <row r="25" spans="1:4" x14ac:dyDescent="0.25">
      <c r="A25" s="11">
        <v>-629.04273504273442</v>
      </c>
      <c r="B25" s="11">
        <v>-2860.9829059829062</v>
      </c>
      <c r="C25" s="11">
        <v>-1386.9829059829062</v>
      </c>
      <c r="D25" s="11">
        <v>-1132.0512820512813</v>
      </c>
    </row>
    <row r="26" spans="1:4" x14ac:dyDescent="0.25">
      <c r="A26" s="11">
        <v>1574.9572649572656</v>
      </c>
      <c r="B26" s="11">
        <v>-4048.9829059829062</v>
      </c>
      <c r="C26" s="11">
        <v>-3348.9829059829062</v>
      </c>
      <c r="D26" s="11">
        <v>-1811.0512820512813</v>
      </c>
    </row>
    <row r="27" spans="1:4" x14ac:dyDescent="0.25">
      <c r="A27" s="11">
        <v>-423.04273504273442</v>
      </c>
      <c r="B27" s="11">
        <v>-3947.9829059829062</v>
      </c>
      <c r="C27" s="11">
        <v>-3091.9829059829062</v>
      </c>
      <c r="D27" s="11">
        <v>-1323.0512820512813</v>
      </c>
    </row>
    <row r="28" spans="1:4" x14ac:dyDescent="0.25">
      <c r="A28" s="11">
        <v>-2035.0427350427344</v>
      </c>
      <c r="B28" s="11">
        <v>-3513.9829059829062</v>
      </c>
      <c r="C28" s="11">
        <v>-3383.9829059829062</v>
      </c>
      <c r="D28" s="11">
        <v>-660.05128205128131</v>
      </c>
    </row>
    <row r="29" spans="1:4" x14ac:dyDescent="0.25">
      <c r="A29" s="11">
        <v>-476.04273504273442</v>
      </c>
      <c r="B29" s="11">
        <v>-2875.9829059829062</v>
      </c>
      <c r="C29" s="11">
        <v>-1504.9829059829062</v>
      </c>
      <c r="D29" s="11">
        <v>-248.05128205128131</v>
      </c>
    </row>
    <row r="30" spans="1:4" x14ac:dyDescent="0.25">
      <c r="A30" s="11">
        <v>31.957264957265579</v>
      </c>
      <c r="B30" s="11">
        <v>-168.98290598290623</v>
      </c>
      <c r="C30" s="11">
        <v>-1518.9829059829062</v>
      </c>
      <c r="D30" s="11">
        <v>-1540.0512820512813</v>
      </c>
    </row>
    <row r="31" spans="1:4" x14ac:dyDescent="0.25">
      <c r="A31" s="11">
        <v>463.95726495726558</v>
      </c>
      <c r="B31" s="11">
        <v>707.01709401709377</v>
      </c>
      <c r="C31" s="11">
        <v>1661.0170940170938</v>
      </c>
      <c r="D31" s="11">
        <v>724.94871794871869</v>
      </c>
    </row>
    <row r="32" spans="1:4" x14ac:dyDescent="0.25">
      <c r="A32" s="11">
        <v>-1217.0427350427344</v>
      </c>
      <c r="B32" s="11">
        <v>766.01709401709377</v>
      </c>
      <c r="C32" s="11">
        <v>2964.0170940170938</v>
      </c>
      <c r="D32" s="11">
        <v>1753.9487179487187</v>
      </c>
    </row>
    <row r="33" spans="1:4" x14ac:dyDescent="0.25">
      <c r="A33" s="11">
        <v>2779.9572649572656</v>
      </c>
      <c r="B33" s="11">
        <v>3500.0170940170938</v>
      </c>
      <c r="C33" s="11">
        <v>4177.0170940170938</v>
      </c>
      <c r="D33" s="11">
        <v>1210.9487179487187</v>
      </c>
    </row>
    <row r="34" spans="1:4" x14ac:dyDescent="0.25">
      <c r="A34" s="11">
        <v>-135.04273504273442</v>
      </c>
      <c r="B34" s="11">
        <v>-1810.9829059829062</v>
      </c>
      <c r="C34" s="11">
        <v>3579.0170940170938</v>
      </c>
      <c r="D34" s="11">
        <v>763.94871794871869</v>
      </c>
    </row>
    <row r="35" spans="1:4" x14ac:dyDescent="0.25">
      <c r="A35" s="11">
        <v>1110.9572649572656</v>
      </c>
      <c r="B35" s="11">
        <v>-970.98290598290623</v>
      </c>
      <c r="C35" s="11">
        <v>2018.0170940170938</v>
      </c>
      <c r="D35" s="11">
        <v>949.94871794871869</v>
      </c>
    </row>
    <row r="36" spans="1:4" x14ac:dyDescent="0.25">
      <c r="A36" s="11">
        <v>-210.04273504273442</v>
      </c>
      <c r="B36" s="11">
        <v>-2060.9829059829062</v>
      </c>
      <c r="C36" s="11">
        <v>835.01709401709377</v>
      </c>
      <c r="D36" s="11">
        <v>-416.05128205128131</v>
      </c>
    </row>
    <row r="37" spans="1:4" x14ac:dyDescent="0.25">
      <c r="A37" s="11">
        <v>-199.04273504273442</v>
      </c>
      <c r="B37" s="11">
        <v>-1942.9829059829062</v>
      </c>
      <c r="C37" s="11">
        <v>-1885.9829059829062</v>
      </c>
      <c r="D37" s="11">
        <v>-376.05128205128131</v>
      </c>
    </row>
    <row r="38" spans="1:4" x14ac:dyDescent="0.25">
      <c r="A38" s="11">
        <v>-444.04273504273442</v>
      </c>
      <c r="B38" s="11">
        <v>-2329.9829059829062</v>
      </c>
      <c r="C38" s="11">
        <v>-3847.9829059829062</v>
      </c>
      <c r="D38" s="11">
        <v>-1424.0512820512813</v>
      </c>
    </row>
    <row r="39" spans="1:4" x14ac:dyDescent="0.25">
      <c r="A39" s="11">
        <v>-3597.0427350427344</v>
      </c>
      <c r="B39" s="11">
        <v>-2330.9829059829062</v>
      </c>
      <c r="C39" s="11">
        <v>-2082.9829059829062</v>
      </c>
      <c r="D39" s="11">
        <v>-1392.0512820512813</v>
      </c>
    </row>
    <row r="40" spans="1:4" x14ac:dyDescent="0.25">
      <c r="A40" s="11">
        <v>-1379.0427350427344</v>
      </c>
      <c r="B40" s="11">
        <v>-1754.9829059829062</v>
      </c>
      <c r="C40" s="11">
        <v>-1743.9829059829062</v>
      </c>
      <c r="D40" s="11">
        <v>-625.05128205128131</v>
      </c>
    </row>
    <row r="41" spans="1:4" x14ac:dyDescent="0.25">
      <c r="A41" s="11">
        <v>-347.04273504273442</v>
      </c>
      <c r="B41" s="11">
        <v>-1827.9829059829062</v>
      </c>
      <c r="C41" s="11">
        <v>-2271.9829059829062</v>
      </c>
      <c r="D41" s="11">
        <v>-978.05128205128131</v>
      </c>
    </row>
    <row r="42" spans="1:4" x14ac:dyDescent="0.25">
      <c r="A42" s="11">
        <v>229.95726495726558</v>
      </c>
      <c r="B42" s="11">
        <v>-1190.9829059829062</v>
      </c>
      <c r="C42" s="11">
        <v>-991.98290598290623</v>
      </c>
      <c r="D42" s="11">
        <v>765.94871794871869</v>
      </c>
    </row>
    <row r="43" spans="1:4" x14ac:dyDescent="0.25">
      <c r="A43" s="11">
        <v>1028.9572649572656</v>
      </c>
      <c r="B43" s="11">
        <v>678.01709401709377</v>
      </c>
      <c r="C43" s="11">
        <v>2046.0170940170938</v>
      </c>
      <c r="D43" s="11">
        <v>1293.9487179487187</v>
      </c>
    </row>
    <row r="44" spans="1:4" x14ac:dyDescent="0.25">
      <c r="A44" s="11">
        <v>437.95726495726558</v>
      </c>
      <c r="B44" s="11">
        <v>2160.0170940170938</v>
      </c>
      <c r="C44" s="11">
        <v>3412.0170940170938</v>
      </c>
      <c r="D44" s="11">
        <v>2129.9487179487187</v>
      </c>
    </row>
    <row r="45" spans="1:4" x14ac:dyDescent="0.25">
      <c r="A45" s="11">
        <v>1979.9572649572656</v>
      </c>
      <c r="B45" s="11">
        <v>2186.0170940170938</v>
      </c>
      <c r="C45" s="11">
        <v>5069.0170940170938</v>
      </c>
      <c r="D45" s="11">
        <v>1399.9487179487187</v>
      </c>
    </row>
    <row r="46" spans="1:4" x14ac:dyDescent="0.25">
      <c r="A46" s="11">
        <v>1439.9572649572656</v>
      </c>
      <c r="B46" s="11">
        <v>303.01709401709377</v>
      </c>
      <c r="C46" s="11">
        <v>3560.0170940170938</v>
      </c>
      <c r="D46" s="11">
        <v>-650.05128205128131</v>
      </c>
    </row>
    <row r="47" spans="1:4" x14ac:dyDescent="0.25">
      <c r="A47" s="11">
        <v>-1700.0427350427344</v>
      </c>
      <c r="B47" s="11">
        <v>-1857.9829059829062</v>
      </c>
      <c r="C47" s="11">
        <v>809.01709401709377</v>
      </c>
      <c r="D47" s="11">
        <v>635.94871794871869</v>
      </c>
    </row>
    <row r="48" spans="1:4" x14ac:dyDescent="0.25">
      <c r="A48" s="11">
        <v>235.95726495726558</v>
      </c>
      <c r="B48" s="11">
        <v>-3064.9829059829062</v>
      </c>
      <c r="C48" s="11">
        <v>1013.0170940170938</v>
      </c>
      <c r="D48" s="11">
        <v>1428.9487179487187</v>
      </c>
    </row>
    <row r="49" spans="1:4" x14ac:dyDescent="0.25">
      <c r="A49" s="11">
        <v>-2426.0427350427344</v>
      </c>
      <c r="B49" s="11">
        <v>-1914.9829059829062</v>
      </c>
      <c r="C49" s="11">
        <v>-1251.9829059829062</v>
      </c>
      <c r="D49" s="11">
        <v>-982.05128205128131</v>
      </c>
    </row>
    <row r="50" spans="1:4" x14ac:dyDescent="0.25">
      <c r="A50" s="11">
        <v>-1205.0427350427344</v>
      </c>
      <c r="B50" s="11">
        <v>-1335.9829059829062</v>
      </c>
      <c r="C50" s="11">
        <v>-4071.9829059829062</v>
      </c>
      <c r="D50" s="11">
        <v>-2453.0512820512813</v>
      </c>
    </row>
    <row r="51" spans="1:4" x14ac:dyDescent="0.25">
      <c r="A51" s="11">
        <v>-1289.0427350427344</v>
      </c>
      <c r="B51" s="11">
        <v>-1352.9829059829062</v>
      </c>
      <c r="C51" s="11">
        <v>-3330.9829059829062</v>
      </c>
      <c r="D51" s="11">
        <v>-1083.0512820512813</v>
      </c>
    </row>
    <row r="52" spans="1:4" x14ac:dyDescent="0.25">
      <c r="A52" s="11">
        <v>1186.9572649572656</v>
      </c>
      <c r="B52" s="11">
        <v>-1193.9829059829062</v>
      </c>
      <c r="C52" s="11">
        <v>-2477.9829059829062</v>
      </c>
      <c r="D52" s="11">
        <v>-595.05128205128131</v>
      </c>
    </row>
    <row r="53" spans="1:4" x14ac:dyDescent="0.25">
      <c r="A53" s="11">
        <v>-1001.0427350427344</v>
      </c>
      <c r="B53" s="11">
        <v>-2109.9829059829062</v>
      </c>
      <c r="C53" s="11">
        <v>-887.98290598290623</v>
      </c>
      <c r="D53" s="11">
        <v>-388.05128205128131</v>
      </c>
    </row>
    <row r="54" spans="1:4" x14ac:dyDescent="0.25">
      <c r="A54" s="11">
        <v>3819.9572649572656</v>
      </c>
      <c r="B54" s="11">
        <v>-457.98290598290623</v>
      </c>
      <c r="C54" s="11">
        <v>191.01709401709377</v>
      </c>
      <c r="D54" s="11">
        <v>865.94871794871869</v>
      </c>
    </row>
    <row r="55" spans="1:4" x14ac:dyDescent="0.25">
      <c r="A55" s="11">
        <v>-918.04273504273442</v>
      </c>
      <c r="B55" s="11">
        <v>251.01709401709377</v>
      </c>
      <c r="C55" s="11">
        <v>1911.0170940170938</v>
      </c>
      <c r="D55" s="11">
        <v>571.94871794871869</v>
      </c>
    </row>
    <row r="56" spans="1:4" x14ac:dyDescent="0.25">
      <c r="A56" s="11">
        <v>1664.9572649572656</v>
      </c>
      <c r="B56" s="11">
        <v>2051.0170940170938</v>
      </c>
      <c r="C56" s="11">
        <v>2046.0170940170938</v>
      </c>
      <c r="D56" s="11">
        <v>1363.9487179487187</v>
      </c>
    </row>
    <row r="57" spans="1:4" x14ac:dyDescent="0.25">
      <c r="A57" s="11">
        <v>2843.9572649572656</v>
      </c>
      <c r="B57" s="11">
        <v>3362.0170940170938</v>
      </c>
      <c r="C57" s="11">
        <v>3439.0170940170938</v>
      </c>
      <c r="D57" s="11">
        <v>685.94871794871869</v>
      </c>
    </row>
    <row r="58" spans="1:4" x14ac:dyDescent="0.25">
      <c r="A58" s="11">
        <v>754.95726495726558</v>
      </c>
      <c r="B58" s="11">
        <v>-748.98290598290623</v>
      </c>
      <c r="C58" s="11">
        <v>3445.0170940170938</v>
      </c>
      <c r="D58" s="11">
        <v>1116.9487179487187</v>
      </c>
    </row>
    <row r="59" spans="1:4" x14ac:dyDescent="0.25">
      <c r="A59" s="11">
        <v>363.95726495726558</v>
      </c>
      <c r="B59" s="11">
        <v>23.017094017093768</v>
      </c>
      <c r="C59" s="11">
        <v>1031.0170940170938</v>
      </c>
      <c r="D59" s="11">
        <v>1287.9487179487187</v>
      </c>
    </row>
    <row r="60" spans="1:4" x14ac:dyDescent="0.25">
      <c r="A60" s="11">
        <v>-1736.0427350427344</v>
      </c>
      <c r="B60" s="11">
        <v>-808.98290598290623</v>
      </c>
      <c r="C60" s="11">
        <v>-488.98290598290623</v>
      </c>
      <c r="D60" s="11">
        <v>-335.05128205128131</v>
      </c>
    </row>
    <row r="61" spans="1:4" x14ac:dyDescent="0.25">
      <c r="A61" s="11">
        <v>-1950.0427350427344</v>
      </c>
      <c r="B61" s="11">
        <v>-2070.9829059829062</v>
      </c>
      <c r="C61" s="11">
        <v>-992.98290598290623</v>
      </c>
      <c r="D61" s="11">
        <v>1133.9487179487187</v>
      </c>
    </row>
    <row r="62" spans="1:4" x14ac:dyDescent="0.25">
      <c r="A62" s="11">
        <v>-2309.0427350427344</v>
      </c>
      <c r="B62" s="11">
        <v>-278.98290598290623</v>
      </c>
      <c r="C62" s="11">
        <v>-3630.9829059829062</v>
      </c>
      <c r="D62" s="11">
        <v>-1399.0512820512813</v>
      </c>
    </row>
    <row r="63" spans="1:4" x14ac:dyDescent="0.25">
      <c r="A63" s="11">
        <v>-1190.0427350427344</v>
      </c>
      <c r="B63" s="11">
        <v>-1438.9829059829062</v>
      </c>
      <c r="C63" s="11">
        <v>-2820.9829059829062</v>
      </c>
      <c r="D63" s="11">
        <v>-1828.0512820512813</v>
      </c>
    </row>
    <row r="64" spans="1:4" x14ac:dyDescent="0.25">
      <c r="A64" s="11">
        <v>-1163.0427350427344</v>
      </c>
      <c r="B64" s="11">
        <v>-2138.9829059829062</v>
      </c>
      <c r="C64" s="11">
        <v>-2507.9829059829062</v>
      </c>
      <c r="D64" s="11">
        <v>-326.05128205128131</v>
      </c>
    </row>
    <row r="65" spans="1:4" x14ac:dyDescent="0.25">
      <c r="A65" s="11">
        <v>-1777.0427350427344</v>
      </c>
      <c r="B65" s="11">
        <v>-1341.9829059829062</v>
      </c>
      <c r="C65" s="11">
        <v>-1315.9829059829062</v>
      </c>
      <c r="D65" s="11">
        <v>-527.05128205128131</v>
      </c>
    </row>
    <row r="66" spans="1:4" x14ac:dyDescent="0.25">
      <c r="A66" s="11">
        <v>1975.9572649572656</v>
      </c>
      <c r="B66" s="11">
        <v>-697.98290598290623</v>
      </c>
      <c r="C66" s="11">
        <v>-957.98290598290623</v>
      </c>
      <c r="D66" s="11">
        <v>19.948717948718695</v>
      </c>
    </row>
    <row r="67" spans="1:4" x14ac:dyDescent="0.25">
      <c r="A67" s="11">
        <v>-1465.0427350427344</v>
      </c>
      <c r="B67" s="11">
        <v>3078.0170940170938</v>
      </c>
      <c r="C67" s="11">
        <v>1805.0170940170938</v>
      </c>
      <c r="D67" s="11">
        <v>789.94871794871869</v>
      </c>
    </row>
    <row r="68" spans="1:4" x14ac:dyDescent="0.25">
      <c r="A68" s="11">
        <v>1091.9572649572656</v>
      </c>
      <c r="B68" s="11">
        <v>2306.0170940170938</v>
      </c>
      <c r="C68" s="11">
        <v>739.01709401709377</v>
      </c>
      <c r="D68" s="11">
        <v>471.94871794871869</v>
      </c>
    </row>
    <row r="69" spans="1:4" x14ac:dyDescent="0.25">
      <c r="A69" s="11">
        <v>1938.9572649572656</v>
      </c>
      <c r="B69" s="11">
        <v>4078.0170940170938</v>
      </c>
      <c r="C69" s="11">
        <v>5114.0170940170938</v>
      </c>
      <c r="D69" s="11">
        <v>2217.9487179487187</v>
      </c>
    </row>
    <row r="70" spans="1:4" x14ac:dyDescent="0.25">
      <c r="A70" s="11">
        <v>2299.9572649572656</v>
      </c>
      <c r="B70" s="11">
        <v>756.01709401709377</v>
      </c>
      <c r="C70" s="11">
        <v>2223.0170940170938</v>
      </c>
      <c r="D70" s="11">
        <v>1743.9487179487187</v>
      </c>
    </row>
    <row r="71" spans="1:4" x14ac:dyDescent="0.25">
      <c r="A71" s="11">
        <v>526.95726495726558</v>
      </c>
      <c r="B71" s="11">
        <v>213.01709401709377</v>
      </c>
      <c r="C71" s="11">
        <v>1413.0170940170938</v>
      </c>
      <c r="D71" s="11">
        <v>760.94871794871869</v>
      </c>
    </row>
    <row r="72" spans="1:4" x14ac:dyDescent="0.25">
      <c r="A72" s="11">
        <v>1639.9572649572656</v>
      </c>
      <c r="B72" s="11">
        <v>-106.98290598290623</v>
      </c>
      <c r="C72" s="11">
        <v>203.01709401709377</v>
      </c>
      <c r="D72" s="11">
        <v>-222.05128205128131</v>
      </c>
    </row>
    <row r="73" spans="1:4" x14ac:dyDescent="0.25">
      <c r="A73" s="11">
        <v>-527.04273504273442</v>
      </c>
      <c r="B73" s="11">
        <v>-1277.9829059829062</v>
      </c>
      <c r="C73" s="11">
        <v>-778.98290598290623</v>
      </c>
      <c r="D73" s="11">
        <v>-339.05128205128131</v>
      </c>
    </row>
    <row r="74" spans="1:4" x14ac:dyDescent="0.25">
      <c r="A74" s="11">
        <v>-338.04273504273442</v>
      </c>
      <c r="B74" s="11">
        <v>-967.98290598290623</v>
      </c>
      <c r="C74" s="11">
        <v>-3730.9829059829062</v>
      </c>
      <c r="D74" s="11">
        <v>-2610.0512820512813</v>
      </c>
    </row>
    <row r="75" spans="1:4" x14ac:dyDescent="0.25">
      <c r="A75" s="11">
        <v>-660.04273504273442</v>
      </c>
      <c r="B75" s="11">
        <v>-1520.9829059829062</v>
      </c>
      <c r="C75" s="11">
        <v>-2805.9829059829062</v>
      </c>
      <c r="D75" s="11">
        <v>-1563.0512820512813</v>
      </c>
    </row>
    <row r="76" spans="1:4" x14ac:dyDescent="0.25">
      <c r="A76" s="11">
        <v>-1851.0427350427344</v>
      </c>
      <c r="B76" s="11">
        <v>-2046.9829059829062</v>
      </c>
      <c r="C76" s="11">
        <v>-3535.9829059829062</v>
      </c>
      <c r="D76" s="11">
        <v>-567.05128205128131</v>
      </c>
    </row>
    <row r="77" spans="1:4" x14ac:dyDescent="0.25">
      <c r="A77" s="11">
        <v>-666.04273504273442</v>
      </c>
      <c r="B77" s="11">
        <v>-1982.9829059829062</v>
      </c>
      <c r="C77" s="11">
        <v>-658.98290598290623</v>
      </c>
      <c r="D77" s="11">
        <v>-628.05128205128131</v>
      </c>
    </row>
    <row r="78" spans="1:4" x14ac:dyDescent="0.25">
      <c r="A78" s="11">
        <v>-2081.0427350427344</v>
      </c>
      <c r="B78" s="11">
        <v>558.01709401709377</v>
      </c>
      <c r="C78" s="11">
        <v>-915.98290598290623</v>
      </c>
      <c r="D78" s="11">
        <v>157.94871794871869</v>
      </c>
    </row>
    <row r="79" spans="1:4" x14ac:dyDescent="0.25">
      <c r="A79" s="11">
        <v>-1192.0427350427344</v>
      </c>
      <c r="B79" s="11">
        <v>3108.0170940170938</v>
      </c>
      <c r="C79" s="11">
        <v>1008.0170940170938</v>
      </c>
      <c r="D79" s="11">
        <v>1432.9487179487187</v>
      </c>
    </row>
    <row r="80" spans="1:4" x14ac:dyDescent="0.25">
      <c r="A80" s="11">
        <v>774.95726495726558</v>
      </c>
      <c r="B80" s="11">
        <v>3635.0170940170938</v>
      </c>
      <c r="C80" s="11">
        <v>2211.0170940170938</v>
      </c>
      <c r="D80" s="11">
        <v>307.94871794871869</v>
      </c>
    </row>
    <row r="81" spans="1:4" x14ac:dyDescent="0.25">
      <c r="A81" s="11">
        <v>307.95726495726558</v>
      </c>
      <c r="B81" s="11">
        <v>5718.0170940170938</v>
      </c>
      <c r="C81" s="11">
        <v>4771.0170940170938</v>
      </c>
      <c r="D81" s="11">
        <v>499.94871794871869</v>
      </c>
    </row>
    <row r="82" spans="1:4" x14ac:dyDescent="0.25">
      <c r="A82" s="11">
        <v>1846.9572649572656</v>
      </c>
      <c r="B82" s="11">
        <v>308.01709401709377</v>
      </c>
      <c r="C82" s="11">
        <v>3008.0170940170938</v>
      </c>
      <c r="D82" s="11">
        <v>1715.9487179487187</v>
      </c>
    </row>
    <row r="83" spans="1:4" x14ac:dyDescent="0.25">
      <c r="A83" s="11">
        <v>-1199.0427350427344</v>
      </c>
      <c r="B83" s="11">
        <v>423.01709401709377</v>
      </c>
      <c r="C83" s="11">
        <v>869.01709401709377</v>
      </c>
      <c r="D83" s="11">
        <v>1032.9487179487187</v>
      </c>
    </row>
    <row r="84" spans="1:4" x14ac:dyDescent="0.25">
      <c r="A84" s="11">
        <v>-1024.0427350427344</v>
      </c>
      <c r="B84" s="11">
        <v>162.01709401709377</v>
      </c>
      <c r="C84" s="11">
        <v>134.01709401709377</v>
      </c>
      <c r="D84" s="11">
        <v>256.94871794871869</v>
      </c>
    </row>
    <row r="85" spans="1:4" x14ac:dyDescent="0.25">
      <c r="A85" s="11">
        <v>-51.042735042734421</v>
      </c>
      <c r="B85" s="11">
        <v>-335.98290598290623</v>
      </c>
      <c r="C85" s="11">
        <v>-1888.9829059829062</v>
      </c>
      <c r="D85" s="11">
        <v>-1728.0512820512813</v>
      </c>
    </row>
    <row r="86" spans="1:4" x14ac:dyDescent="0.25">
      <c r="A86" s="11">
        <v>-1602.0427350427344</v>
      </c>
      <c r="B86" s="11">
        <v>515.01709401709377</v>
      </c>
      <c r="C86" s="11">
        <v>-3690.9829059829062</v>
      </c>
      <c r="D86" s="11">
        <v>-2296.0512820512813</v>
      </c>
    </row>
    <row r="87" spans="1:4" x14ac:dyDescent="0.25">
      <c r="A87" s="11">
        <v>-1870.0427350427344</v>
      </c>
      <c r="B87" s="11">
        <v>165.01709401709377</v>
      </c>
      <c r="C87" s="11">
        <v>-2877.9829059829062</v>
      </c>
      <c r="D87" s="11">
        <v>163.94871794871869</v>
      </c>
    </row>
    <row r="88" spans="1:4" x14ac:dyDescent="0.25">
      <c r="A88" s="11">
        <v>-1286.0427350427344</v>
      </c>
      <c r="B88" s="11">
        <v>-1341.9829059829062</v>
      </c>
      <c r="C88" s="11">
        <v>-1929.9829059829062</v>
      </c>
      <c r="D88" s="11">
        <v>-1149.0512820512813</v>
      </c>
    </row>
    <row r="89" spans="1:4" x14ac:dyDescent="0.25">
      <c r="A89" s="11">
        <v>-440.04273504273442</v>
      </c>
      <c r="B89" s="11">
        <v>491.01709401709377</v>
      </c>
      <c r="C89" s="11">
        <v>-1179.9829059829062</v>
      </c>
      <c r="D89" s="11">
        <v>479.94871794871869</v>
      </c>
    </row>
    <row r="90" spans="1:4" x14ac:dyDescent="0.25">
      <c r="A90" s="11">
        <v>-1130.0427350427344</v>
      </c>
      <c r="B90" s="11">
        <v>687.01709401709377</v>
      </c>
      <c r="C90" s="11">
        <v>-743.98290598290623</v>
      </c>
      <c r="D90" s="11">
        <v>273.94871794871869</v>
      </c>
    </row>
    <row r="91" spans="1:4" x14ac:dyDescent="0.25">
      <c r="A91" s="11">
        <v>94.957264957265579</v>
      </c>
      <c r="B91" s="11">
        <v>987.01709401709377</v>
      </c>
      <c r="C91" s="11">
        <v>2068.0170940170938</v>
      </c>
      <c r="D91" s="11">
        <v>1081.9487179487187</v>
      </c>
    </row>
    <row r="92" spans="1:4" x14ac:dyDescent="0.25">
      <c r="A92" s="11">
        <v>2457.9572649572656</v>
      </c>
      <c r="B92" s="11">
        <v>3906.0170940170938</v>
      </c>
      <c r="C92" s="11">
        <v>3255.0170940170938</v>
      </c>
      <c r="D92" s="11">
        <v>1617.9487179487187</v>
      </c>
    </row>
    <row r="93" spans="1:4" x14ac:dyDescent="0.25">
      <c r="A93" s="11">
        <v>715.95726495726558</v>
      </c>
      <c r="B93" s="11">
        <v>5752.0170940170938</v>
      </c>
      <c r="C93" s="11">
        <v>3595.0170940170938</v>
      </c>
      <c r="D93" s="11">
        <v>-203.05128205128131</v>
      </c>
    </row>
    <row r="94" spans="1:4" x14ac:dyDescent="0.25">
      <c r="A94" s="11">
        <v>1452.9572649572656</v>
      </c>
      <c r="B94" s="11">
        <v>2153.0170940170938</v>
      </c>
      <c r="C94" s="11">
        <v>3347.0170940170938</v>
      </c>
      <c r="D94" s="11">
        <v>2150.9487179487187</v>
      </c>
    </row>
    <row r="95" spans="1:4" x14ac:dyDescent="0.25">
      <c r="A95" s="11">
        <v>-981.04273504273442</v>
      </c>
      <c r="B95" s="11">
        <v>2597.0170940170938</v>
      </c>
      <c r="C95" s="11">
        <v>2862.0170940170938</v>
      </c>
      <c r="D95" s="11">
        <v>520.94871794871869</v>
      </c>
    </row>
    <row r="96" spans="1:4" x14ac:dyDescent="0.25">
      <c r="A96" s="11">
        <v>-2572.0427350427344</v>
      </c>
      <c r="B96" s="11">
        <v>-580.98290598290623</v>
      </c>
      <c r="C96" s="11">
        <v>305.01709401709377</v>
      </c>
      <c r="D96" s="11">
        <v>-372.05128205128131</v>
      </c>
    </row>
    <row r="97" spans="1:4" x14ac:dyDescent="0.25">
      <c r="A97" s="11">
        <v>-1947.0427350427344</v>
      </c>
      <c r="B97" s="11">
        <v>-1.9829059829062317</v>
      </c>
      <c r="C97" s="11">
        <v>-1700.9829059829062</v>
      </c>
      <c r="D97" s="11">
        <v>-354.05128205128131</v>
      </c>
    </row>
    <row r="98" spans="1:4" x14ac:dyDescent="0.25">
      <c r="A98" s="11">
        <v>-1365.0427350427344</v>
      </c>
      <c r="B98" s="11">
        <v>-694.98290598290623</v>
      </c>
      <c r="C98" s="11">
        <v>-3930.9829059829062</v>
      </c>
      <c r="D98" s="11">
        <v>-1044.0512820512813</v>
      </c>
    </row>
    <row r="99" spans="1:4" x14ac:dyDescent="0.25">
      <c r="A99" s="11">
        <v>-2838.0427350427344</v>
      </c>
      <c r="B99" s="11">
        <v>1066.0170940170938</v>
      </c>
      <c r="C99" s="11">
        <v>-3179.9829059829062</v>
      </c>
      <c r="D99" s="11">
        <v>-1386.0512820512813</v>
      </c>
    </row>
    <row r="100" spans="1:4" x14ac:dyDescent="0.25">
      <c r="A100" s="11">
        <v>-1628.0427350427344</v>
      </c>
      <c r="B100" s="11">
        <v>-527.98290598290623</v>
      </c>
      <c r="C100" s="11">
        <v>-2858.9829059829062</v>
      </c>
      <c r="D100" s="11">
        <v>-1795.0512820512813</v>
      </c>
    </row>
    <row r="101" spans="1:4" x14ac:dyDescent="0.25">
      <c r="A101" s="11">
        <v>204.95726495726558</v>
      </c>
      <c r="B101" s="11">
        <v>-113.98290598290623</v>
      </c>
      <c r="C101" s="11">
        <v>-1357.9829059829062</v>
      </c>
      <c r="D101" s="11">
        <v>-177.05128205128131</v>
      </c>
    </row>
    <row r="102" spans="1:4" x14ac:dyDescent="0.25">
      <c r="A102" s="11">
        <v>-478.04273504273442</v>
      </c>
      <c r="B102" s="11">
        <v>2056.0170940170938</v>
      </c>
      <c r="C102" s="11">
        <v>-64.982905982906232</v>
      </c>
      <c r="D102" s="11">
        <v>149.94871794871869</v>
      </c>
    </row>
    <row r="103" spans="1:4" x14ac:dyDescent="0.25">
      <c r="A103" s="11">
        <v>784.95726495726558</v>
      </c>
      <c r="B103" s="11">
        <v>3284.0170940170938</v>
      </c>
      <c r="C103" s="11">
        <v>1017.0170940170938</v>
      </c>
      <c r="D103" s="11">
        <v>211.94871794871869</v>
      </c>
    </row>
    <row r="104" spans="1:4" x14ac:dyDescent="0.25">
      <c r="A104" s="11">
        <v>560.95726495726558</v>
      </c>
      <c r="B104" s="11">
        <v>5641.0170940170938</v>
      </c>
      <c r="C104" s="11">
        <v>2799.0170940170938</v>
      </c>
      <c r="D104" s="11">
        <v>1316.9487179487187</v>
      </c>
    </row>
    <row r="105" spans="1:4" x14ac:dyDescent="0.25">
      <c r="A105" s="11">
        <v>1545.9572649572656</v>
      </c>
      <c r="B105" s="11">
        <v>5394.0170940170938</v>
      </c>
      <c r="C105" s="11">
        <v>3616.0170940170938</v>
      </c>
      <c r="D105" s="11">
        <v>493.94871794871869</v>
      </c>
    </row>
    <row r="106" spans="1:4" x14ac:dyDescent="0.25">
      <c r="A106" s="11">
        <v>1707.9572649572656</v>
      </c>
      <c r="B106" s="11">
        <v>2294.0170940170938</v>
      </c>
      <c r="C106" s="11">
        <v>2915.0170940170938</v>
      </c>
      <c r="D106" s="11">
        <v>112.94871794871869</v>
      </c>
    </row>
    <row r="107" spans="1:4" x14ac:dyDescent="0.25">
      <c r="A107" s="11">
        <v>462.95726495726558</v>
      </c>
      <c r="B107" s="11">
        <v>2488.0170940170938</v>
      </c>
      <c r="C107" s="11">
        <v>1674.0170940170938</v>
      </c>
      <c r="D107" s="11">
        <v>-545.05128205128131</v>
      </c>
    </row>
    <row r="108" spans="1:4" x14ac:dyDescent="0.25">
      <c r="A108" s="11">
        <v>819.95726495726558</v>
      </c>
      <c r="B108" s="11">
        <v>785.01709401709377</v>
      </c>
      <c r="C108" s="11">
        <v>70.017094017093768</v>
      </c>
      <c r="D108" s="11">
        <v>-14.051282051281305</v>
      </c>
    </row>
    <row r="109" spans="1:4" x14ac:dyDescent="0.25">
      <c r="A109" s="11">
        <v>-2898.0427350427344</v>
      </c>
      <c r="B109" s="11">
        <v>-26.982905982906232</v>
      </c>
      <c r="C109" s="11">
        <v>-2717.9829059829062</v>
      </c>
      <c r="D109" s="11">
        <v>-1798.0512820512813</v>
      </c>
    </row>
    <row r="110" spans="1:4" x14ac:dyDescent="0.25">
      <c r="A110" s="11">
        <v>-2437.0427350427344</v>
      </c>
      <c r="B110" s="11">
        <v>338.01709401709377</v>
      </c>
      <c r="C110" s="11">
        <v>-3944.9829059829062</v>
      </c>
      <c r="D110" s="11">
        <v>-1727.0512820512813</v>
      </c>
    </row>
    <row r="111" spans="1:4" x14ac:dyDescent="0.25">
      <c r="A111" s="11">
        <v>-1199.0427350427344</v>
      </c>
      <c r="B111" s="11">
        <v>-148.98290598290623</v>
      </c>
      <c r="C111" s="11">
        <v>-3640.9829059829062</v>
      </c>
      <c r="D111" s="11">
        <v>-1301.0512820512813</v>
      </c>
    </row>
    <row r="112" spans="1:4" x14ac:dyDescent="0.25">
      <c r="A112" s="11">
        <v>-306.04273504273442</v>
      </c>
      <c r="B112" s="11">
        <v>-457.98290598290623</v>
      </c>
      <c r="C112" s="11">
        <v>-3036.9829059829062</v>
      </c>
      <c r="D112" s="11">
        <v>-1127.0512820512813</v>
      </c>
    </row>
    <row r="113" spans="1:4" x14ac:dyDescent="0.25">
      <c r="A113" s="11">
        <v>989.95726495726558</v>
      </c>
      <c r="B113" s="11">
        <v>1301.0170940170938</v>
      </c>
      <c r="C113" s="11">
        <v>-987.98290598290623</v>
      </c>
      <c r="D113" s="11">
        <v>-1486.0512820512813</v>
      </c>
    </row>
    <row r="114" spans="1:4" x14ac:dyDescent="0.25">
      <c r="A114" s="11">
        <v>1672.9572649572656</v>
      </c>
      <c r="B114" s="11">
        <v>1801.0170940170938</v>
      </c>
      <c r="C114" s="11">
        <v>-493.98290598290623</v>
      </c>
      <c r="D114" s="11">
        <v>1378.9487179487187</v>
      </c>
    </row>
    <row r="115" spans="1:4" x14ac:dyDescent="0.25">
      <c r="A115" s="11">
        <v>473.95726495726558</v>
      </c>
      <c r="B115" s="11">
        <v>3290.0170940170938</v>
      </c>
      <c r="C115" s="11">
        <v>931.01709401709377</v>
      </c>
      <c r="D115" s="11">
        <v>161.94871794871869</v>
      </c>
    </row>
    <row r="116" spans="1:4" x14ac:dyDescent="0.25">
      <c r="A116" s="11">
        <v>2083.9572649572656</v>
      </c>
      <c r="B116" s="11">
        <v>5617.0170940170938</v>
      </c>
      <c r="C116" s="11">
        <v>2447.0170940170938</v>
      </c>
      <c r="D116" s="11">
        <v>884.94871794871869</v>
      </c>
    </row>
    <row r="117" spans="1:4" x14ac:dyDescent="0.25">
      <c r="A117" s="11">
        <v>266.95726495726558</v>
      </c>
      <c r="B117" s="11">
        <v>6695.0170940170938</v>
      </c>
      <c r="C117" s="11">
        <v>3787.0170940170938</v>
      </c>
      <c r="D117" s="11">
        <v>1561.9487179487187</v>
      </c>
    </row>
    <row r="118" spans="1:4" ht="15.75" thickBot="1" x14ac:dyDescent="0.3">
      <c r="A118" s="12">
        <v>3328.9572649572656</v>
      </c>
      <c r="B118" s="12">
        <v>2467.0170940170938</v>
      </c>
      <c r="C118" s="12">
        <v>2655.0170940170938</v>
      </c>
      <c r="D118" s="12">
        <v>1937.9487179487187</v>
      </c>
    </row>
    <row r="119" spans="1:4" ht="15.75" thickTop="1" x14ac:dyDescent="0.2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70"/>
  <sheetViews>
    <sheetView showGridLines="0" topLeftCell="A6" workbookViewId="0">
      <selection activeCell="H38" sqref="H38"/>
    </sheetView>
  </sheetViews>
  <sheetFormatPr defaultColWidth="12.7109375" defaultRowHeight="15" x14ac:dyDescent="0.25"/>
  <cols>
    <col min="1" max="1" width="35.28515625" bestFit="1" customWidth="1"/>
    <col min="2" max="9" width="12.7109375" customWidth="1"/>
  </cols>
  <sheetData>
    <row r="1" spans="1:3" s="16" customFormat="1" ht="18.75" x14ac:dyDescent="0.3">
      <c r="A1" s="22" t="s">
        <v>75</v>
      </c>
      <c r="B1" s="20"/>
    </row>
    <row r="2" spans="1:3" s="16" customFormat="1" ht="11.25" x14ac:dyDescent="0.2">
      <c r="A2" s="18" t="s">
        <v>76</v>
      </c>
      <c r="B2" s="20" t="s">
        <v>77</v>
      </c>
    </row>
    <row r="3" spans="1:3" s="16" customFormat="1" ht="11.25" x14ac:dyDescent="0.2">
      <c r="A3" s="18" t="s">
        <v>78</v>
      </c>
      <c r="B3" s="20" t="s">
        <v>79</v>
      </c>
    </row>
    <row r="4" spans="1:3" s="16" customFormat="1" ht="11.25" x14ac:dyDescent="0.2">
      <c r="A4" s="18" t="s">
        <v>80</v>
      </c>
      <c r="B4" s="23">
        <v>45067</v>
      </c>
    </row>
    <row r="5" spans="1:3" s="17" customFormat="1" ht="11.25" x14ac:dyDescent="0.2">
      <c r="A5" s="19" t="s">
        <v>81</v>
      </c>
      <c r="B5" s="21" t="s">
        <v>82</v>
      </c>
    </row>
    <row r="7" spans="1:3" ht="15" customHeight="1" x14ac:dyDescent="0.25">
      <c r="A7" s="28" t="s">
        <v>303</v>
      </c>
      <c r="B7" s="25"/>
    </row>
    <row r="8" spans="1:3" ht="15" customHeight="1" thickBot="1" x14ac:dyDescent="0.3">
      <c r="A8" s="39" t="s">
        <v>235</v>
      </c>
      <c r="B8" s="38"/>
    </row>
    <row r="9" spans="1:3" ht="15" customHeight="1" thickTop="1" x14ac:dyDescent="0.25">
      <c r="A9" s="27" t="s">
        <v>229</v>
      </c>
      <c r="B9" s="35">
        <v>0.22640384205283123</v>
      </c>
    </row>
    <row r="10" spans="1:3" ht="15" customHeight="1" x14ac:dyDescent="0.25"/>
    <row r="11" spans="1:3" ht="15" customHeight="1" x14ac:dyDescent="0.25">
      <c r="A11" s="28"/>
      <c r="B11" s="25"/>
      <c r="C11" s="25" t="s">
        <v>220</v>
      </c>
    </row>
    <row r="12" spans="1:3" ht="15" customHeight="1" thickBot="1" x14ac:dyDescent="0.3">
      <c r="A12" s="39" t="s">
        <v>237</v>
      </c>
      <c r="B12" s="38"/>
      <c r="C12" s="38" t="s">
        <v>225</v>
      </c>
    </row>
    <row r="13" spans="1:3" ht="15" customHeight="1" thickTop="1" x14ac:dyDescent="0.25">
      <c r="A13" s="27" t="s">
        <v>88</v>
      </c>
      <c r="B13" s="30">
        <f>_xll.StatMeanAbs(I147:I262)</f>
        <v>653.52070792492202</v>
      </c>
      <c r="C13" s="30">
        <f>_xll.StatMeanAbs(G147:G262)</f>
        <v>654.89843638959076</v>
      </c>
    </row>
    <row r="14" spans="1:3" ht="15" customHeight="1" x14ac:dyDescent="0.25">
      <c r="A14" s="27" t="s">
        <v>89</v>
      </c>
      <c r="B14" s="30">
        <f>SQRT(SUMSQ(I147:I262)/_xll.StatCount(I147:I262))</f>
        <v>802.69346743178414</v>
      </c>
      <c r="C14" s="30">
        <f>SQRT(SUMSQ(G147:G262)/_xll.StatCount(G147:G262))</f>
        <v>804.34532106392385</v>
      </c>
    </row>
    <row r="15" spans="1:3" ht="15" customHeight="1" x14ac:dyDescent="0.25">
      <c r="A15" s="27" t="s">
        <v>90</v>
      </c>
      <c r="B15" s="33">
        <f>_xll.StatPairMeanAbsQuotient(I147:I262,B147:B262)</f>
        <v>4.0544070285088746E-2</v>
      </c>
      <c r="C15" s="33">
        <f>_xll.StatPairMeanAbsQuotient(G147:G262,D147:D262)</f>
        <v>4.0544070285088725E-2</v>
      </c>
    </row>
    <row r="16" spans="1:3"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spans="1:9" ht="15" customHeight="1" x14ac:dyDescent="0.25"/>
    <row r="130" spans="1:9" ht="15" customHeight="1" x14ac:dyDescent="0.25"/>
    <row r="131" spans="1:9" ht="15" customHeight="1" x14ac:dyDescent="0.25"/>
    <row r="132" spans="1:9" ht="15" customHeight="1" x14ac:dyDescent="0.25"/>
    <row r="133" spans="1:9" ht="15" customHeight="1" x14ac:dyDescent="0.25"/>
    <row r="134" spans="1:9" ht="15" customHeight="1" x14ac:dyDescent="0.25"/>
    <row r="135" spans="1:9" ht="15" customHeight="1" x14ac:dyDescent="0.25"/>
    <row r="136" spans="1:9" ht="15" customHeight="1" x14ac:dyDescent="0.25"/>
    <row r="137" spans="1:9" ht="15" customHeight="1" x14ac:dyDescent="0.25"/>
    <row r="138" spans="1:9" ht="15" customHeight="1" x14ac:dyDescent="0.25"/>
    <row r="139" spans="1:9" ht="15" customHeight="1" x14ac:dyDescent="0.25"/>
    <row r="140" spans="1:9" ht="15" customHeight="1" x14ac:dyDescent="0.25"/>
    <row r="141" spans="1:9" ht="15" customHeight="1" x14ac:dyDescent="0.25"/>
    <row r="142" spans="1:9" ht="15" customHeight="1" x14ac:dyDescent="0.25"/>
    <row r="143" spans="1:9" ht="15" customHeight="1" x14ac:dyDescent="0.25"/>
    <row r="144" spans="1:9" ht="15" customHeight="1" x14ac:dyDescent="0.25">
      <c r="A144" s="28"/>
      <c r="B144" s="25"/>
      <c r="C144" s="25" t="s">
        <v>222</v>
      </c>
      <c r="D144" s="25" t="s">
        <v>220</v>
      </c>
      <c r="E144" s="25" t="s">
        <v>220</v>
      </c>
      <c r="F144" s="25" t="s">
        <v>220</v>
      </c>
      <c r="G144" s="25" t="s">
        <v>220</v>
      </c>
      <c r="H144" s="25" t="s">
        <v>222</v>
      </c>
      <c r="I144" s="25" t="s">
        <v>222</v>
      </c>
    </row>
    <row r="145" spans="1:9" ht="15" customHeight="1" thickBot="1" x14ac:dyDescent="0.3">
      <c r="A145" s="39" t="s">
        <v>86</v>
      </c>
      <c r="B145" s="38" t="s">
        <v>1</v>
      </c>
      <c r="C145" s="38" t="s">
        <v>223</v>
      </c>
      <c r="D145" s="38" t="s">
        <v>1</v>
      </c>
      <c r="E145" s="38" t="s">
        <v>232</v>
      </c>
      <c r="F145" s="38" t="s">
        <v>77</v>
      </c>
      <c r="G145" s="38" t="s">
        <v>224</v>
      </c>
      <c r="H145" s="38" t="s">
        <v>77</v>
      </c>
      <c r="I145" s="38" t="s">
        <v>224</v>
      </c>
    </row>
    <row r="146" spans="1:9" ht="15" customHeight="1" thickTop="1" x14ac:dyDescent="0.25">
      <c r="A146" s="27" t="s">
        <v>91</v>
      </c>
      <c r="B146" s="30">
        <f xml:space="preserve"> 12326</f>
        <v>12326</v>
      </c>
      <c r="C146" s="30">
        <v>0.90657052885571165</v>
      </c>
      <c r="D146" s="30">
        <f>B146/C146</f>
        <v>13596.294615442752</v>
      </c>
      <c r="E146" s="30">
        <f>D146</f>
        <v>13596.294615442752</v>
      </c>
      <c r="F146" s="30"/>
      <c r="G146" s="30"/>
      <c r="H146" s="30"/>
      <c r="I146" s="30"/>
    </row>
    <row r="147" spans="1:9" ht="15" customHeight="1" x14ac:dyDescent="0.25">
      <c r="A147" s="27" t="s">
        <v>92</v>
      </c>
      <c r="B147" s="30">
        <f xml:space="preserve"> 13229</f>
        <v>13229</v>
      </c>
      <c r="C147" s="30">
        <v>0.90805598066695403</v>
      </c>
      <c r="D147" s="30">
        <f t="shared" ref="D147:D210" si="0">B147/C147</f>
        <v>14568.485073225871</v>
      </c>
      <c r="E147" s="30">
        <f>$B$9*D147+(1-$B$9)*E146</f>
        <v>13816.40227029195</v>
      </c>
      <c r="F147" s="30">
        <f>E146</f>
        <v>13596.294615442752</v>
      </c>
      <c r="G147" s="30">
        <f>D147-F147</f>
        <v>972.1904577831192</v>
      </c>
      <c r="H147" s="30">
        <f t="shared" ref="H147:H178" si="1">F147*C147</f>
        <v>12346.196640462695</v>
      </c>
      <c r="I147" s="30">
        <f>B147-H147</f>
        <v>882.80335953730537</v>
      </c>
    </row>
    <row r="148" spans="1:9" ht="15" customHeight="1" x14ac:dyDescent="0.25">
      <c r="A148" s="27" t="s">
        <v>93</v>
      </c>
      <c r="B148" s="30">
        <f xml:space="preserve"> 13278</f>
        <v>13278</v>
      </c>
      <c r="C148" s="30">
        <v>0.88554664064815469</v>
      </c>
      <c r="D148" s="30">
        <f t="shared" si="0"/>
        <v>14994.128361529874</v>
      </c>
      <c r="E148" s="30">
        <f t="shared" ref="E148:E211" si="2">$B$9*D148+(1-$B$9)*E147</f>
        <v>14083.04398223408</v>
      </c>
      <c r="F148" s="30">
        <f t="shared" ref="F148:F211" si="3">E147</f>
        <v>13816.40227029195</v>
      </c>
      <c r="G148" s="30">
        <f t="shared" ref="G148:G211" si="4">D148-F148</f>
        <v>1177.7260912379243</v>
      </c>
      <c r="H148" s="30">
        <f t="shared" si="1"/>
        <v>12235.068616300574</v>
      </c>
      <c r="I148" s="30">
        <f t="shared" ref="I148:I211" si="5">B148-H148</f>
        <v>1042.9313836994261</v>
      </c>
    </row>
    <row r="149" spans="1:9" ht="15" customHeight="1" x14ac:dyDescent="0.25">
      <c r="A149" s="27" t="s">
        <v>94</v>
      </c>
      <c r="B149" s="30">
        <f xml:space="preserve"> 13592</f>
        <v>13592</v>
      </c>
      <c r="C149" s="30">
        <v>0.91566790449517033</v>
      </c>
      <c r="D149" s="30">
        <f t="shared" si="0"/>
        <v>14843.809565973152</v>
      </c>
      <c r="E149" s="30">
        <f t="shared" si="2"/>
        <v>14255.284233294169</v>
      </c>
      <c r="F149" s="30">
        <f t="shared" si="3"/>
        <v>14083.04398223408</v>
      </c>
      <c r="G149" s="30">
        <f t="shared" si="4"/>
        <v>760.7655837390721</v>
      </c>
      <c r="H149" s="30">
        <f t="shared" si="1"/>
        <v>12895.391372125598</v>
      </c>
      <c r="I149" s="30">
        <f t="shared" si="5"/>
        <v>696.60862787440237</v>
      </c>
    </row>
    <row r="150" spans="1:9" ht="15" customHeight="1" x14ac:dyDescent="0.25">
      <c r="A150" s="27" t="s">
        <v>95</v>
      </c>
      <c r="B150" s="30">
        <f xml:space="preserve"> 14711</f>
        <v>14711</v>
      </c>
      <c r="C150" s="30">
        <v>1.0046707510607737</v>
      </c>
      <c r="D150" s="30">
        <f t="shared" si="0"/>
        <v>14642.608023043873</v>
      </c>
      <c r="E150" s="30">
        <f t="shared" si="2"/>
        <v>14342.975827411963</v>
      </c>
      <c r="F150" s="30">
        <f t="shared" si="3"/>
        <v>14255.284233294169</v>
      </c>
      <c r="G150" s="30">
        <f t="shared" si="4"/>
        <v>387.32378974970379</v>
      </c>
      <c r="H150" s="30">
        <f t="shared" si="1"/>
        <v>14321.867117248459</v>
      </c>
      <c r="I150" s="30">
        <f t="shared" si="5"/>
        <v>389.13288275154082</v>
      </c>
    </row>
    <row r="151" spans="1:9" ht="15" customHeight="1" x14ac:dyDescent="0.25">
      <c r="A151" s="27" t="s">
        <v>96</v>
      </c>
      <c r="B151" s="30">
        <f xml:space="preserve"> 16204</f>
        <v>16204</v>
      </c>
      <c r="C151" s="30">
        <v>1.0984136010088161</v>
      </c>
      <c r="D151" s="30">
        <f t="shared" si="0"/>
        <v>14752.184409513646</v>
      </c>
      <c r="E151" s="30">
        <f t="shared" si="2"/>
        <v>14435.622222600776</v>
      </c>
      <c r="F151" s="30">
        <f t="shared" si="3"/>
        <v>14342.975827411963</v>
      </c>
      <c r="G151" s="30">
        <f t="shared" si="4"/>
        <v>409.20858210168262</v>
      </c>
      <c r="H151" s="30">
        <f t="shared" si="1"/>
        <v>15754.519727769979</v>
      </c>
      <c r="I151" s="30">
        <f t="shared" si="5"/>
        <v>449.480272230021</v>
      </c>
    </row>
    <row r="152" spans="1:9" ht="15" customHeight="1" x14ac:dyDescent="0.25">
      <c r="A152" s="27" t="s">
        <v>97</v>
      </c>
      <c r="B152" s="30">
        <f xml:space="preserve"> 17507</f>
        <v>17507</v>
      </c>
      <c r="C152" s="30">
        <v>1.1681866116143564</v>
      </c>
      <c r="D152" s="30">
        <f t="shared" si="0"/>
        <v>14986.475470564148</v>
      </c>
      <c r="E152" s="30">
        <f t="shared" si="2"/>
        <v>14560.337514346964</v>
      </c>
      <c r="F152" s="30">
        <f t="shared" si="3"/>
        <v>14435.622222600776</v>
      </c>
      <c r="G152" s="30">
        <f t="shared" si="4"/>
        <v>550.85324796337227</v>
      </c>
      <c r="H152" s="30">
        <f t="shared" si="1"/>
        <v>16863.500610764906</v>
      </c>
      <c r="I152" s="30">
        <f t="shared" si="5"/>
        <v>643.49938923509399</v>
      </c>
    </row>
    <row r="153" spans="1:9" ht="15" customHeight="1" x14ac:dyDescent="0.25">
      <c r="A153" s="27" t="s">
        <v>98</v>
      </c>
      <c r="B153" s="30">
        <f xml:space="preserve"> 18537</f>
        <v>18537</v>
      </c>
      <c r="C153" s="30">
        <v>1.229305276209552</v>
      </c>
      <c r="D153" s="30">
        <f t="shared" si="0"/>
        <v>15079.248709610283</v>
      </c>
      <c r="E153" s="30">
        <f t="shared" si="2"/>
        <v>14677.821002638804</v>
      </c>
      <c r="F153" s="30">
        <f t="shared" si="3"/>
        <v>14560.337514346964</v>
      </c>
      <c r="G153" s="30">
        <f t="shared" si="4"/>
        <v>518.91119526331931</v>
      </c>
      <c r="H153" s="30">
        <f t="shared" si="1"/>
        <v>17899.099729778594</v>
      </c>
      <c r="I153" s="30">
        <f t="shared" si="5"/>
        <v>637.90027022140566</v>
      </c>
    </row>
    <row r="154" spans="1:9" ht="15" customHeight="1" x14ac:dyDescent="0.25">
      <c r="A154" s="27" t="s">
        <v>99</v>
      </c>
      <c r="B154" s="30">
        <f xml:space="preserve"> 13933</f>
        <v>13933</v>
      </c>
      <c r="C154" s="30">
        <v>1.0076470532738075</v>
      </c>
      <c r="D154" s="30">
        <f t="shared" si="0"/>
        <v>13827.262189406702</v>
      </c>
      <c r="E154" s="30">
        <f t="shared" si="2"/>
        <v>14485.251219431158</v>
      </c>
      <c r="F154" s="30">
        <f t="shared" si="3"/>
        <v>14677.821002638804</v>
      </c>
      <c r="G154" s="30">
        <f t="shared" si="4"/>
        <v>-850.55881323210269</v>
      </c>
      <c r="H154" s="30">
        <f t="shared" si="1"/>
        <v>14790.063081789394</v>
      </c>
      <c r="I154" s="30">
        <f t="shared" si="5"/>
        <v>-857.06308178939435</v>
      </c>
    </row>
    <row r="155" spans="1:9" ht="15" customHeight="1" x14ac:dyDescent="0.25">
      <c r="A155" s="27" t="s">
        <v>100</v>
      </c>
      <c r="B155" s="30">
        <f xml:space="preserve"> 16680</f>
        <v>16680</v>
      </c>
      <c r="C155" s="30">
        <v>1.0242421211021173</v>
      </c>
      <c r="D155" s="30">
        <f t="shared" si="0"/>
        <v>16285.211920450787</v>
      </c>
      <c r="E155" s="30">
        <f t="shared" si="2"/>
        <v>14892.769237686111</v>
      </c>
      <c r="F155" s="30">
        <f t="shared" si="3"/>
        <v>14485.251219431158</v>
      </c>
      <c r="G155" s="30">
        <f t="shared" si="4"/>
        <v>1799.9607010196287</v>
      </c>
      <c r="H155" s="30">
        <f t="shared" si="1"/>
        <v>14836.404433687201</v>
      </c>
      <c r="I155" s="30">
        <f t="shared" si="5"/>
        <v>1843.5955663127988</v>
      </c>
    </row>
    <row r="156" spans="1:9" ht="15" customHeight="1" x14ac:dyDescent="0.25">
      <c r="A156" s="27" t="s">
        <v>101</v>
      </c>
      <c r="B156" s="30">
        <f xml:space="preserve"> 14793</f>
        <v>14793</v>
      </c>
      <c r="C156" s="30">
        <v>0.94663970878958614</v>
      </c>
      <c r="D156" s="30">
        <f t="shared" si="0"/>
        <v>15626.853450839242</v>
      </c>
      <c r="E156" s="30">
        <f t="shared" si="2"/>
        <v>15058.968723934307</v>
      </c>
      <c r="F156" s="30">
        <f t="shared" si="3"/>
        <v>14892.769237686111</v>
      </c>
      <c r="G156" s="30">
        <f t="shared" si="4"/>
        <v>734.08421315313171</v>
      </c>
      <c r="H156" s="30">
        <f t="shared" si="1"/>
        <v>14098.086734233686</v>
      </c>
      <c r="I156" s="30">
        <f t="shared" si="5"/>
        <v>694.913265766314</v>
      </c>
    </row>
    <row r="157" spans="1:9" ht="15" customHeight="1" x14ac:dyDescent="0.25">
      <c r="A157" s="27" t="s">
        <v>102</v>
      </c>
      <c r="B157" s="30">
        <f xml:space="preserve"> 12742</f>
        <v>12742</v>
      </c>
      <c r="C157" s="30">
        <v>0.9050536648720291</v>
      </c>
      <c r="D157" s="30">
        <f t="shared" si="0"/>
        <v>14078.723168091548</v>
      </c>
      <c r="E157" s="30">
        <f t="shared" si="2"/>
        <v>14837.037363936293</v>
      </c>
      <c r="F157" s="30">
        <f t="shared" si="3"/>
        <v>15058.968723934307</v>
      </c>
      <c r="G157" s="30">
        <f t="shared" si="4"/>
        <v>-980.24555584275913</v>
      </c>
      <c r="H157" s="30">
        <f t="shared" si="1"/>
        <v>13629.174832790008</v>
      </c>
      <c r="I157" s="30">
        <f t="shared" si="5"/>
        <v>-887.17483279000771</v>
      </c>
    </row>
    <row r="158" spans="1:9" ht="15" customHeight="1" x14ac:dyDescent="0.25">
      <c r="A158" s="27" t="s">
        <v>103</v>
      </c>
      <c r="B158" s="30">
        <f xml:space="preserve"> 11850</f>
        <v>11850</v>
      </c>
      <c r="C158" s="30">
        <v>0.90657052885571165</v>
      </c>
      <c r="D158" s="30">
        <f t="shared" si="0"/>
        <v>13071.238941505484</v>
      </c>
      <c r="E158" s="30">
        <f t="shared" si="2"/>
        <v>14437.25381680713</v>
      </c>
      <c r="F158" s="30">
        <f t="shared" si="3"/>
        <v>14837.037363936293</v>
      </c>
      <c r="G158" s="30">
        <f t="shared" si="4"/>
        <v>-1765.7984224308093</v>
      </c>
      <c r="H158" s="30">
        <f t="shared" si="1"/>
        <v>13450.820809675679</v>
      </c>
      <c r="I158" s="30">
        <f t="shared" si="5"/>
        <v>-1600.8208096756789</v>
      </c>
    </row>
    <row r="159" spans="1:9" ht="15" customHeight="1" x14ac:dyDescent="0.25">
      <c r="A159" s="27" t="s">
        <v>104</v>
      </c>
      <c r="B159" s="30">
        <f xml:space="preserve"> 13061</f>
        <v>13061</v>
      </c>
      <c r="C159" s="30">
        <v>0.90805598066695403</v>
      </c>
      <c r="D159" s="30">
        <f t="shared" si="0"/>
        <v>14383.474453201534</v>
      </c>
      <c r="E159" s="30">
        <f t="shared" si="2"/>
        <v>14425.077962263666</v>
      </c>
      <c r="F159" s="30">
        <f t="shared" si="3"/>
        <v>14437.25381680713</v>
      </c>
      <c r="G159" s="30">
        <f t="shared" si="4"/>
        <v>-53.77936360559579</v>
      </c>
      <c r="H159" s="30">
        <f t="shared" si="1"/>
        <v>13109.834672758523</v>
      </c>
      <c r="I159" s="30">
        <f t="shared" si="5"/>
        <v>-48.834672758523084</v>
      </c>
    </row>
    <row r="160" spans="1:9" ht="15" customHeight="1" x14ac:dyDescent="0.25">
      <c r="A160" s="27" t="s">
        <v>105</v>
      </c>
      <c r="B160" s="30">
        <f xml:space="preserve"> 13179</f>
        <v>13179</v>
      </c>
      <c r="C160" s="30">
        <v>0.88554664064815469</v>
      </c>
      <c r="D160" s="30">
        <f t="shared" si="0"/>
        <v>14882.333007727233</v>
      </c>
      <c r="E160" s="30">
        <f t="shared" si="2"/>
        <v>14528.602261354659</v>
      </c>
      <c r="F160" s="30">
        <f t="shared" si="3"/>
        <v>14425.077962263666</v>
      </c>
      <c r="G160" s="30">
        <f t="shared" si="4"/>
        <v>457.25504546356751</v>
      </c>
      <c r="H160" s="30">
        <f t="shared" si="1"/>
        <v>12774.079330570317</v>
      </c>
      <c r="I160" s="30">
        <f t="shared" si="5"/>
        <v>404.92066942968268</v>
      </c>
    </row>
    <row r="161" spans="1:9" ht="15" customHeight="1" x14ac:dyDescent="0.25">
      <c r="A161" s="27" t="s">
        <v>106</v>
      </c>
      <c r="B161" s="30">
        <f xml:space="preserve"> 14340</f>
        <v>14340</v>
      </c>
      <c r="C161" s="30">
        <v>0.91566790449517033</v>
      </c>
      <c r="D161" s="30">
        <f t="shared" si="0"/>
        <v>15660.699615660315</v>
      </c>
      <c r="E161" s="30">
        <f t="shared" si="2"/>
        <v>14784.913451947305</v>
      </c>
      <c r="F161" s="30">
        <f t="shared" si="3"/>
        <v>14528.602261354659</v>
      </c>
      <c r="G161" s="30">
        <f t="shared" si="4"/>
        <v>1132.0973543056552</v>
      </c>
      <c r="H161" s="30">
        <f t="shared" si="1"/>
        <v>13303.374787898414</v>
      </c>
      <c r="I161" s="30">
        <f t="shared" si="5"/>
        <v>1036.6252121015859</v>
      </c>
    </row>
    <row r="162" spans="1:9" ht="15" customHeight="1" x14ac:dyDescent="0.25">
      <c r="A162" s="27" t="s">
        <v>107</v>
      </c>
      <c r="B162" s="30">
        <f xml:space="preserve"> 15465</f>
        <v>15465</v>
      </c>
      <c r="C162" s="30">
        <v>1.0046707510607737</v>
      </c>
      <c r="D162" s="30">
        <f t="shared" si="0"/>
        <v>15393.102649471382</v>
      </c>
      <c r="E162" s="30">
        <f t="shared" si="2"/>
        <v>14922.609822961784</v>
      </c>
      <c r="F162" s="30">
        <f t="shared" si="3"/>
        <v>14784.913451947305</v>
      </c>
      <c r="G162" s="30">
        <f t="shared" si="4"/>
        <v>608.18919752407783</v>
      </c>
      <c r="H162" s="30">
        <f t="shared" si="1"/>
        <v>14853.970102136436</v>
      </c>
      <c r="I162" s="30">
        <f t="shared" si="5"/>
        <v>611.02989786356375</v>
      </c>
    </row>
    <row r="163" spans="1:9" ht="15" customHeight="1" x14ac:dyDescent="0.25">
      <c r="A163" s="27" t="s">
        <v>108</v>
      </c>
      <c r="B163" s="30">
        <f xml:space="preserve"> 16643</f>
        <v>16643</v>
      </c>
      <c r="C163" s="30">
        <v>1.0984136010088161</v>
      </c>
      <c r="D163" s="30">
        <f t="shared" si="0"/>
        <v>15151.851711153766</v>
      </c>
      <c r="E163" s="30">
        <f t="shared" si="2"/>
        <v>14974.511067207895</v>
      </c>
      <c r="F163" s="30">
        <f t="shared" si="3"/>
        <v>14922.609822961784</v>
      </c>
      <c r="G163" s="30">
        <f t="shared" si="4"/>
        <v>229.24188819198207</v>
      </c>
      <c r="H163" s="30">
        <f t="shared" si="1"/>
        <v>16391.197592088985</v>
      </c>
      <c r="I163" s="30">
        <f t="shared" si="5"/>
        <v>251.8024079110146</v>
      </c>
    </row>
    <row r="164" spans="1:9" ht="15" customHeight="1" x14ac:dyDescent="0.25">
      <c r="A164" s="27" t="s">
        <v>109</v>
      </c>
      <c r="B164" s="30">
        <f xml:space="preserve"> 17772</f>
        <v>17772</v>
      </c>
      <c r="C164" s="30">
        <v>1.1681866116143564</v>
      </c>
      <c r="D164" s="30">
        <f t="shared" si="0"/>
        <v>15213.322788762554</v>
      </c>
      <c r="E164" s="30">
        <f t="shared" si="2"/>
        <v>15028.57895849512</v>
      </c>
      <c r="F164" s="30">
        <f t="shared" si="3"/>
        <v>14974.511067207895</v>
      </c>
      <c r="G164" s="30">
        <f t="shared" si="4"/>
        <v>238.81172155465902</v>
      </c>
      <c r="H164" s="30">
        <f t="shared" si="1"/>
        <v>17493.023344183272</v>
      </c>
      <c r="I164" s="30">
        <f t="shared" si="5"/>
        <v>278.97665581672845</v>
      </c>
    </row>
    <row r="165" spans="1:9" ht="15" customHeight="1" x14ac:dyDescent="0.25">
      <c r="A165" s="27" t="s">
        <v>110</v>
      </c>
      <c r="B165" s="30">
        <f xml:space="preserve"> 16582</f>
        <v>16582</v>
      </c>
      <c r="C165" s="30">
        <v>1.229305276209552</v>
      </c>
      <c r="D165" s="30">
        <f t="shared" si="0"/>
        <v>13488.919571816245</v>
      </c>
      <c r="E165" s="30">
        <f t="shared" si="2"/>
        <v>14679.994157898316</v>
      </c>
      <c r="F165" s="30">
        <f t="shared" si="3"/>
        <v>15028.57895849512</v>
      </c>
      <c r="G165" s="30">
        <f t="shared" si="4"/>
        <v>-1539.6593866788753</v>
      </c>
      <c r="H165" s="30">
        <f t="shared" si="1"/>
        <v>18474.711407609906</v>
      </c>
      <c r="I165" s="30">
        <f t="shared" si="5"/>
        <v>-1892.711407609906</v>
      </c>
    </row>
    <row r="166" spans="1:9" ht="15" customHeight="1" x14ac:dyDescent="0.25">
      <c r="A166" s="27" t="s">
        <v>111</v>
      </c>
      <c r="B166" s="30">
        <f xml:space="preserve"> 15786</f>
        <v>15786</v>
      </c>
      <c r="C166" s="30">
        <v>1.0076470532738075</v>
      </c>
      <c r="D166" s="30">
        <f t="shared" si="0"/>
        <v>15666.199736020541</v>
      </c>
      <c r="E166" s="30">
        <f t="shared" si="2"/>
        <v>14903.27488983912</v>
      </c>
      <c r="F166" s="30">
        <f t="shared" si="3"/>
        <v>14679.994157898316</v>
      </c>
      <c r="G166" s="30">
        <f t="shared" si="4"/>
        <v>986.20557812222432</v>
      </c>
      <c r="H166" s="30">
        <f t="shared" si="1"/>
        <v>14792.252855282948</v>
      </c>
      <c r="I166" s="30">
        <f t="shared" si="5"/>
        <v>993.74714471705192</v>
      </c>
    </row>
    <row r="167" spans="1:9" ht="15" customHeight="1" x14ac:dyDescent="0.25">
      <c r="A167" s="27" t="s">
        <v>112</v>
      </c>
      <c r="B167" s="30">
        <f xml:space="preserve"> 15861</f>
        <v>15861</v>
      </c>
      <c r="C167" s="30">
        <v>1.0242421211021173</v>
      </c>
      <c r="D167" s="30">
        <f t="shared" si="0"/>
        <v>15485.596299176856</v>
      </c>
      <c r="E167" s="30">
        <f t="shared" si="2"/>
        <v>15035.114694222801</v>
      </c>
      <c r="F167" s="30">
        <f t="shared" si="3"/>
        <v>14903.27488983912</v>
      </c>
      <c r="G167" s="30">
        <f t="shared" si="4"/>
        <v>582.32140933773553</v>
      </c>
      <c r="H167" s="30">
        <f t="shared" si="1"/>
        <v>15264.561884536744</v>
      </c>
      <c r="I167" s="30">
        <f t="shared" si="5"/>
        <v>596.4381154632556</v>
      </c>
    </row>
    <row r="168" spans="1:9" ht="15" customHeight="1" x14ac:dyDescent="0.25">
      <c r="A168" s="27" t="s">
        <v>113</v>
      </c>
      <c r="B168" s="30">
        <f xml:space="preserve"> 15179</f>
        <v>15179</v>
      </c>
      <c r="C168" s="30">
        <v>0.94663970878958614</v>
      </c>
      <c r="D168" s="30">
        <f t="shared" si="0"/>
        <v>16034.611541289047</v>
      </c>
      <c r="E168" s="30">
        <f t="shared" si="2"/>
        <v>15261.404620518289</v>
      </c>
      <c r="F168" s="30">
        <f t="shared" si="3"/>
        <v>15035.114694222801</v>
      </c>
      <c r="G168" s="30">
        <f t="shared" si="4"/>
        <v>999.49684706624612</v>
      </c>
      <c r="H168" s="30">
        <f t="shared" si="1"/>
        <v>14232.836595757099</v>
      </c>
      <c r="I168" s="30">
        <f t="shared" si="5"/>
        <v>946.16340424290138</v>
      </c>
    </row>
    <row r="169" spans="1:9" ht="15" customHeight="1" x14ac:dyDescent="0.25">
      <c r="A169" s="27" t="s">
        <v>114</v>
      </c>
      <c r="B169" s="30">
        <f xml:space="preserve"> 13520</f>
        <v>13520</v>
      </c>
      <c r="C169" s="30">
        <v>0.9050536648720291</v>
      </c>
      <c r="D169" s="30">
        <f t="shared" si="0"/>
        <v>14938.340702605379</v>
      </c>
      <c r="E169" s="30">
        <f t="shared" si="2"/>
        <v>15188.261708274165</v>
      </c>
      <c r="F169" s="30">
        <f t="shared" si="3"/>
        <v>15261.404620518289</v>
      </c>
      <c r="G169" s="30">
        <f t="shared" si="4"/>
        <v>-323.06391791291026</v>
      </c>
      <c r="H169" s="30">
        <f t="shared" si="1"/>
        <v>13812.390182894997</v>
      </c>
      <c r="I169" s="30">
        <f t="shared" si="5"/>
        <v>-292.39018289499654</v>
      </c>
    </row>
    <row r="170" spans="1:9" ht="15" customHeight="1" x14ac:dyDescent="0.25">
      <c r="A170" s="27" t="s">
        <v>115</v>
      </c>
      <c r="B170" s="30">
        <f xml:space="preserve"> 12332</f>
        <v>12332</v>
      </c>
      <c r="C170" s="30">
        <v>0.90657052885571165</v>
      </c>
      <c r="D170" s="30">
        <f t="shared" si="0"/>
        <v>13602.912964273894</v>
      </c>
      <c r="E170" s="30">
        <f t="shared" si="2"/>
        <v>14829.332661638873</v>
      </c>
      <c r="F170" s="30">
        <f t="shared" si="3"/>
        <v>15188.261708274165</v>
      </c>
      <c r="G170" s="30">
        <f t="shared" si="4"/>
        <v>-1585.3487440002718</v>
      </c>
      <c r="H170" s="30">
        <f t="shared" si="1"/>
        <v>13769.230449269066</v>
      </c>
      <c r="I170" s="30">
        <f t="shared" si="5"/>
        <v>-1437.2304492690655</v>
      </c>
    </row>
    <row r="171" spans="1:9" ht="15" customHeight="1" x14ac:dyDescent="0.25">
      <c r="A171" s="27" t="s">
        <v>116</v>
      </c>
      <c r="B171" s="30">
        <f xml:space="preserve"> 12433</f>
        <v>12433</v>
      </c>
      <c r="C171" s="30">
        <v>0.90805598066695403</v>
      </c>
      <c r="D171" s="30">
        <f t="shared" si="0"/>
        <v>13691.887135491515</v>
      </c>
      <c r="E171" s="30">
        <f t="shared" si="2"/>
        <v>14571.810624393307</v>
      </c>
      <c r="F171" s="30">
        <f t="shared" si="3"/>
        <v>14829.332661638873</v>
      </c>
      <c r="G171" s="30">
        <f t="shared" si="4"/>
        <v>-1137.4455261473577</v>
      </c>
      <c r="H171" s="30">
        <f t="shared" si="1"/>
        <v>13465.864212700979</v>
      </c>
      <c r="I171" s="30">
        <f t="shared" si="5"/>
        <v>-1032.8642127009789</v>
      </c>
    </row>
    <row r="172" spans="1:9" ht="15" customHeight="1" x14ac:dyDescent="0.25">
      <c r="A172" s="27" t="s">
        <v>117</v>
      </c>
      <c r="B172" s="30">
        <f xml:space="preserve"> 12867</f>
        <v>12867</v>
      </c>
      <c r="C172" s="30">
        <v>0.88554664064815469</v>
      </c>
      <c r="D172" s="30">
        <f t="shared" si="0"/>
        <v>14530.008256349216</v>
      </c>
      <c r="E172" s="30">
        <f t="shared" si="2"/>
        <v>14562.346407661218</v>
      </c>
      <c r="F172" s="30">
        <f t="shared" si="3"/>
        <v>14571.810624393307</v>
      </c>
      <c r="G172" s="30">
        <f t="shared" si="4"/>
        <v>-41.802368044091054</v>
      </c>
      <c r="H172" s="30">
        <f t="shared" si="1"/>
        <v>12904.017946592583</v>
      </c>
      <c r="I172" s="30">
        <f t="shared" si="5"/>
        <v>-37.01794659258303</v>
      </c>
    </row>
    <row r="173" spans="1:9" ht="15" customHeight="1" x14ac:dyDescent="0.25">
      <c r="A173" s="27" t="s">
        <v>118</v>
      </c>
      <c r="B173" s="30">
        <f xml:space="preserve"> 13505</f>
        <v>13505</v>
      </c>
      <c r="C173" s="30">
        <v>0.91566790449517033</v>
      </c>
      <c r="D173" s="30">
        <f t="shared" si="0"/>
        <v>14748.796953242159</v>
      </c>
      <c r="E173" s="30">
        <f t="shared" si="2"/>
        <v>14604.559527533589</v>
      </c>
      <c r="F173" s="30">
        <f t="shared" si="3"/>
        <v>14562.346407661218</v>
      </c>
      <c r="G173" s="30">
        <f t="shared" si="4"/>
        <v>186.45054558094125</v>
      </c>
      <c r="H173" s="30">
        <f t="shared" si="1"/>
        <v>13334.273219635919</v>
      </c>
      <c r="I173" s="30">
        <f t="shared" si="5"/>
        <v>170.7267803640807</v>
      </c>
    </row>
    <row r="174" spans="1:9" ht="15" customHeight="1" x14ac:dyDescent="0.25">
      <c r="A174" s="27" t="s">
        <v>119</v>
      </c>
      <c r="B174" s="30">
        <f xml:space="preserve"> 16212</f>
        <v>16212</v>
      </c>
      <c r="C174" s="30">
        <v>1.0046707510607737</v>
      </c>
      <c r="D174" s="30">
        <f t="shared" si="0"/>
        <v>16136.629819154869</v>
      </c>
      <c r="E174" s="30">
        <f t="shared" si="2"/>
        <v>14951.426127851648</v>
      </c>
      <c r="F174" s="30">
        <f t="shared" si="3"/>
        <v>14604.559527533589</v>
      </c>
      <c r="G174" s="30">
        <f t="shared" si="4"/>
        <v>1532.0702916212795</v>
      </c>
      <c r="H174" s="30">
        <f t="shared" si="1"/>
        <v>14672.77378943895</v>
      </c>
      <c r="I174" s="30">
        <f t="shared" si="5"/>
        <v>1539.2262105610498</v>
      </c>
    </row>
    <row r="175" spans="1:9" ht="15" customHeight="1" x14ac:dyDescent="0.25">
      <c r="A175" s="27" t="s">
        <v>120</v>
      </c>
      <c r="B175" s="30">
        <f xml:space="preserve"> 17088</f>
        <v>17088</v>
      </c>
      <c r="C175" s="30">
        <v>1.0984136010088161</v>
      </c>
      <c r="D175" s="30">
        <f t="shared" si="0"/>
        <v>15556.981436050924</v>
      </c>
      <c r="E175" s="30">
        <f t="shared" si="2"/>
        <v>15088.52617620345</v>
      </c>
      <c r="F175" s="30">
        <f t="shared" si="3"/>
        <v>14951.426127851648</v>
      </c>
      <c r="G175" s="30">
        <f t="shared" si="4"/>
        <v>605.55530819927662</v>
      </c>
      <c r="H175" s="30">
        <f t="shared" si="1"/>
        <v>16422.84981331083</v>
      </c>
      <c r="I175" s="30">
        <f t="shared" si="5"/>
        <v>665.15018668917037</v>
      </c>
    </row>
    <row r="176" spans="1:9" ht="15" customHeight="1" x14ac:dyDescent="0.25">
      <c r="A176" s="27" t="s">
        <v>121</v>
      </c>
      <c r="B176" s="30">
        <f xml:space="preserve"> 17147</f>
        <v>17147</v>
      </c>
      <c r="C176" s="30">
        <v>1.1681866116143564</v>
      </c>
      <c r="D176" s="30">
        <f t="shared" si="0"/>
        <v>14678.305528860652</v>
      </c>
      <c r="E176" s="30">
        <f t="shared" si="2"/>
        <v>14995.650645555639</v>
      </c>
      <c r="F176" s="30">
        <f t="shared" si="3"/>
        <v>15088.52617620345</v>
      </c>
      <c r="G176" s="30">
        <f t="shared" si="4"/>
        <v>-410.22064734279775</v>
      </c>
      <c r="H176" s="30">
        <f t="shared" si="1"/>
        <v>17626.214268033629</v>
      </c>
      <c r="I176" s="30">
        <f t="shared" si="5"/>
        <v>-479.2142680336292</v>
      </c>
    </row>
    <row r="177" spans="1:9" ht="15" customHeight="1" x14ac:dyDescent="0.25">
      <c r="A177" s="27" t="s">
        <v>122</v>
      </c>
      <c r="B177" s="30">
        <f xml:space="preserve"> 19881</f>
        <v>19881</v>
      </c>
      <c r="C177" s="30">
        <v>1.229305276209552</v>
      </c>
      <c r="D177" s="30">
        <f t="shared" si="0"/>
        <v>16172.549150119332</v>
      </c>
      <c r="E177" s="30">
        <f t="shared" si="2"/>
        <v>15262.10498869509</v>
      </c>
      <c r="F177" s="30">
        <f t="shared" si="3"/>
        <v>14995.650645555639</v>
      </c>
      <c r="G177" s="30">
        <f t="shared" si="4"/>
        <v>1176.8985045636928</v>
      </c>
      <c r="H177" s="30">
        <f t="shared" si="1"/>
        <v>18434.232458776722</v>
      </c>
      <c r="I177" s="30">
        <f t="shared" si="5"/>
        <v>1446.7675412232784</v>
      </c>
    </row>
    <row r="178" spans="1:9" ht="15" customHeight="1" x14ac:dyDescent="0.25">
      <c r="A178" s="27" t="s">
        <v>123</v>
      </c>
      <c r="B178" s="30">
        <f xml:space="preserve"> 14570</f>
        <v>14570</v>
      </c>
      <c r="C178" s="30">
        <v>1.0076470532738075</v>
      </c>
      <c r="D178" s="30">
        <f t="shared" si="0"/>
        <v>14459.427983898346</v>
      </c>
      <c r="E178" s="30">
        <f t="shared" si="2"/>
        <v>15080.375830881647</v>
      </c>
      <c r="F178" s="30">
        <f t="shared" si="3"/>
        <v>15262.10498869509</v>
      </c>
      <c r="G178" s="30">
        <f t="shared" si="4"/>
        <v>-802.67700479674386</v>
      </c>
      <c r="H178" s="30">
        <f t="shared" si="1"/>
        <v>15378.815118614084</v>
      </c>
      <c r="I178" s="30">
        <f t="shared" si="5"/>
        <v>-808.81511861408399</v>
      </c>
    </row>
    <row r="179" spans="1:9" ht="15" customHeight="1" x14ac:dyDescent="0.25">
      <c r="A179" s="27" t="s">
        <v>124</v>
      </c>
      <c r="B179" s="30">
        <f xml:space="preserve"> 15410</f>
        <v>15410</v>
      </c>
      <c r="C179" s="30">
        <v>1.0242421211021173</v>
      </c>
      <c r="D179" s="30">
        <f t="shared" si="0"/>
        <v>15045.270725068744</v>
      </c>
      <c r="E179" s="30">
        <f t="shared" si="2"/>
        <v>15072.427900049934</v>
      </c>
      <c r="F179" s="30">
        <f t="shared" si="3"/>
        <v>15080.375830881647</v>
      </c>
      <c r="G179" s="30">
        <f t="shared" si="4"/>
        <v>-35.105105812903275</v>
      </c>
      <c r="H179" s="30">
        <f t="shared" ref="H179:H210" si="6">F179*C179</f>
        <v>15445.956128039323</v>
      </c>
      <c r="I179" s="30">
        <f t="shared" si="5"/>
        <v>-35.956128039322721</v>
      </c>
    </row>
    <row r="180" spans="1:9" ht="15" customHeight="1" x14ac:dyDescent="0.25">
      <c r="A180" s="27" t="s">
        <v>125</v>
      </c>
      <c r="B180" s="30">
        <f xml:space="preserve"> 14320</f>
        <v>14320</v>
      </c>
      <c r="C180" s="30">
        <v>0.94663970878958614</v>
      </c>
      <c r="D180" s="30">
        <f t="shared" si="0"/>
        <v>15127.191334821737</v>
      </c>
      <c r="E180" s="30">
        <f t="shared" si="2"/>
        <v>15084.826552086279</v>
      </c>
      <c r="F180" s="30">
        <f t="shared" si="3"/>
        <v>15072.427900049934</v>
      </c>
      <c r="G180" s="30">
        <f t="shared" si="4"/>
        <v>54.763434771803077</v>
      </c>
      <c r="H180" s="30">
        <f t="shared" si="6"/>
        <v>14268.158758055302</v>
      </c>
      <c r="I180" s="30">
        <f t="shared" si="5"/>
        <v>51.841241944697686</v>
      </c>
    </row>
    <row r="181" spans="1:9" ht="15" customHeight="1" x14ac:dyDescent="0.25">
      <c r="A181" s="27" t="s">
        <v>126</v>
      </c>
      <c r="B181" s="30">
        <f xml:space="preserve"> 14438</f>
        <v>14438</v>
      </c>
      <c r="C181" s="30">
        <v>0.9050536648720291</v>
      </c>
      <c r="D181" s="30">
        <f t="shared" si="0"/>
        <v>15952.645197057431</v>
      </c>
      <c r="E181" s="30">
        <f t="shared" si="2"/>
        <v>15281.30402751283</v>
      </c>
      <c r="F181" s="30">
        <f t="shared" si="3"/>
        <v>15084.826552086279</v>
      </c>
      <c r="G181" s="30">
        <f t="shared" si="4"/>
        <v>867.81864497115203</v>
      </c>
      <c r="H181" s="30">
        <f t="shared" si="6"/>
        <v>13652.577554924581</v>
      </c>
      <c r="I181" s="30">
        <f t="shared" si="5"/>
        <v>785.42244507541909</v>
      </c>
    </row>
    <row r="182" spans="1:9" ht="15" customHeight="1" x14ac:dyDescent="0.25">
      <c r="A182" s="27" t="s">
        <v>127</v>
      </c>
      <c r="B182" s="30">
        <f xml:space="preserve"> 14051</f>
        <v>14051</v>
      </c>
      <c r="C182" s="30">
        <v>0.90657052885571165</v>
      </c>
      <c r="D182" s="30">
        <f t="shared" si="0"/>
        <v>15499.069904396081</v>
      </c>
      <c r="E182" s="30">
        <f t="shared" si="2"/>
        <v>15330.607058707201</v>
      </c>
      <c r="F182" s="30">
        <f t="shared" si="3"/>
        <v>15281.30402751283</v>
      </c>
      <c r="G182" s="30">
        <f t="shared" si="4"/>
        <v>217.76587688325162</v>
      </c>
      <c r="H182" s="30">
        <f t="shared" si="6"/>
        <v>13853.579873827222</v>
      </c>
      <c r="I182" s="30">
        <f t="shared" si="5"/>
        <v>197.4201261727776</v>
      </c>
    </row>
    <row r="183" spans="1:9" ht="15" customHeight="1" x14ac:dyDescent="0.25">
      <c r="A183" s="27" t="s">
        <v>128</v>
      </c>
      <c r="B183" s="30">
        <f xml:space="preserve"> 14050</f>
        <v>14050</v>
      </c>
      <c r="C183" s="30">
        <v>0.90805598066695403</v>
      </c>
      <c r="D183" s="30">
        <f t="shared" si="0"/>
        <v>15472.614353225754</v>
      </c>
      <c r="E183" s="30">
        <f t="shared" si="2"/>
        <v>15362.758055785729</v>
      </c>
      <c r="F183" s="30">
        <f t="shared" si="3"/>
        <v>15330.607058707201</v>
      </c>
      <c r="G183" s="30">
        <f t="shared" si="4"/>
        <v>142.00729451855295</v>
      </c>
      <c r="H183" s="30">
        <f t="shared" si="6"/>
        <v>13921.049426914095</v>
      </c>
      <c r="I183" s="30">
        <f t="shared" si="5"/>
        <v>128.95057308590549</v>
      </c>
    </row>
    <row r="184" spans="1:9" ht="15" customHeight="1" x14ac:dyDescent="0.25">
      <c r="A184" s="27" t="s">
        <v>129</v>
      </c>
      <c r="B184" s="30">
        <f xml:space="preserve"> 14626</f>
        <v>14626</v>
      </c>
      <c r="C184" s="30">
        <v>0.88554664064815469</v>
      </c>
      <c r="D184" s="30">
        <f t="shared" si="0"/>
        <v>16516.351966842591</v>
      </c>
      <c r="E184" s="30">
        <f t="shared" si="2"/>
        <v>15623.936149417754</v>
      </c>
      <c r="F184" s="30">
        <f t="shared" si="3"/>
        <v>15362.758055785729</v>
      </c>
      <c r="G184" s="30">
        <f t="shared" si="4"/>
        <v>1153.5939110568615</v>
      </c>
      <c r="H184" s="30">
        <f t="shared" si="6"/>
        <v>13604.438787391429</v>
      </c>
      <c r="I184" s="30">
        <f t="shared" si="5"/>
        <v>1021.5612126085707</v>
      </c>
    </row>
    <row r="185" spans="1:9" ht="15" customHeight="1" x14ac:dyDescent="0.25">
      <c r="A185" s="27" t="s">
        <v>130</v>
      </c>
      <c r="B185" s="30">
        <f xml:space="preserve"> 14553</f>
        <v>14553</v>
      </c>
      <c r="C185" s="30">
        <v>0.91566790449517033</v>
      </c>
      <c r="D185" s="30">
        <f t="shared" si="0"/>
        <v>15893.316702001714</v>
      </c>
      <c r="E185" s="30">
        <f t="shared" si="2"/>
        <v>15684.924941497076</v>
      </c>
      <c r="F185" s="30">
        <f t="shared" si="3"/>
        <v>15623.936149417754</v>
      </c>
      <c r="G185" s="30">
        <f t="shared" si="4"/>
        <v>269.3805525839598</v>
      </c>
      <c r="H185" s="30">
        <f t="shared" si="6"/>
        <v>14306.336873903694</v>
      </c>
      <c r="I185" s="30">
        <f t="shared" si="5"/>
        <v>246.66312609630586</v>
      </c>
    </row>
    <row r="186" spans="1:9" ht="15" customHeight="1" x14ac:dyDescent="0.25">
      <c r="A186" s="27" t="s">
        <v>131</v>
      </c>
      <c r="B186" s="30">
        <f xml:space="preserve"> 15190</f>
        <v>15190</v>
      </c>
      <c r="C186" s="30">
        <v>1.0046707510607737</v>
      </c>
      <c r="D186" s="30">
        <f t="shared" si="0"/>
        <v>15119.381134527663</v>
      </c>
      <c r="E186" s="30">
        <f t="shared" si="2"/>
        <v>15556.883650750015</v>
      </c>
      <c r="F186" s="30">
        <f t="shared" si="3"/>
        <v>15684.924941497076</v>
      </c>
      <c r="G186" s="30">
        <f t="shared" si="4"/>
        <v>-565.54380696941371</v>
      </c>
      <c r="H186" s="30">
        <f t="shared" si="6"/>
        <v>15758.185321305731</v>
      </c>
      <c r="I186" s="30">
        <f t="shared" si="5"/>
        <v>-568.18532130573112</v>
      </c>
    </row>
    <row r="187" spans="1:9" ht="15" customHeight="1" x14ac:dyDescent="0.25">
      <c r="A187" s="27" t="s">
        <v>132</v>
      </c>
      <c r="B187" s="30">
        <f xml:space="preserve"> 17059</f>
        <v>17059</v>
      </c>
      <c r="C187" s="30">
        <v>1.0984136010088161</v>
      </c>
      <c r="D187" s="30">
        <f t="shared" si="0"/>
        <v>15530.579723641897</v>
      </c>
      <c r="E187" s="30">
        <f t="shared" si="2"/>
        <v>15550.928340591659</v>
      </c>
      <c r="F187" s="30">
        <f t="shared" si="3"/>
        <v>15556.883650750015</v>
      </c>
      <c r="G187" s="30">
        <f t="shared" si="4"/>
        <v>-26.303927108117932</v>
      </c>
      <c r="H187" s="30">
        <f t="shared" si="6"/>
        <v>17087.892591295502</v>
      </c>
      <c r="I187" s="30">
        <f t="shared" si="5"/>
        <v>-28.892591295501916</v>
      </c>
    </row>
    <row r="188" spans="1:9" ht="15" customHeight="1" x14ac:dyDescent="0.25">
      <c r="A188" s="27" t="s">
        <v>133</v>
      </c>
      <c r="B188" s="30">
        <f xml:space="preserve"> 18541</f>
        <v>18541</v>
      </c>
      <c r="C188" s="30">
        <v>1.1681866116143564</v>
      </c>
      <c r="D188" s="30">
        <f t="shared" si="0"/>
        <v>15871.608025345855</v>
      </c>
      <c r="E188" s="30">
        <f t="shared" si="2"/>
        <v>15623.5314532883</v>
      </c>
      <c r="F188" s="30">
        <f t="shared" si="3"/>
        <v>15550.928340591659</v>
      </c>
      <c r="G188" s="30">
        <f t="shared" si="4"/>
        <v>320.67968475419548</v>
      </c>
      <c r="H188" s="30">
        <f t="shared" si="6"/>
        <v>18166.386285653436</v>
      </c>
      <c r="I188" s="30">
        <f t="shared" si="5"/>
        <v>374.61371434656394</v>
      </c>
    </row>
    <row r="189" spans="1:9" ht="15" customHeight="1" x14ac:dyDescent="0.25">
      <c r="A189" s="27" t="s">
        <v>134</v>
      </c>
      <c r="B189" s="30">
        <f xml:space="preserve"> 18567</f>
        <v>18567</v>
      </c>
      <c r="C189" s="30">
        <v>1.229305276209552</v>
      </c>
      <c r="D189" s="30">
        <f t="shared" si="0"/>
        <v>15103.652737300217</v>
      </c>
      <c r="E189" s="30">
        <f t="shared" si="2"/>
        <v>15505.828914587106</v>
      </c>
      <c r="F189" s="30">
        <f t="shared" si="3"/>
        <v>15623.5314532883</v>
      </c>
      <c r="G189" s="30">
        <f t="shared" si="4"/>
        <v>-519.87871598808306</v>
      </c>
      <c r="H189" s="30">
        <f t="shared" si="6"/>
        <v>19206.089648553196</v>
      </c>
      <c r="I189" s="30">
        <f t="shared" si="5"/>
        <v>-639.08964855319573</v>
      </c>
    </row>
    <row r="190" spans="1:9" ht="15" customHeight="1" x14ac:dyDescent="0.25">
      <c r="A190" s="27" t="s">
        <v>135</v>
      </c>
      <c r="B190" s="30">
        <f xml:space="preserve"> 16684</f>
        <v>16684</v>
      </c>
      <c r="C190" s="30">
        <v>1.0076470532738075</v>
      </c>
      <c r="D190" s="30">
        <f t="shared" si="0"/>
        <v>16557.384796387098</v>
      </c>
      <c r="E190" s="30">
        <f t="shared" si="2"/>
        <v>15743.905206359876</v>
      </c>
      <c r="F190" s="30">
        <f t="shared" si="3"/>
        <v>15505.828914587106</v>
      </c>
      <c r="G190" s="30">
        <f t="shared" si="4"/>
        <v>1051.5558817999918</v>
      </c>
      <c r="H190" s="30">
        <f t="shared" si="6"/>
        <v>15624.402814351499</v>
      </c>
      <c r="I190" s="30">
        <f t="shared" si="5"/>
        <v>1059.5971856485012</v>
      </c>
    </row>
    <row r="191" spans="1:9" ht="15" customHeight="1" x14ac:dyDescent="0.25">
      <c r="A191" s="27" t="s">
        <v>136</v>
      </c>
      <c r="B191" s="30">
        <f xml:space="preserve"> 14523</f>
        <v>14523</v>
      </c>
      <c r="C191" s="30">
        <v>1.0242421211021173</v>
      </c>
      <c r="D191" s="30">
        <f t="shared" si="0"/>
        <v>14179.264551601127</v>
      </c>
      <c r="E191" s="30">
        <f t="shared" si="2"/>
        <v>15389.664550690439</v>
      </c>
      <c r="F191" s="30">
        <f t="shared" si="3"/>
        <v>15743.905206359876</v>
      </c>
      <c r="G191" s="30">
        <f t="shared" si="4"/>
        <v>-1564.6406547587485</v>
      </c>
      <c r="H191" s="30">
        <f t="shared" si="6"/>
        <v>16125.570862992707</v>
      </c>
      <c r="I191" s="30">
        <f t="shared" si="5"/>
        <v>-1602.5708629927067</v>
      </c>
    </row>
    <row r="192" spans="1:9" ht="15" customHeight="1" x14ac:dyDescent="0.25">
      <c r="A192" s="27" t="s">
        <v>137</v>
      </c>
      <c r="B192" s="30">
        <f xml:space="preserve"> 13316</f>
        <v>13316</v>
      </c>
      <c r="C192" s="30">
        <v>0.94663970878958614</v>
      </c>
      <c r="D192" s="30">
        <f t="shared" si="0"/>
        <v>14066.597752408257</v>
      </c>
      <c r="E192" s="30">
        <f t="shared" si="2"/>
        <v>15090.117144266813</v>
      </c>
      <c r="F192" s="30">
        <f t="shared" si="3"/>
        <v>15389.664550690439</v>
      </c>
      <c r="G192" s="30">
        <f t="shared" si="4"/>
        <v>-1323.0667982821815</v>
      </c>
      <c r="H192" s="30">
        <f t="shared" si="6"/>
        <v>14568.467568635015</v>
      </c>
      <c r="I192" s="30">
        <f t="shared" si="5"/>
        <v>-1252.4675686350147</v>
      </c>
    </row>
    <row r="193" spans="1:9" ht="15" customHeight="1" x14ac:dyDescent="0.25">
      <c r="A193" s="27" t="s">
        <v>138</v>
      </c>
      <c r="B193" s="30">
        <f xml:space="preserve"> 14466</f>
        <v>14466</v>
      </c>
      <c r="C193" s="30">
        <v>0.9050536648720291</v>
      </c>
      <c r="D193" s="30">
        <f t="shared" si="0"/>
        <v>15983.582589045074</v>
      </c>
      <c r="E193" s="30">
        <f t="shared" si="2"/>
        <v>15292.401153706052</v>
      </c>
      <c r="F193" s="30">
        <f t="shared" si="3"/>
        <v>15090.117144266813</v>
      </c>
      <c r="G193" s="30">
        <f t="shared" si="4"/>
        <v>893.46544477826137</v>
      </c>
      <c r="H193" s="30">
        <f t="shared" si="6"/>
        <v>13657.365824766917</v>
      </c>
      <c r="I193" s="30">
        <f t="shared" si="5"/>
        <v>808.63417523308271</v>
      </c>
    </row>
    <row r="194" spans="1:9" ht="15" customHeight="1" x14ac:dyDescent="0.25">
      <c r="A194" s="27" t="s">
        <v>139</v>
      </c>
      <c r="B194" s="30">
        <f xml:space="preserve"> 15045</f>
        <v>15045</v>
      </c>
      <c r="C194" s="30">
        <v>0.90657052885571165</v>
      </c>
      <c r="D194" s="30">
        <f t="shared" si="0"/>
        <v>16595.509694088611</v>
      </c>
      <c r="E194" s="30">
        <f t="shared" si="2"/>
        <v>15587.429933860521</v>
      </c>
      <c r="F194" s="30">
        <f t="shared" si="3"/>
        <v>15292.401153706052</v>
      </c>
      <c r="G194" s="30">
        <f t="shared" si="4"/>
        <v>1303.1085403825582</v>
      </c>
      <c r="H194" s="30">
        <f t="shared" si="6"/>
        <v>13863.640201388991</v>
      </c>
      <c r="I194" s="30">
        <f t="shared" si="5"/>
        <v>1181.359798611009</v>
      </c>
    </row>
    <row r="195" spans="1:9" ht="15" customHeight="1" x14ac:dyDescent="0.25">
      <c r="A195" s="27" t="s">
        <v>140</v>
      </c>
      <c r="B195" s="30">
        <f xml:space="preserve"> 15028</f>
        <v>15028</v>
      </c>
      <c r="C195" s="30">
        <v>0.90805598066695403</v>
      </c>
      <c r="D195" s="30">
        <f t="shared" si="0"/>
        <v>16549.64046265314</v>
      </c>
      <c r="E195" s="30">
        <f t="shared" si="2"/>
        <v>15805.278094442856</v>
      </c>
      <c r="F195" s="30">
        <f t="shared" si="3"/>
        <v>15587.429933860521</v>
      </c>
      <c r="G195" s="30">
        <f t="shared" si="4"/>
        <v>962.21052879261879</v>
      </c>
      <c r="H195" s="30">
        <f t="shared" si="6"/>
        <v>14154.25897466915</v>
      </c>
      <c r="I195" s="30">
        <f t="shared" si="5"/>
        <v>873.74102533084988</v>
      </c>
    </row>
    <row r="196" spans="1:9" ht="15" customHeight="1" x14ac:dyDescent="0.25">
      <c r="A196" s="27" t="s">
        <v>141</v>
      </c>
      <c r="B196" s="30">
        <f xml:space="preserve"> 15187</f>
        <v>15187</v>
      </c>
      <c r="C196" s="30">
        <v>0.88554664064815469</v>
      </c>
      <c r="D196" s="30">
        <f t="shared" si="0"/>
        <v>17149.858971724221</v>
      </c>
      <c r="E196" s="30">
        <f t="shared" si="2"/>
        <v>16109.696371010123</v>
      </c>
      <c r="F196" s="30">
        <f t="shared" si="3"/>
        <v>15805.278094442856</v>
      </c>
      <c r="G196" s="30">
        <f t="shared" si="4"/>
        <v>1344.5808772813652</v>
      </c>
      <c r="H196" s="30">
        <f t="shared" si="6"/>
        <v>13996.31092104374</v>
      </c>
      <c r="I196" s="30">
        <f t="shared" si="5"/>
        <v>1190.6890789562603</v>
      </c>
    </row>
    <row r="197" spans="1:9" ht="15" customHeight="1" x14ac:dyDescent="0.25">
      <c r="A197" s="27" t="s">
        <v>142</v>
      </c>
      <c r="B197" s="30">
        <f xml:space="preserve"> 14271</f>
        <v>14271</v>
      </c>
      <c r="C197" s="30">
        <v>0.91566790449517033</v>
      </c>
      <c r="D197" s="30">
        <f t="shared" si="0"/>
        <v>15585.344784873665</v>
      </c>
      <c r="E197" s="30">
        <f t="shared" si="2"/>
        <v>15990.981157322332</v>
      </c>
      <c r="F197" s="30">
        <f t="shared" si="3"/>
        <v>16109.696371010123</v>
      </c>
      <c r="G197" s="30">
        <f t="shared" si="4"/>
        <v>-524.35158613645763</v>
      </c>
      <c r="H197" s="30">
        <f t="shared" si="6"/>
        <v>14751.131918096289</v>
      </c>
      <c r="I197" s="30">
        <f t="shared" si="5"/>
        <v>-480.13191809628916</v>
      </c>
    </row>
    <row r="198" spans="1:9" ht="15" customHeight="1" x14ac:dyDescent="0.25">
      <c r="A198" s="27" t="s">
        <v>143</v>
      </c>
      <c r="B198" s="30">
        <f xml:space="preserve"> 15923</f>
        <v>15923</v>
      </c>
      <c r="C198" s="30">
        <v>1.0046707510607737</v>
      </c>
      <c r="D198" s="30">
        <f t="shared" si="0"/>
        <v>15848.973390723106</v>
      </c>
      <c r="E198" s="30">
        <f t="shared" si="2"/>
        <v>15958.830053362926</v>
      </c>
      <c r="F198" s="30">
        <f t="shared" si="3"/>
        <v>15990.981157322332</v>
      </c>
      <c r="G198" s="30">
        <f t="shared" si="4"/>
        <v>-142.00776659922667</v>
      </c>
      <c r="H198" s="30">
        <f t="shared" si="6"/>
        <v>16065.671049525708</v>
      </c>
      <c r="I198" s="30">
        <f t="shared" si="5"/>
        <v>-142.67104952570844</v>
      </c>
    </row>
    <row r="199" spans="1:9" ht="15" customHeight="1" x14ac:dyDescent="0.25">
      <c r="A199" s="27" t="s">
        <v>144</v>
      </c>
      <c r="B199" s="30">
        <f xml:space="preserve"> 16632</f>
        <v>16632</v>
      </c>
      <c r="C199" s="30">
        <v>1.0984136010088161</v>
      </c>
      <c r="D199" s="30">
        <f t="shared" si="0"/>
        <v>15141.837268515857</v>
      </c>
      <c r="E199" s="30">
        <f t="shared" si="2"/>
        <v>15773.859747944107</v>
      </c>
      <c r="F199" s="30">
        <f t="shared" si="3"/>
        <v>15958.830053362926</v>
      </c>
      <c r="G199" s="30">
        <f t="shared" si="4"/>
        <v>-816.99278484706883</v>
      </c>
      <c r="H199" s="30">
        <f t="shared" si="6"/>
        <v>17529.39598680209</v>
      </c>
      <c r="I199" s="30">
        <f t="shared" si="5"/>
        <v>-897.39598680209019</v>
      </c>
    </row>
    <row r="200" spans="1:9" ht="15" customHeight="1" x14ac:dyDescent="0.25">
      <c r="A200" s="27" t="s">
        <v>145</v>
      </c>
      <c r="B200" s="30">
        <f xml:space="preserve"> 18432</f>
        <v>18432</v>
      </c>
      <c r="C200" s="30">
        <v>1.1681866116143564</v>
      </c>
      <c r="D200" s="30">
        <f t="shared" si="0"/>
        <v>15778.301015218962</v>
      </c>
      <c r="E200" s="30">
        <f t="shared" si="2"/>
        <v>15774.865267918716</v>
      </c>
      <c r="F200" s="30">
        <f t="shared" si="3"/>
        <v>15773.859747944107</v>
      </c>
      <c r="G200" s="30">
        <f t="shared" si="4"/>
        <v>4.4412672748549085</v>
      </c>
      <c r="H200" s="30">
        <f t="shared" si="6"/>
        <v>18426.811771030912</v>
      </c>
      <c r="I200" s="30">
        <f t="shared" si="5"/>
        <v>5.1882289690875041</v>
      </c>
    </row>
    <row r="201" spans="1:9" ht="15" customHeight="1" x14ac:dyDescent="0.25">
      <c r="A201" s="27" t="s">
        <v>146</v>
      </c>
      <c r="B201" s="30">
        <f xml:space="preserve"> 19743</f>
        <v>19743</v>
      </c>
      <c r="C201" s="30">
        <v>1.229305276209552</v>
      </c>
      <c r="D201" s="30">
        <f t="shared" si="0"/>
        <v>16060.290622745635</v>
      </c>
      <c r="E201" s="30">
        <f t="shared" si="2"/>
        <v>15839.486664870823</v>
      </c>
      <c r="F201" s="30">
        <f t="shared" si="3"/>
        <v>15774.865267918716</v>
      </c>
      <c r="G201" s="30">
        <f t="shared" si="4"/>
        <v>285.42535482691892</v>
      </c>
      <c r="H201" s="30">
        <f t="shared" si="6"/>
        <v>19392.125105347284</v>
      </c>
      <c r="I201" s="30">
        <f t="shared" si="5"/>
        <v>350.87489465271574</v>
      </c>
    </row>
    <row r="202" spans="1:9" ht="15" customHeight="1" x14ac:dyDescent="0.25">
      <c r="A202" s="27" t="s">
        <v>147</v>
      </c>
      <c r="B202" s="30">
        <f xml:space="preserve"> 15632</f>
        <v>15632</v>
      </c>
      <c r="C202" s="30">
        <v>1.0076470532738075</v>
      </c>
      <c r="D202" s="30">
        <f t="shared" si="0"/>
        <v>15513.36844504454</v>
      </c>
      <c r="E202" s="30">
        <f t="shared" si="2"/>
        <v>15765.652246938722</v>
      </c>
      <c r="F202" s="30">
        <f t="shared" si="3"/>
        <v>15839.486664870823</v>
      </c>
      <c r="G202" s="30">
        <f t="shared" si="4"/>
        <v>-326.11821982628317</v>
      </c>
      <c r="H202" s="30">
        <f t="shared" si="6"/>
        <v>15960.612063226854</v>
      </c>
      <c r="I202" s="30">
        <f t="shared" si="5"/>
        <v>-328.61206322685393</v>
      </c>
    </row>
    <row r="203" spans="1:9" ht="15" customHeight="1" x14ac:dyDescent="0.25">
      <c r="A203" s="27" t="s">
        <v>148</v>
      </c>
      <c r="B203" s="30">
        <f xml:space="preserve"> 16404</f>
        <v>16404</v>
      </c>
      <c r="C203" s="30">
        <v>1.0242421211021173</v>
      </c>
      <c r="D203" s="30">
        <f t="shared" si="0"/>
        <v>16015.744385076421</v>
      </c>
      <c r="E203" s="30">
        <f t="shared" si="2"/>
        <v>15822.274067880304</v>
      </c>
      <c r="F203" s="30">
        <f t="shared" si="3"/>
        <v>15765.652246938722</v>
      </c>
      <c r="G203" s="30">
        <f t="shared" si="4"/>
        <v>250.09213813769929</v>
      </c>
      <c r="H203" s="30">
        <f t="shared" si="6"/>
        <v>16147.845097962878</v>
      </c>
      <c r="I203" s="30">
        <f t="shared" si="5"/>
        <v>256.15490203712216</v>
      </c>
    </row>
    <row r="204" spans="1:9" ht="15" customHeight="1" x14ac:dyDescent="0.25">
      <c r="A204" s="27" t="s">
        <v>149</v>
      </c>
      <c r="B204" s="30">
        <f xml:space="preserve"> 15572</f>
        <v>15572</v>
      </c>
      <c r="C204" s="30">
        <v>0.94663970878958614</v>
      </c>
      <c r="D204" s="30">
        <f t="shared" si="0"/>
        <v>16449.764208508666</v>
      </c>
      <c r="E204" s="30">
        <f t="shared" si="2"/>
        <v>15964.340246568836</v>
      </c>
      <c r="F204" s="30">
        <f t="shared" si="3"/>
        <v>15822.274067880304</v>
      </c>
      <c r="G204" s="30">
        <f t="shared" si="4"/>
        <v>627.4901406283625</v>
      </c>
      <c r="H204" s="30">
        <f t="shared" si="6"/>
        <v>14977.992916007232</v>
      </c>
      <c r="I204" s="30">
        <f t="shared" si="5"/>
        <v>594.00708399276846</v>
      </c>
    </row>
    <row r="205" spans="1:9" ht="15" customHeight="1" x14ac:dyDescent="0.25">
      <c r="A205" s="27" t="s">
        <v>150</v>
      </c>
      <c r="B205" s="30">
        <f xml:space="preserve"> 14310</f>
        <v>14310</v>
      </c>
      <c r="C205" s="30">
        <v>0.9050536648720291</v>
      </c>
      <c r="D205" s="30">
        <f t="shared" si="0"/>
        <v>15811.217119399627</v>
      </c>
      <c r="E205" s="30">
        <f t="shared" si="2"/>
        <v>15929.672582270583</v>
      </c>
      <c r="F205" s="30">
        <f t="shared" si="3"/>
        <v>15964.340246568836</v>
      </c>
      <c r="G205" s="30">
        <f t="shared" si="4"/>
        <v>-153.1231271692086</v>
      </c>
      <c r="H205" s="30">
        <f t="shared" si="6"/>
        <v>14448.584647421158</v>
      </c>
      <c r="I205" s="30">
        <f t="shared" si="5"/>
        <v>-138.58464742115757</v>
      </c>
    </row>
    <row r="206" spans="1:9" ht="15" customHeight="1" x14ac:dyDescent="0.25">
      <c r="A206" s="27" t="s">
        <v>151</v>
      </c>
      <c r="B206" s="30">
        <f xml:space="preserve"> 16102</f>
        <v>16102</v>
      </c>
      <c r="C206" s="30">
        <v>0.90657052885571165</v>
      </c>
      <c r="D206" s="30">
        <f t="shared" si="0"/>
        <v>17761.442146508129</v>
      </c>
      <c r="E206" s="30">
        <f t="shared" si="2"/>
        <v>16344.392249369404</v>
      </c>
      <c r="F206" s="30">
        <f t="shared" si="3"/>
        <v>15929.672582270583</v>
      </c>
      <c r="G206" s="30">
        <f t="shared" si="4"/>
        <v>1831.7695642375456</v>
      </c>
      <c r="H206" s="30">
        <f t="shared" si="6"/>
        <v>14441.371697407372</v>
      </c>
      <c r="I206" s="30">
        <f t="shared" si="5"/>
        <v>1660.6283025926277</v>
      </c>
    </row>
    <row r="207" spans="1:9" ht="15" customHeight="1" x14ac:dyDescent="0.25">
      <c r="A207" s="27" t="s">
        <v>152</v>
      </c>
      <c r="B207" s="30">
        <f xml:space="preserve"> 14942</f>
        <v>14942</v>
      </c>
      <c r="C207" s="30">
        <v>0.90805598066695403</v>
      </c>
      <c r="D207" s="30">
        <f t="shared" si="0"/>
        <v>16454.932645259731</v>
      </c>
      <c r="E207" s="30">
        <f t="shared" si="2"/>
        <v>16369.419019701016</v>
      </c>
      <c r="F207" s="30">
        <f t="shared" si="3"/>
        <v>16344.392249369404</v>
      </c>
      <c r="G207" s="30">
        <f t="shared" si="4"/>
        <v>110.54039589032618</v>
      </c>
      <c r="H207" s="30">
        <f t="shared" si="6"/>
        <v>14841.623132406497</v>
      </c>
      <c r="I207" s="30">
        <f t="shared" si="5"/>
        <v>100.37686759350254</v>
      </c>
    </row>
    <row r="208" spans="1:9" ht="15" customHeight="1" x14ac:dyDescent="0.25">
      <c r="A208" s="27" t="s">
        <v>153</v>
      </c>
      <c r="B208" s="30">
        <f xml:space="preserve"> 14242</f>
        <v>14242</v>
      </c>
      <c r="C208" s="30">
        <v>0.88554664064815469</v>
      </c>
      <c r="D208" s="30">
        <f t="shared" si="0"/>
        <v>16082.721503608109</v>
      </c>
      <c r="E208" s="30">
        <f t="shared" si="2"/>
        <v>16304.509600550577</v>
      </c>
      <c r="F208" s="30">
        <f t="shared" si="3"/>
        <v>16369.419019701016</v>
      </c>
      <c r="G208" s="30">
        <f t="shared" si="4"/>
        <v>-286.69751609290688</v>
      </c>
      <c r="H208" s="30">
        <f t="shared" si="6"/>
        <v>14495.884022258244</v>
      </c>
      <c r="I208" s="30">
        <f t="shared" si="5"/>
        <v>-253.88402225824393</v>
      </c>
    </row>
    <row r="209" spans="1:9" ht="15" customHeight="1" x14ac:dyDescent="0.25">
      <c r="A209" s="27" t="s">
        <v>154</v>
      </c>
      <c r="B209" s="30">
        <f xml:space="preserve"> 15039</f>
        <v>15039</v>
      </c>
      <c r="C209" s="30">
        <v>0.91566790449517033</v>
      </c>
      <c r="D209" s="30">
        <f t="shared" si="0"/>
        <v>16424.076814498989</v>
      </c>
      <c r="E209" s="30">
        <f t="shared" si="2"/>
        <v>16331.58007717205</v>
      </c>
      <c r="F209" s="30">
        <f t="shared" si="3"/>
        <v>16304.509600550577</v>
      </c>
      <c r="G209" s="30">
        <f t="shared" si="4"/>
        <v>119.56721394841225</v>
      </c>
      <c r="H209" s="30">
        <f t="shared" si="6"/>
        <v>14929.516139757534</v>
      </c>
      <c r="I209" s="30">
        <f t="shared" si="5"/>
        <v>109.48386024246611</v>
      </c>
    </row>
    <row r="210" spans="1:9" ht="15" customHeight="1" x14ac:dyDescent="0.25">
      <c r="A210" s="27" t="s">
        <v>155</v>
      </c>
      <c r="B210" s="30">
        <f xml:space="preserve"> 15683</f>
        <v>15683</v>
      </c>
      <c r="C210" s="30">
        <v>1.0046707510607737</v>
      </c>
      <c r="D210" s="30">
        <f t="shared" si="0"/>
        <v>15610.089159499496</v>
      </c>
      <c r="E210" s="30">
        <f t="shared" si="2"/>
        <v>16168.231761404759</v>
      </c>
      <c r="F210" s="30">
        <f t="shared" si="3"/>
        <v>16331.58007717205</v>
      </c>
      <c r="G210" s="30">
        <f t="shared" si="4"/>
        <v>-721.49091767255413</v>
      </c>
      <c r="H210" s="30">
        <f t="shared" si="6"/>
        <v>16407.860822141611</v>
      </c>
      <c r="I210" s="30">
        <f t="shared" si="5"/>
        <v>-724.8608221416107</v>
      </c>
    </row>
    <row r="211" spans="1:9" ht="15" customHeight="1" x14ac:dyDescent="0.25">
      <c r="A211" s="27" t="s">
        <v>156</v>
      </c>
      <c r="B211" s="30">
        <f xml:space="preserve"> 19459</f>
        <v>19459</v>
      </c>
      <c r="C211" s="30">
        <v>1.0984136010088161</v>
      </c>
      <c r="D211" s="30">
        <f t="shared" ref="D211:D262" si="7">B211/C211</f>
        <v>17715.549026458037</v>
      </c>
      <c r="E211" s="30">
        <f t="shared" si="2"/>
        <v>16518.550335087501</v>
      </c>
      <c r="F211" s="30">
        <f t="shared" si="3"/>
        <v>16168.231761404759</v>
      </c>
      <c r="G211" s="30">
        <f t="shared" si="4"/>
        <v>1547.3172650532779</v>
      </c>
      <c r="H211" s="30">
        <f t="shared" ref="H211:H242" si="8">F211*C211</f>
        <v>17759.405670989716</v>
      </c>
      <c r="I211" s="30">
        <f t="shared" si="5"/>
        <v>1699.5943290102841</v>
      </c>
    </row>
    <row r="212" spans="1:9" ht="15" customHeight="1" x14ac:dyDescent="0.25">
      <c r="A212" s="27" t="s">
        <v>157</v>
      </c>
      <c r="B212" s="30">
        <f xml:space="preserve"> 18687</f>
        <v>18687</v>
      </c>
      <c r="C212" s="30">
        <v>1.1681866116143564</v>
      </c>
      <c r="D212" s="30">
        <f t="shared" si="7"/>
        <v>15996.588057258938</v>
      </c>
      <c r="E212" s="30">
        <f t="shared" ref="E212:E262" si="9">$B$9*D212+(1-$B$9)*E211</f>
        <v>16400.376069980466</v>
      </c>
      <c r="F212" s="30">
        <f t="shared" ref="F212:F262" si="10">E211</f>
        <v>16518.550335087501</v>
      </c>
      <c r="G212" s="30">
        <f t="shared" ref="G212:G262" si="11">D212-F212</f>
        <v>-521.96227782856295</v>
      </c>
      <c r="H212" s="30">
        <f t="shared" si="8"/>
        <v>19296.749344727061</v>
      </c>
      <c r="I212" s="30">
        <f t="shared" ref="I212:I262" si="12">B212-H212</f>
        <v>-609.74934472706082</v>
      </c>
    </row>
    <row r="213" spans="1:9" ht="15" customHeight="1" x14ac:dyDescent="0.25">
      <c r="A213" s="27" t="s">
        <v>158</v>
      </c>
      <c r="B213" s="30">
        <f xml:space="preserve"> 20459</f>
        <v>20459</v>
      </c>
      <c r="C213" s="30">
        <v>1.229305276209552</v>
      </c>
      <c r="D213" s="30">
        <f t="shared" si="7"/>
        <v>16642.733416945393</v>
      </c>
      <c r="E213" s="30">
        <f t="shared" si="9"/>
        <v>16455.246704483056</v>
      </c>
      <c r="F213" s="30">
        <f t="shared" si="10"/>
        <v>16400.376069980466</v>
      </c>
      <c r="G213" s="30">
        <f t="shared" si="11"/>
        <v>242.35734696492727</v>
      </c>
      <c r="H213" s="30">
        <f t="shared" si="8"/>
        <v>20161.068834647864</v>
      </c>
      <c r="I213" s="30">
        <f t="shared" si="12"/>
        <v>297.9311653521363</v>
      </c>
    </row>
    <row r="214" spans="1:9" ht="15" customHeight="1" x14ac:dyDescent="0.25">
      <c r="A214" s="27" t="s">
        <v>159</v>
      </c>
      <c r="B214" s="30">
        <f xml:space="preserve"> 17137</f>
        <v>17137</v>
      </c>
      <c r="C214" s="30">
        <v>1.0076470532738075</v>
      </c>
      <c r="D214" s="30">
        <f t="shared" si="7"/>
        <v>17006.94697049183</v>
      </c>
      <c r="E214" s="30">
        <f t="shared" si="9"/>
        <v>16580.15376436901</v>
      </c>
      <c r="F214" s="30">
        <f t="shared" si="10"/>
        <v>16455.246704483056</v>
      </c>
      <c r="G214" s="30">
        <f t="shared" si="11"/>
        <v>551.70026600877463</v>
      </c>
      <c r="H214" s="30">
        <f t="shared" si="8"/>
        <v>16581.080852665884</v>
      </c>
      <c r="I214" s="30">
        <f t="shared" si="12"/>
        <v>555.91914733411613</v>
      </c>
    </row>
    <row r="215" spans="1:9" ht="15" customHeight="1" x14ac:dyDescent="0.25">
      <c r="A215" s="27" t="s">
        <v>160</v>
      </c>
      <c r="B215" s="30">
        <f xml:space="preserve"> 16594</f>
        <v>16594</v>
      </c>
      <c r="C215" s="30">
        <v>1.0242421211021173</v>
      </c>
      <c r="D215" s="30">
        <f t="shared" si="7"/>
        <v>16201.247398558775</v>
      </c>
      <c r="E215" s="30">
        <f t="shared" si="9"/>
        <v>16494.367907371299</v>
      </c>
      <c r="F215" s="30">
        <f t="shared" si="10"/>
        <v>16580.15376436901</v>
      </c>
      <c r="G215" s="30">
        <f t="shared" si="11"/>
        <v>-378.906365810235</v>
      </c>
      <c r="H215" s="30">
        <f t="shared" si="8"/>
        <v>16982.09185981657</v>
      </c>
      <c r="I215" s="30">
        <f t="shared" si="12"/>
        <v>-388.09185981656992</v>
      </c>
    </row>
    <row r="216" spans="1:9" ht="15" customHeight="1" x14ac:dyDescent="0.25">
      <c r="A216" s="27" t="s">
        <v>161</v>
      </c>
      <c r="B216" s="30">
        <f xml:space="preserve"> 16274</f>
        <v>16274</v>
      </c>
      <c r="C216" s="30">
        <v>0.94663970878958614</v>
      </c>
      <c r="D216" s="30">
        <f t="shared" si="7"/>
        <v>17191.334621710121</v>
      </c>
      <c r="E216" s="30">
        <f t="shared" si="9"/>
        <v>16652.163849280543</v>
      </c>
      <c r="F216" s="30">
        <f t="shared" si="10"/>
        <v>16494.367907371299</v>
      </c>
      <c r="G216" s="30">
        <f t="shared" si="11"/>
        <v>696.96671433882148</v>
      </c>
      <c r="H216" s="30">
        <f t="shared" si="8"/>
        <v>15614.223632502262</v>
      </c>
      <c r="I216" s="30">
        <f t="shared" si="12"/>
        <v>659.77636749773774</v>
      </c>
    </row>
    <row r="217" spans="1:9" ht="15" customHeight="1" x14ac:dyDescent="0.25">
      <c r="A217" s="27" t="s">
        <v>162</v>
      </c>
      <c r="B217" s="30">
        <f xml:space="preserve"> 15103</f>
        <v>15103</v>
      </c>
      <c r="C217" s="30">
        <v>0.9050536648720291</v>
      </c>
      <c r="D217" s="30">
        <f t="shared" si="7"/>
        <v>16687.408256763982</v>
      </c>
      <c r="E217" s="30">
        <f t="shared" si="9"/>
        <v>16660.14331854567</v>
      </c>
      <c r="F217" s="30">
        <f t="shared" si="10"/>
        <v>16652.163849280543</v>
      </c>
      <c r="G217" s="30">
        <f t="shared" si="11"/>
        <v>35.244407483438408</v>
      </c>
      <c r="H217" s="30">
        <f t="shared" si="8"/>
        <v>15071.10191984087</v>
      </c>
      <c r="I217" s="30">
        <f t="shared" si="12"/>
        <v>31.898080159129677</v>
      </c>
    </row>
    <row r="218" spans="1:9" ht="15" customHeight="1" x14ac:dyDescent="0.25">
      <c r="A218" s="27" t="s">
        <v>163</v>
      </c>
      <c r="B218" s="30">
        <f xml:space="preserve"> 15413</f>
        <v>15413</v>
      </c>
      <c r="C218" s="30">
        <v>0.90657052885571165</v>
      </c>
      <c r="D218" s="30">
        <f t="shared" si="7"/>
        <v>17001.435089065319</v>
      </c>
      <c r="E218" s="30">
        <f t="shared" si="9"/>
        <v>16737.41308665233</v>
      </c>
      <c r="F218" s="30">
        <f t="shared" si="10"/>
        <v>16660.14331854567</v>
      </c>
      <c r="G218" s="30">
        <f t="shared" si="11"/>
        <v>341.29177051964871</v>
      </c>
      <c r="H218" s="30">
        <f t="shared" si="8"/>
        <v>15103.594939105898</v>
      </c>
      <c r="I218" s="30">
        <f t="shared" si="12"/>
        <v>309.40506089410155</v>
      </c>
    </row>
    <row r="219" spans="1:9" ht="15" customHeight="1" x14ac:dyDescent="0.25">
      <c r="A219" s="27" t="s">
        <v>164</v>
      </c>
      <c r="B219" s="30">
        <f xml:space="preserve"> 14860</f>
        <v>14860</v>
      </c>
      <c r="C219" s="30">
        <v>0.90805598066695403</v>
      </c>
      <c r="D219" s="30">
        <f t="shared" si="7"/>
        <v>16364.629842628803</v>
      </c>
      <c r="E219" s="30">
        <f t="shared" si="9"/>
        <v>16653.013527952484</v>
      </c>
      <c r="F219" s="30">
        <f t="shared" si="10"/>
        <v>16737.41308665233</v>
      </c>
      <c r="G219" s="30">
        <f t="shared" si="11"/>
        <v>-372.783244023527</v>
      </c>
      <c r="H219" s="30">
        <f t="shared" si="8"/>
        <v>15198.508054227992</v>
      </c>
      <c r="I219" s="30">
        <f t="shared" si="12"/>
        <v>-338.50805422799203</v>
      </c>
    </row>
    <row r="220" spans="1:9" ht="15" customHeight="1" x14ac:dyDescent="0.25">
      <c r="A220" s="27" t="s">
        <v>165</v>
      </c>
      <c r="B220" s="30">
        <f xml:space="preserve"> 14334</f>
        <v>14334</v>
      </c>
      <c r="C220" s="30">
        <v>0.88554664064815469</v>
      </c>
      <c r="D220" s="30">
        <f t="shared" si="7"/>
        <v>16186.612135424704</v>
      </c>
      <c r="E220" s="30">
        <f t="shared" si="9"/>
        <v>16547.418460745401</v>
      </c>
      <c r="F220" s="30">
        <f t="shared" si="10"/>
        <v>16653.013527952484</v>
      </c>
      <c r="G220" s="30">
        <f t="shared" si="11"/>
        <v>-466.40139252777954</v>
      </c>
      <c r="H220" s="30">
        <f t="shared" si="8"/>
        <v>14747.020186346597</v>
      </c>
      <c r="I220" s="30">
        <f t="shared" si="12"/>
        <v>-413.02018634659726</v>
      </c>
    </row>
    <row r="221" spans="1:9" ht="15" customHeight="1" x14ac:dyDescent="0.25">
      <c r="A221" s="27" t="s">
        <v>166</v>
      </c>
      <c r="B221" s="30">
        <f xml:space="preserve"> 14398</f>
        <v>14398</v>
      </c>
      <c r="C221" s="30">
        <v>0.91566790449517033</v>
      </c>
      <c r="D221" s="30">
        <f t="shared" si="7"/>
        <v>15724.041357480977</v>
      </c>
      <c r="E221" s="30">
        <f t="shared" si="9"/>
        <v>16361.002721108005</v>
      </c>
      <c r="F221" s="30">
        <f t="shared" si="10"/>
        <v>16547.418460745401</v>
      </c>
      <c r="G221" s="30">
        <f t="shared" si="11"/>
        <v>-823.37710326442357</v>
      </c>
      <c r="H221" s="30">
        <f t="shared" si="8"/>
        <v>15151.939986755438</v>
      </c>
      <c r="I221" s="30">
        <f t="shared" si="12"/>
        <v>-753.93998675543844</v>
      </c>
    </row>
    <row r="222" spans="1:9" ht="15" customHeight="1" x14ac:dyDescent="0.25">
      <c r="A222" s="27" t="s">
        <v>167</v>
      </c>
      <c r="B222" s="30">
        <f xml:space="preserve"> 16939</f>
        <v>16939</v>
      </c>
      <c r="C222" s="30">
        <v>1.0046707510607737</v>
      </c>
      <c r="D222" s="30">
        <f t="shared" si="7"/>
        <v>16860.249969569722</v>
      </c>
      <c r="E222" s="30">
        <f t="shared" si="9"/>
        <v>16474.034216294043</v>
      </c>
      <c r="F222" s="30">
        <f t="shared" si="10"/>
        <v>16361.002721108005</v>
      </c>
      <c r="G222" s="30">
        <f t="shared" si="11"/>
        <v>499.24724846171739</v>
      </c>
      <c r="H222" s="30">
        <f t="shared" si="8"/>
        <v>16437.420891922942</v>
      </c>
      <c r="I222" s="30">
        <f t="shared" si="12"/>
        <v>501.57910807705775</v>
      </c>
    </row>
    <row r="223" spans="1:9" ht="15" customHeight="1" x14ac:dyDescent="0.25">
      <c r="A223" s="27" t="s">
        <v>168</v>
      </c>
      <c r="B223" s="30">
        <f xml:space="preserve"> 19489</f>
        <v>19489</v>
      </c>
      <c r="C223" s="30">
        <v>1.0984136010088161</v>
      </c>
      <c r="D223" s="30">
        <f t="shared" si="7"/>
        <v>17742.861142743241</v>
      </c>
      <c r="E223" s="30">
        <f t="shared" si="9"/>
        <v>16761.301507342228</v>
      </c>
      <c r="F223" s="30">
        <f t="shared" si="10"/>
        <v>16474.034216294043</v>
      </c>
      <c r="G223" s="30">
        <f t="shared" si="11"/>
        <v>1268.8269264491973</v>
      </c>
      <c r="H223" s="30">
        <f t="shared" si="8"/>
        <v>18095.303246661992</v>
      </c>
      <c r="I223" s="30">
        <f t="shared" si="12"/>
        <v>1393.6967533380084</v>
      </c>
    </row>
    <row r="224" spans="1:9" ht="15" customHeight="1" x14ac:dyDescent="0.25">
      <c r="A224" s="27" t="s">
        <v>169</v>
      </c>
      <c r="B224" s="30">
        <f xml:space="preserve"> 20016</f>
        <v>20016</v>
      </c>
      <c r="C224" s="30">
        <v>1.1681866116143564</v>
      </c>
      <c r="D224" s="30">
        <f t="shared" si="7"/>
        <v>17134.248758714341</v>
      </c>
      <c r="E224" s="30">
        <f t="shared" si="9"/>
        <v>16845.738197935916</v>
      </c>
      <c r="F224" s="30">
        <f t="shared" si="10"/>
        <v>16761.301507342228</v>
      </c>
      <c r="G224" s="30">
        <f t="shared" si="11"/>
        <v>372.94725137211208</v>
      </c>
      <c r="H224" s="30">
        <f t="shared" si="8"/>
        <v>19580.328014108723</v>
      </c>
      <c r="I224" s="30">
        <f t="shared" si="12"/>
        <v>435.67198589127656</v>
      </c>
    </row>
    <row r="225" spans="1:9" ht="15" customHeight="1" x14ac:dyDescent="0.25">
      <c r="A225" s="27" t="s">
        <v>170</v>
      </c>
      <c r="B225" s="30">
        <f xml:space="preserve"> 22099</f>
        <v>22099</v>
      </c>
      <c r="C225" s="30">
        <v>1.229305276209552</v>
      </c>
      <c r="D225" s="30">
        <f t="shared" si="7"/>
        <v>17976.820263995127</v>
      </c>
      <c r="E225" s="30">
        <f t="shared" si="9"/>
        <v>17101.819523368777</v>
      </c>
      <c r="F225" s="30">
        <f t="shared" si="10"/>
        <v>16845.738197935916</v>
      </c>
      <c r="G225" s="30">
        <f t="shared" si="11"/>
        <v>1131.0820660592108</v>
      </c>
      <c r="H225" s="30">
        <f t="shared" si="8"/>
        <v>20708.55484836741</v>
      </c>
      <c r="I225" s="30">
        <f t="shared" si="12"/>
        <v>1390.4451516325898</v>
      </c>
    </row>
    <row r="226" spans="1:9" ht="15" customHeight="1" x14ac:dyDescent="0.25">
      <c r="A226" s="27" t="s">
        <v>171</v>
      </c>
      <c r="B226" s="30">
        <f xml:space="preserve"> 16689</f>
        <v>16689</v>
      </c>
      <c r="C226" s="30">
        <v>1.0076470532738075</v>
      </c>
      <c r="D226" s="30">
        <f t="shared" si="7"/>
        <v>16562.346851288916</v>
      </c>
      <c r="E226" s="30">
        <f t="shared" si="9"/>
        <v>16979.680837727388</v>
      </c>
      <c r="F226" s="30">
        <f t="shared" si="10"/>
        <v>17101.819523368777</v>
      </c>
      <c r="G226" s="30">
        <f t="shared" si="11"/>
        <v>-539.47267207986079</v>
      </c>
      <c r="H226" s="30">
        <f t="shared" si="8"/>
        <v>17232.598048343021</v>
      </c>
      <c r="I226" s="30">
        <f t="shared" si="12"/>
        <v>-543.59804834302122</v>
      </c>
    </row>
    <row r="227" spans="1:9" ht="15" customHeight="1" x14ac:dyDescent="0.25">
      <c r="A227" s="27" t="s">
        <v>172</v>
      </c>
      <c r="B227" s="30">
        <f xml:space="preserve"> 16804</f>
        <v>16804</v>
      </c>
      <c r="C227" s="30">
        <v>1.0242421211021173</v>
      </c>
      <c r="D227" s="30">
        <f t="shared" si="7"/>
        <v>16406.277045039271</v>
      </c>
      <c r="E227" s="30">
        <f t="shared" si="9"/>
        <v>16849.860016015133</v>
      </c>
      <c r="F227" s="30">
        <f t="shared" si="10"/>
        <v>16979.680837727388</v>
      </c>
      <c r="G227" s="30">
        <f t="shared" si="11"/>
        <v>-573.40379268811739</v>
      </c>
      <c r="H227" s="30">
        <f t="shared" si="8"/>
        <v>17391.304316870875</v>
      </c>
      <c r="I227" s="30">
        <f t="shared" si="12"/>
        <v>-587.30431687087548</v>
      </c>
    </row>
    <row r="228" spans="1:9" ht="15" customHeight="1" x14ac:dyDescent="0.25">
      <c r="A228" s="27" t="s">
        <v>173</v>
      </c>
      <c r="B228" s="30">
        <f xml:space="preserve"> 16543</f>
        <v>16543</v>
      </c>
      <c r="C228" s="30">
        <v>0.94663970878958614</v>
      </c>
      <c r="D228" s="30">
        <f t="shared" si="7"/>
        <v>17475.497643293016</v>
      </c>
      <c r="E228" s="30">
        <f t="shared" si="9"/>
        <v>16991.506778563664</v>
      </c>
      <c r="F228" s="30">
        <f t="shared" si="10"/>
        <v>16849.860016015133</v>
      </c>
      <c r="G228" s="30">
        <f t="shared" si="11"/>
        <v>625.63762727788344</v>
      </c>
      <c r="H228" s="30">
        <f t="shared" si="8"/>
        <v>15950.746578705857</v>
      </c>
      <c r="I228" s="30">
        <f t="shared" si="12"/>
        <v>592.25342129414275</v>
      </c>
    </row>
    <row r="229" spans="1:9" ht="15" customHeight="1" x14ac:dyDescent="0.25">
      <c r="A229" s="27" t="s">
        <v>174</v>
      </c>
      <c r="B229" s="30">
        <f xml:space="preserve"> 16045</f>
        <v>16045</v>
      </c>
      <c r="C229" s="30">
        <v>0.9050536648720291</v>
      </c>
      <c r="D229" s="30">
        <f t="shared" si="7"/>
        <v>17728.230515776871</v>
      </c>
      <c r="E229" s="30">
        <f t="shared" si="9"/>
        <v>17158.303863200254</v>
      </c>
      <c r="F229" s="30">
        <f t="shared" si="10"/>
        <v>16991.506778563664</v>
      </c>
      <c r="G229" s="30">
        <f t="shared" si="11"/>
        <v>736.72373721320764</v>
      </c>
      <c r="H229" s="30">
        <f t="shared" si="8"/>
        <v>15378.22548163697</v>
      </c>
      <c r="I229" s="30">
        <f t="shared" si="12"/>
        <v>666.77451836303044</v>
      </c>
    </row>
    <row r="230" spans="1:9" ht="15" customHeight="1" x14ac:dyDescent="0.25">
      <c r="A230" s="27" t="s">
        <v>175</v>
      </c>
      <c r="B230" s="30">
        <f xml:space="preserve"> 16896</f>
        <v>16896</v>
      </c>
      <c r="C230" s="30">
        <v>0.90657052885571165</v>
      </c>
      <c r="D230" s="30">
        <f t="shared" si="7"/>
        <v>18637.270308495921</v>
      </c>
      <c r="E230" s="30">
        <f t="shared" si="9"/>
        <v>17493.147548682413</v>
      </c>
      <c r="F230" s="30">
        <f t="shared" si="10"/>
        <v>17158.303863200254</v>
      </c>
      <c r="G230" s="30">
        <f t="shared" si="11"/>
        <v>1478.9664452956677</v>
      </c>
      <c r="H230" s="30">
        <f t="shared" si="8"/>
        <v>15555.212607528454</v>
      </c>
      <c r="I230" s="30">
        <f t="shared" si="12"/>
        <v>1340.7873924715459</v>
      </c>
    </row>
    <row r="231" spans="1:9" ht="15" customHeight="1" x14ac:dyDescent="0.25">
      <c r="A231" s="27" t="s">
        <v>176</v>
      </c>
      <c r="B231" s="30">
        <f xml:space="preserve"> 16546</f>
        <v>16546</v>
      </c>
      <c r="C231" s="30">
        <v>0.90805598066695403</v>
      </c>
      <c r="D231" s="30">
        <f t="shared" si="7"/>
        <v>18221.343565015894</v>
      </c>
      <c r="E231" s="30">
        <f t="shared" si="9"/>
        <v>17658.013924547879</v>
      </c>
      <c r="F231" s="30">
        <f t="shared" si="10"/>
        <v>17493.147548682413</v>
      </c>
      <c r="G231" s="30">
        <f t="shared" si="11"/>
        <v>728.19601633348066</v>
      </c>
      <c r="H231" s="30">
        <f t="shared" si="8"/>
        <v>15884.757252270532</v>
      </c>
      <c r="I231" s="30">
        <f t="shared" si="12"/>
        <v>661.24274772946774</v>
      </c>
    </row>
    <row r="232" spans="1:9" ht="15" customHeight="1" x14ac:dyDescent="0.25">
      <c r="A232" s="27" t="s">
        <v>177</v>
      </c>
      <c r="B232" s="30">
        <f xml:space="preserve"> 15039</f>
        <v>15039</v>
      </c>
      <c r="C232" s="30">
        <v>0.88554664064815469</v>
      </c>
      <c r="D232" s="30">
        <f t="shared" si="7"/>
        <v>16982.730564019264</v>
      </c>
      <c r="E232" s="30">
        <f t="shared" si="9"/>
        <v>17505.127177249851</v>
      </c>
      <c r="F232" s="30">
        <f t="shared" si="10"/>
        <v>17658.013924547879</v>
      </c>
      <c r="G232" s="30">
        <f t="shared" si="11"/>
        <v>-675.28336052861414</v>
      </c>
      <c r="H232" s="30">
        <f t="shared" si="8"/>
        <v>15636.994911401713</v>
      </c>
      <c r="I232" s="30">
        <f t="shared" si="12"/>
        <v>-597.99491140171267</v>
      </c>
    </row>
    <row r="233" spans="1:9" ht="15" customHeight="1" x14ac:dyDescent="0.25">
      <c r="A233" s="27" t="s">
        <v>178</v>
      </c>
      <c r="B233" s="30">
        <f xml:space="preserve"> 16872</f>
        <v>16872</v>
      </c>
      <c r="C233" s="30">
        <v>0.91566790449517033</v>
      </c>
      <c r="D233" s="30">
        <f t="shared" si="7"/>
        <v>18425.894275831299</v>
      </c>
      <c r="E233" s="30">
        <f t="shared" si="9"/>
        <v>17713.59238600453</v>
      </c>
      <c r="F233" s="30">
        <f t="shared" si="10"/>
        <v>17505.127177249851</v>
      </c>
      <c r="G233" s="30">
        <f t="shared" si="11"/>
        <v>920.7670985814475</v>
      </c>
      <c r="H233" s="30">
        <f t="shared" si="8"/>
        <v>16028.883120313827</v>
      </c>
      <c r="I233" s="30">
        <f t="shared" si="12"/>
        <v>843.11687968617298</v>
      </c>
    </row>
    <row r="234" spans="1:9" ht="15" customHeight="1" x14ac:dyDescent="0.25">
      <c r="A234" s="27" t="s">
        <v>179</v>
      </c>
      <c r="B234" s="30">
        <f xml:space="preserve"> 17068</f>
        <v>17068</v>
      </c>
      <c r="C234" s="30">
        <v>1.0046707510607737</v>
      </c>
      <c r="D234" s="30">
        <f t="shared" si="7"/>
        <v>16988.650243852411</v>
      </c>
      <c r="E234" s="30">
        <f t="shared" si="9"/>
        <v>17549.46269975528</v>
      </c>
      <c r="F234" s="30">
        <f t="shared" si="10"/>
        <v>17713.59238600453</v>
      </c>
      <c r="G234" s="30">
        <f t="shared" si="11"/>
        <v>-724.94214215211832</v>
      </c>
      <c r="H234" s="30">
        <f t="shared" si="8"/>
        <v>17796.328166431573</v>
      </c>
      <c r="I234" s="30">
        <f t="shared" si="12"/>
        <v>-728.32816643157275</v>
      </c>
    </row>
    <row r="235" spans="1:9" ht="15" customHeight="1" x14ac:dyDescent="0.25">
      <c r="A235" s="27" t="s">
        <v>180</v>
      </c>
      <c r="B235" s="30">
        <f xml:space="preserve"> 17368</f>
        <v>17368</v>
      </c>
      <c r="C235" s="30">
        <v>1.0984136010088161</v>
      </c>
      <c r="D235" s="30">
        <f t="shared" si="7"/>
        <v>15811.894521379474</v>
      </c>
      <c r="E235" s="30">
        <f t="shared" si="9"/>
        <v>17156.070588342256</v>
      </c>
      <c r="F235" s="30">
        <f t="shared" si="10"/>
        <v>17549.46269975528</v>
      </c>
      <c r="G235" s="30">
        <f t="shared" si="11"/>
        <v>-1737.5681783758064</v>
      </c>
      <c r="H235" s="30">
        <f t="shared" si="8"/>
        <v>19276.568519808097</v>
      </c>
      <c r="I235" s="30">
        <f t="shared" si="12"/>
        <v>-1908.5685198080973</v>
      </c>
    </row>
    <row r="236" spans="1:9" ht="15" customHeight="1" x14ac:dyDescent="0.25">
      <c r="A236" s="27" t="s">
        <v>181</v>
      </c>
      <c r="B236" s="30">
        <f xml:space="preserve"> 20287</f>
        <v>20287</v>
      </c>
      <c r="C236" s="30">
        <v>1.1681866116143564</v>
      </c>
      <c r="D236" s="30">
        <f t="shared" si="7"/>
        <v>17366.232242607806</v>
      </c>
      <c r="E236" s="30">
        <f t="shared" si="9"/>
        <v>17203.651994320153</v>
      </c>
      <c r="F236" s="30">
        <f t="shared" si="10"/>
        <v>17156.070588342256</v>
      </c>
      <c r="G236" s="30">
        <f t="shared" si="11"/>
        <v>210.16165426555017</v>
      </c>
      <c r="H236" s="30">
        <f t="shared" si="8"/>
        <v>20041.49196921226</v>
      </c>
      <c r="I236" s="30">
        <f t="shared" si="12"/>
        <v>245.5080307877397</v>
      </c>
    </row>
    <row r="237" spans="1:9" ht="15" customHeight="1" x14ac:dyDescent="0.25">
      <c r="A237" s="27" t="s">
        <v>182</v>
      </c>
      <c r="B237" s="30">
        <f xml:space="preserve"> 22133</f>
        <v>22133</v>
      </c>
      <c r="C237" s="30">
        <v>1.229305276209552</v>
      </c>
      <c r="D237" s="30">
        <f t="shared" si="7"/>
        <v>18004.478162043717</v>
      </c>
      <c r="E237" s="30">
        <f t="shared" si="9"/>
        <v>17384.962115509214</v>
      </c>
      <c r="F237" s="30">
        <f t="shared" si="10"/>
        <v>17203.651994320153</v>
      </c>
      <c r="G237" s="30">
        <f t="shared" si="11"/>
        <v>800.82616772356414</v>
      </c>
      <c r="H237" s="30">
        <f t="shared" si="8"/>
        <v>21148.540166690746</v>
      </c>
      <c r="I237" s="30">
        <f t="shared" si="12"/>
        <v>984.45983330925446</v>
      </c>
    </row>
    <row r="238" spans="1:9" ht="15" customHeight="1" x14ac:dyDescent="0.25">
      <c r="A238" s="27" t="s">
        <v>183</v>
      </c>
      <c r="B238" s="30">
        <f xml:space="preserve"> 18534</f>
        <v>18534</v>
      </c>
      <c r="C238" s="30">
        <v>1.0076470532738075</v>
      </c>
      <c r="D238" s="30">
        <f t="shared" si="7"/>
        <v>18393.345110059843</v>
      </c>
      <c r="E238" s="30">
        <f t="shared" si="9"/>
        <v>17613.263899736216</v>
      </c>
      <c r="F238" s="30">
        <f t="shared" si="10"/>
        <v>17384.962115509214</v>
      </c>
      <c r="G238" s="30">
        <f t="shared" si="11"/>
        <v>1008.3829945506295</v>
      </c>
      <c r="H238" s="30">
        <f t="shared" si="8"/>
        <v>17517.905846969639</v>
      </c>
      <c r="I238" s="30">
        <f t="shared" si="12"/>
        <v>1016.0941530303608</v>
      </c>
    </row>
    <row r="239" spans="1:9" ht="15" customHeight="1" x14ac:dyDescent="0.25">
      <c r="A239" s="27" t="s">
        <v>184</v>
      </c>
      <c r="B239" s="30">
        <f xml:space="preserve"> 18978</f>
        <v>18978</v>
      </c>
      <c r="C239" s="30">
        <v>1.0242421211021173</v>
      </c>
      <c r="D239" s="30">
        <f t="shared" si="7"/>
        <v>18528.822051937354</v>
      </c>
      <c r="E239" s="30">
        <f t="shared" si="9"/>
        <v>17820.549783017344</v>
      </c>
      <c r="F239" s="30">
        <f t="shared" si="10"/>
        <v>17613.263899736216</v>
      </c>
      <c r="G239" s="30">
        <f t="shared" si="11"/>
        <v>915.558152201138</v>
      </c>
      <c r="H239" s="30">
        <f t="shared" si="8"/>
        <v>18040.246776197171</v>
      </c>
      <c r="I239" s="30">
        <f t="shared" si="12"/>
        <v>937.75322380282887</v>
      </c>
    </row>
    <row r="240" spans="1:9" ht="15" customHeight="1" x14ac:dyDescent="0.25">
      <c r="A240" s="27" t="s">
        <v>185</v>
      </c>
      <c r="B240" s="30">
        <f xml:space="preserve"> 15800</f>
        <v>15800</v>
      </c>
      <c r="C240" s="30">
        <v>0.94663970878958614</v>
      </c>
      <c r="D240" s="30">
        <f t="shared" si="7"/>
        <v>16690.616137582641</v>
      </c>
      <c r="E240" s="30">
        <f t="shared" si="9"/>
        <v>17564.728464426167</v>
      </c>
      <c r="F240" s="30">
        <f t="shared" si="10"/>
        <v>17820.549783017344</v>
      </c>
      <c r="G240" s="30">
        <f t="shared" si="11"/>
        <v>-1129.9336454347031</v>
      </c>
      <c r="H240" s="30">
        <f t="shared" si="8"/>
        <v>16869.640057065862</v>
      </c>
      <c r="I240" s="30">
        <f t="shared" si="12"/>
        <v>-1069.6400570658625</v>
      </c>
    </row>
    <row r="241" spans="1:9" ht="15" customHeight="1" x14ac:dyDescent="0.25">
      <c r="A241" s="27" t="s">
        <v>186</v>
      </c>
      <c r="B241" s="30">
        <f xml:space="preserve"> 16379</f>
        <v>16379</v>
      </c>
      <c r="C241" s="30">
        <v>0.9050536648720291</v>
      </c>
      <c r="D241" s="30">
        <f t="shared" si="7"/>
        <v>18097.269405915198</v>
      </c>
      <c r="E241" s="30">
        <f t="shared" si="9"/>
        <v>17685.297779629716</v>
      </c>
      <c r="F241" s="30">
        <f t="shared" si="10"/>
        <v>17564.728464426167</v>
      </c>
      <c r="G241" s="30">
        <f t="shared" si="11"/>
        <v>532.54094148903096</v>
      </c>
      <c r="H241" s="30">
        <f t="shared" si="8"/>
        <v>15897.02186921095</v>
      </c>
      <c r="I241" s="30">
        <f t="shared" si="12"/>
        <v>481.97813078904983</v>
      </c>
    </row>
    <row r="242" spans="1:9" ht="15" customHeight="1" x14ac:dyDescent="0.25">
      <c r="A242" s="27" t="s">
        <v>187</v>
      </c>
      <c r="B242" s="30">
        <f xml:space="preserve"> 15686</f>
        <v>15686</v>
      </c>
      <c r="C242" s="30">
        <v>0.90657052885571165</v>
      </c>
      <c r="D242" s="30">
        <f t="shared" si="7"/>
        <v>17302.56996088228</v>
      </c>
      <c r="E242" s="30">
        <f t="shared" si="9"/>
        <v>17598.646731004796</v>
      </c>
      <c r="F242" s="30">
        <f t="shared" si="10"/>
        <v>17685.297779629716</v>
      </c>
      <c r="G242" s="30">
        <f t="shared" si="11"/>
        <v>-382.72781874743669</v>
      </c>
      <c r="H242" s="30">
        <f t="shared" si="8"/>
        <v>16032.969761049655</v>
      </c>
      <c r="I242" s="30">
        <f t="shared" si="12"/>
        <v>-346.96976104965506</v>
      </c>
    </row>
    <row r="243" spans="1:9" ht="15" customHeight="1" x14ac:dyDescent="0.25">
      <c r="A243" s="27" t="s">
        <v>188</v>
      </c>
      <c r="B243" s="30">
        <f xml:space="preserve"> 17447</f>
        <v>17447</v>
      </c>
      <c r="C243" s="30">
        <v>0.90805598066695403</v>
      </c>
      <c r="D243" s="30">
        <f t="shared" si="7"/>
        <v>19213.57314026546</v>
      </c>
      <c r="E243" s="30">
        <f t="shared" si="9"/>
        <v>17964.272274693991</v>
      </c>
      <c r="F243" s="30">
        <f t="shared" si="10"/>
        <v>17598.646731004796</v>
      </c>
      <c r="G243" s="30">
        <f t="shared" si="11"/>
        <v>1614.9264092606645</v>
      </c>
      <c r="H243" s="30">
        <f t="shared" ref="H243:H270" si="13">F243*C243</f>
        <v>15980.556415733845</v>
      </c>
      <c r="I243" s="30">
        <f t="shared" si="12"/>
        <v>1466.4435842661551</v>
      </c>
    </row>
    <row r="244" spans="1:9" ht="15" customHeight="1" x14ac:dyDescent="0.25">
      <c r="A244" s="27" t="s">
        <v>189</v>
      </c>
      <c r="B244" s="30">
        <f xml:space="preserve"> 15853</f>
        <v>15853</v>
      </c>
      <c r="C244" s="30">
        <v>0.88554664064815469</v>
      </c>
      <c r="D244" s="30">
        <f t="shared" si="7"/>
        <v>17901.936806396527</v>
      </c>
      <c r="E244" s="30">
        <f t="shared" si="9"/>
        <v>17950.159285175283</v>
      </c>
      <c r="F244" s="30">
        <f t="shared" si="10"/>
        <v>17964.272274693991</v>
      </c>
      <c r="G244" s="30">
        <f t="shared" si="11"/>
        <v>-62.335468297464104</v>
      </c>
      <c r="H244" s="30">
        <f t="shared" si="13"/>
        <v>15908.200964544048</v>
      </c>
      <c r="I244" s="30">
        <f t="shared" si="12"/>
        <v>-55.200964544048475</v>
      </c>
    </row>
    <row r="245" spans="1:9" ht="15" customHeight="1" x14ac:dyDescent="0.25">
      <c r="A245" s="27" t="s">
        <v>190</v>
      </c>
      <c r="B245" s="30">
        <f xml:space="preserve"> 16267</f>
        <v>16267</v>
      </c>
      <c r="C245" s="30">
        <v>0.91566790449517033</v>
      </c>
      <c r="D245" s="30">
        <f t="shared" si="7"/>
        <v>17765.174382701978</v>
      </c>
      <c r="E245" s="30">
        <f t="shared" si="9"/>
        <v>17908.27799253356</v>
      </c>
      <c r="F245" s="30">
        <f t="shared" si="10"/>
        <v>17950.159285175283</v>
      </c>
      <c r="G245" s="30">
        <f t="shared" si="11"/>
        <v>-184.98490247330483</v>
      </c>
      <c r="H245" s="30">
        <f t="shared" si="13"/>
        <v>16436.384738010976</v>
      </c>
      <c r="I245" s="30">
        <f t="shared" si="12"/>
        <v>-169.38473801097643</v>
      </c>
    </row>
    <row r="246" spans="1:9" ht="15" customHeight="1" x14ac:dyDescent="0.25">
      <c r="A246" s="27" t="s">
        <v>191</v>
      </c>
      <c r="B246" s="30">
        <f xml:space="preserve"> 18437</f>
        <v>18437</v>
      </c>
      <c r="C246" s="30">
        <v>1.0046707510607737</v>
      </c>
      <c r="D246" s="30">
        <f t="shared" si="7"/>
        <v>18351.285712790421</v>
      </c>
      <c r="E246" s="30">
        <f t="shared" si="9"/>
        <v>18008.576642458778</v>
      </c>
      <c r="F246" s="30">
        <f t="shared" si="10"/>
        <v>17908.27799253356</v>
      </c>
      <c r="G246" s="30">
        <f t="shared" si="11"/>
        <v>443.00772025686092</v>
      </c>
      <c r="H246" s="30">
        <f t="shared" si="13"/>
        <v>17991.923100963817</v>
      </c>
      <c r="I246" s="30">
        <f t="shared" si="12"/>
        <v>445.07689903618302</v>
      </c>
    </row>
    <row r="247" spans="1:9" ht="15" customHeight="1" x14ac:dyDescent="0.25">
      <c r="A247" s="27" t="s">
        <v>192</v>
      </c>
      <c r="B247" s="30">
        <f xml:space="preserve"> 19665</f>
        <v>19665</v>
      </c>
      <c r="C247" s="30">
        <v>1.0984136010088161</v>
      </c>
      <c r="D247" s="30">
        <f t="shared" si="7"/>
        <v>17903.092224949756</v>
      </c>
      <c r="E247" s="30">
        <f t="shared" si="9"/>
        <v>17984.694565058031</v>
      </c>
      <c r="F247" s="30">
        <f t="shared" si="10"/>
        <v>18008.576642458778</v>
      </c>
      <c r="G247" s="30">
        <f t="shared" si="11"/>
        <v>-105.48441750902202</v>
      </c>
      <c r="H247" s="30">
        <f t="shared" si="13"/>
        <v>19780.865518886403</v>
      </c>
      <c r="I247" s="30">
        <f t="shared" si="12"/>
        <v>-115.86551888640315</v>
      </c>
    </row>
    <row r="248" spans="1:9" ht="15" customHeight="1" x14ac:dyDescent="0.25">
      <c r="A248" s="27" t="s">
        <v>193</v>
      </c>
      <c r="B248" s="30">
        <f xml:space="preserve"> 22022</f>
        <v>22022</v>
      </c>
      <c r="C248" s="30">
        <v>1.1681866116143564</v>
      </c>
      <c r="D248" s="30">
        <f t="shared" si="7"/>
        <v>18851.440156095487</v>
      </c>
      <c r="E248" s="30">
        <f t="shared" si="9"/>
        <v>18180.929096951262</v>
      </c>
      <c r="F248" s="30">
        <f t="shared" si="10"/>
        <v>17984.694565058031</v>
      </c>
      <c r="G248" s="30">
        <f t="shared" si="11"/>
        <v>866.7455910374556</v>
      </c>
      <c r="H248" s="30">
        <f t="shared" si="13"/>
        <v>21009.479404874273</v>
      </c>
      <c r="I248" s="30">
        <f t="shared" si="12"/>
        <v>1012.5205951257267</v>
      </c>
    </row>
    <row r="249" spans="1:9" ht="15" customHeight="1" x14ac:dyDescent="0.25">
      <c r="A249" s="27" t="s">
        <v>194</v>
      </c>
      <c r="B249" s="30">
        <f xml:space="preserve"> 21775</f>
        <v>21775</v>
      </c>
      <c r="C249" s="30">
        <v>1.229305276209552</v>
      </c>
      <c r="D249" s="30">
        <f t="shared" si="7"/>
        <v>17713.256764943839</v>
      </c>
      <c r="E249" s="30">
        <f t="shared" si="9"/>
        <v>18075.046284162974</v>
      </c>
      <c r="F249" s="30">
        <f t="shared" si="10"/>
        <v>18180.929096951262</v>
      </c>
      <c r="G249" s="30">
        <f t="shared" si="11"/>
        <v>-467.67233200742339</v>
      </c>
      <c r="H249" s="30">
        <f t="shared" si="13"/>
        <v>22349.912065273951</v>
      </c>
      <c r="I249" s="30">
        <f t="shared" si="12"/>
        <v>-574.91206527395116</v>
      </c>
    </row>
    <row r="250" spans="1:9" ht="15" customHeight="1" x14ac:dyDescent="0.25">
      <c r="A250" s="27" t="s">
        <v>195</v>
      </c>
      <c r="B250" s="30">
        <f xml:space="preserve"> 18675</f>
        <v>18675</v>
      </c>
      <c r="C250" s="30">
        <v>1.0076470532738075</v>
      </c>
      <c r="D250" s="30">
        <f t="shared" si="7"/>
        <v>18533.275058291118</v>
      </c>
      <c r="E250" s="30">
        <f t="shared" si="9"/>
        <v>18178.791039164746</v>
      </c>
      <c r="F250" s="30">
        <f t="shared" si="10"/>
        <v>18075.046284162974</v>
      </c>
      <c r="G250" s="30">
        <f t="shared" si="11"/>
        <v>458.22877412814341</v>
      </c>
      <c r="H250" s="30">
        <f t="shared" si="13"/>
        <v>18213.267126024504</v>
      </c>
      <c r="I250" s="30">
        <f t="shared" si="12"/>
        <v>461.73287397549575</v>
      </c>
    </row>
    <row r="251" spans="1:9" ht="15" customHeight="1" x14ac:dyDescent="0.25">
      <c r="A251" s="27" t="s">
        <v>196</v>
      </c>
      <c r="B251" s="30">
        <f xml:space="preserve"> 18869</f>
        <v>18869</v>
      </c>
      <c r="C251" s="30">
        <v>1.0242421211021173</v>
      </c>
      <c r="D251" s="30">
        <f t="shared" si="7"/>
        <v>18422.401902097477</v>
      </c>
      <c r="E251" s="30">
        <f t="shared" si="9"/>
        <v>18233.94547449852</v>
      </c>
      <c r="F251" s="30">
        <f t="shared" si="10"/>
        <v>18178.791039164746</v>
      </c>
      <c r="G251" s="30">
        <f t="shared" si="11"/>
        <v>243.61086293273183</v>
      </c>
      <c r="H251" s="30">
        <f t="shared" si="13"/>
        <v>18619.483493026262</v>
      </c>
      <c r="I251" s="30">
        <f t="shared" si="12"/>
        <v>249.51650697373771</v>
      </c>
    </row>
    <row r="252" spans="1:9" ht="15" customHeight="1" x14ac:dyDescent="0.25">
      <c r="A252" s="27" t="s">
        <v>197</v>
      </c>
      <c r="B252" s="30">
        <f xml:space="preserve"> 17166</f>
        <v>17166</v>
      </c>
      <c r="C252" s="30">
        <v>0.94663970878958614</v>
      </c>
      <c r="D252" s="30">
        <f t="shared" si="7"/>
        <v>18133.614975806559</v>
      </c>
      <c r="E252" s="30">
        <f t="shared" si="9"/>
        <v>18211.230264119582</v>
      </c>
      <c r="F252" s="30">
        <f t="shared" si="10"/>
        <v>18233.94547449852</v>
      </c>
      <c r="G252" s="30">
        <f t="shared" si="11"/>
        <v>-100.33049869196111</v>
      </c>
      <c r="H252" s="30">
        <f t="shared" si="13"/>
        <v>17260.97683406447</v>
      </c>
      <c r="I252" s="30">
        <f t="shared" si="12"/>
        <v>-94.976834064469585</v>
      </c>
    </row>
    <row r="253" spans="1:9" ht="15" customHeight="1" x14ac:dyDescent="0.25">
      <c r="A253" s="27" t="s">
        <v>198</v>
      </c>
      <c r="B253" s="30">
        <f xml:space="preserve"> 16354</f>
        <v>16354</v>
      </c>
      <c r="C253" s="30">
        <v>0.9050536648720291</v>
      </c>
      <c r="D253" s="30">
        <f t="shared" si="7"/>
        <v>18069.646734497659</v>
      </c>
      <c r="E253" s="30">
        <f t="shared" si="9"/>
        <v>18179.175209041776</v>
      </c>
      <c r="F253" s="30">
        <f t="shared" si="10"/>
        <v>18211.230264119582</v>
      </c>
      <c r="G253" s="30">
        <f t="shared" si="11"/>
        <v>-141.58352962192293</v>
      </c>
      <c r="H253" s="30">
        <f t="shared" si="13"/>
        <v>16482.140692369838</v>
      </c>
      <c r="I253" s="30">
        <f t="shared" si="12"/>
        <v>-128.14069236983778</v>
      </c>
    </row>
    <row r="254" spans="1:9" ht="15" customHeight="1" x14ac:dyDescent="0.25">
      <c r="A254" s="27" t="s">
        <v>199</v>
      </c>
      <c r="B254" s="30">
        <f xml:space="preserve"> 16719</f>
        <v>16719</v>
      </c>
      <c r="C254" s="30">
        <v>0.90657052885571165</v>
      </c>
      <c r="D254" s="30">
        <f t="shared" si="7"/>
        <v>18442.029017977231</v>
      </c>
      <c r="E254" s="30">
        <f t="shared" si="9"/>
        <v>18238.686321282985</v>
      </c>
      <c r="F254" s="30">
        <f t="shared" si="10"/>
        <v>18179.175209041776</v>
      </c>
      <c r="G254" s="30">
        <f t="shared" si="11"/>
        <v>262.85380893545516</v>
      </c>
      <c r="H254" s="30">
        <f t="shared" si="13"/>
        <v>16480.704483421647</v>
      </c>
      <c r="I254" s="30">
        <f t="shared" si="12"/>
        <v>238.29551657835327</v>
      </c>
    </row>
    <row r="255" spans="1:9" ht="15" customHeight="1" x14ac:dyDescent="0.25">
      <c r="A255" s="27" t="s">
        <v>200</v>
      </c>
      <c r="B255" s="30">
        <f xml:space="preserve"> 16232</f>
        <v>16232</v>
      </c>
      <c r="C255" s="30">
        <v>0.90805598066695403</v>
      </c>
      <c r="D255" s="30">
        <f t="shared" si="7"/>
        <v>17875.549906160886</v>
      </c>
      <c r="E255" s="30">
        <f t="shared" si="9"/>
        <v>18156.470841710048</v>
      </c>
      <c r="F255" s="30">
        <f t="shared" si="10"/>
        <v>18238.686321282985</v>
      </c>
      <c r="G255" s="30">
        <f t="shared" si="11"/>
        <v>-363.1364151220987</v>
      </c>
      <c r="H255" s="30">
        <f t="shared" si="13"/>
        <v>16561.748193549582</v>
      </c>
      <c r="I255" s="30">
        <f t="shared" si="12"/>
        <v>-329.74819354958163</v>
      </c>
    </row>
    <row r="256" spans="1:9" ht="15" customHeight="1" x14ac:dyDescent="0.25">
      <c r="A256" s="27" t="s">
        <v>201</v>
      </c>
      <c r="B256" s="30">
        <f xml:space="preserve"> 15923</f>
        <v>15923</v>
      </c>
      <c r="C256" s="30">
        <v>0.88554664064815469</v>
      </c>
      <c r="D256" s="30">
        <f t="shared" si="7"/>
        <v>17980.984026256981</v>
      </c>
      <c r="E256" s="30">
        <f t="shared" si="9"/>
        <v>18116.739952461856</v>
      </c>
      <c r="F256" s="30">
        <f t="shared" si="10"/>
        <v>18156.470841710048</v>
      </c>
      <c r="G256" s="30">
        <f t="shared" si="11"/>
        <v>-175.48681545306681</v>
      </c>
      <c r="H256" s="30">
        <f t="shared" si="13"/>
        <v>16078.401759902506</v>
      </c>
      <c r="I256" s="30">
        <f t="shared" si="12"/>
        <v>-155.40175990250646</v>
      </c>
    </row>
    <row r="257" spans="1:9" ht="15" customHeight="1" x14ac:dyDescent="0.25">
      <c r="A257" s="27" t="s">
        <v>202</v>
      </c>
      <c r="B257" s="30">
        <f xml:space="preserve"> 17682</f>
        <v>17682</v>
      </c>
      <c r="C257" s="30">
        <v>0.91566790449517033</v>
      </c>
      <c r="D257" s="30">
        <f t="shared" si="7"/>
        <v>19310.494463326755</v>
      </c>
      <c r="E257" s="30">
        <f t="shared" si="9"/>
        <v>18387.010560189567</v>
      </c>
      <c r="F257" s="30">
        <f t="shared" si="10"/>
        <v>18116.739952461856</v>
      </c>
      <c r="G257" s="30">
        <f t="shared" si="11"/>
        <v>1193.7545108648992</v>
      </c>
      <c r="H257" s="30">
        <f t="shared" si="13"/>
        <v>16588.917308554679</v>
      </c>
      <c r="I257" s="30">
        <f t="shared" si="12"/>
        <v>1093.082691445321</v>
      </c>
    </row>
    <row r="258" spans="1:9" ht="15" customHeight="1" x14ac:dyDescent="0.25">
      <c r="A258" s="27" t="s">
        <v>203</v>
      </c>
      <c r="B258" s="30">
        <f xml:space="preserve"> 18182</f>
        <v>18182</v>
      </c>
      <c r="C258" s="30">
        <v>1.0046707510607737</v>
      </c>
      <c r="D258" s="30">
        <f t="shared" si="7"/>
        <v>18097.471217115337</v>
      </c>
      <c r="E258" s="30">
        <f t="shared" si="9"/>
        <v>18321.457740492107</v>
      </c>
      <c r="F258" s="30">
        <f t="shared" si="10"/>
        <v>18387.010560189567</v>
      </c>
      <c r="G258" s="30">
        <f t="shared" si="11"/>
        <v>-289.53934307422969</v>
      </c>
      <c r="H258" s="30">
        <f t="shared" si="13"/>
        <v>18472.891709268031</v>
      </c>
      <c r="I258" s="30">
        <f t="shared" si="12"/>
        <v>-290.89170926803126</v>
      </c>
    </row>
    <row r="259" spans="1:9" ht="15" customHeight="1" x14ac:dyDescent="0.25">
      <c r="A259" s="27" t="s">
        <v>204</v>
      </c>
      <c r="B259" s="30">
        <f xml:space="preserve"> 19671</f>
        <v>19671</v>
      </c>
      <c r="C259" s="30">
        <v>1.0984136010088161</v>
      </c>
      <c r="D259" s="30">
        <f t="shared" si="7"/>
        <v>17908.554648206798</v>
      </c>
      <c r="E259" s="30">
        <f t="shared" si="9"/>
        <v>18227.974894003219</v>
      </c>
      <c r="F259" s="30">
        <f t="shared" si="10"/>
        <v>18321.457740492107</v>
      </c>
      <c r="G259" s="30">
        <f t="shared" si="11"/>
        <v>-412.90309228530896</v>
      </c>
      <c r="H259" s="30">
        <f t="shared" si="13"/>
        <v>20124.538372464784</v>
      </c>
      <c r="I259" s="30">
        <f t="shared" si="12"/>
        <v>-453.53837246478361</v>
      </c>
    </row>
    <row r="260" spans="1:9" ht="15" customHeight="1" x14ac:dyDescent="0.25">
      <c r="A260" s="27" t="s">
        <v>205</v>
      </c>
      <c r="B260" s="30">
        <f xml:space="preserve"> 21998</f>
        <v>21998</v>
      </c>
      <c r="C260" s="30">
        <v>1.1681866116143564</v>
      </c>
      <c r="D260" s="30">
        <f t="shared" si="7"/>
        <v>18830.895493315253</v>
      </c>
      <c r="E260" s="30">
        <f t="shared" si="9"/>
        <v>18364.478434140259</v>
      </c>
      <c r="F260" s="30">
        <f t="shared" si="10"/>
        <v>18227.974894003219</v>
      </c>
      <c r="G260" s="30">
        <f t="shared" si="11"/>
        <v>602.92059931203403</v>
      </c>
      <c r="H260" s="30">
        <f t="shared" si="13"/>
        <v>21293.676228017179</v>
      </c>
      <c r="I260" s="30">
        <f t="shared" si="12"/>
        <v>704.3237719828212</v>
      </c>
    </row>
    <row r="261" spans="1:9" ht="15" customHeight="1" x14ac:dyDescent="0.25">
      <c r="A261" s="27" t="s">
        <v>206</v>
      </c>
      <c r="B261" s="30">
        <f xml:space="preserve"> 23076</f>
        <v>23076</v>
      </c>
      <c r="C261" s="30">
        <v>1.229305276209552</v>
      </c>
      <c r="D261" s="30">
        <f t="shared" si="7"/>
        <v>18771.578099097314</v>
      </c>
      <c r="E261" s="30">
        <f t="shared" si="9"/>
        <v>18456.647362384956</v>
      </c>
      <c r="F261" s="30">
        <f t="shared" si="10"/>
        <v>18364.478434140259</v>
      </c>
      <c r="G261" s="30">
        <f t="shared" si="11"/>
        <v>407.09966495705521</v>
      </c>
      <c r="H261" s="30">
        <f t="shared" si="13"/>
        <v>22575.550233925151</v>
      </c>
      <c r="I261" s="30">
        <f t="shared" si="12"/>
        <v>500.44976607484932</v>
      </c>
    </row>
    <row r="262" spans="1:9" ht="15" customHeight="1" x14ac:dyDescent="0.25">
      <c r="A262" s="40" t="s">
        <v>207</v>
      </c>
      <c r="B262" s="41">
        <f xml:space="preserve"> 18848</f>
        <v>18848</v>
      </c>
      <c r="C262" s="41">
        <v>1.0076470532738075</v>
      </c>
      <c r="D262" s="41">
        <f t="shared" si="7"/>
        <v>18704.962157894031</v>
      </c>
      <c r="E262" s="41">
        <f t="shared" si="9"/>
        <v>18512.866786126775</v>
      </c>
      <c r="F262" s="41">
        <f t="shared" si="10"/>
        <v>18456.647362384956</v>
      </c>
      <c r="G262" s="41">
        <f t="shared" si="11"/>
        <v>248.31479550907534</v>
      </c>
      <c r="H262" s="41">
        <f t="shared" si="13"/>
        <v>18597.786328020993</v>
      </c>
      <c r="I262" s="41">
        <f t="shared" si="12"/>
        <v>250.2136719790069</v>
      </c>
    </row>
    <row r="263" spans="1:9" ht="15" customHeight="1" x14ac:dyDescent="0.25">
      <c r="A263" s="27" t="s">
        <v>208</v>
      </c>
      <c r="B263" s="30"/>
      <c r="C263" s="30">
        <v>1.0242421211021173</v>
      </c>
      <c r="D263" s="30"/>
      <c r="E263" s="30"/>
      <c r="F263" s="30">
        <f>E262</f>
        <v>18512.866786126775</v>
      </c>
      <c r="G263" s="30"/>
      <c r="H263" s="30">
        <f t="shared" si="13"/>
        <v>18961.657944703427</v>
      </c>
      <c r="I263" s="30"/>
    </row>
    <row r="264" spans="1:9" ht="15" customHeight="1" x14ac:dyDescent="0.25">
      <c r="A264" s="27" t="s">
        <v>213</v>
      </c>
      <c r="B264" s="30"/>
      <c r="C264" s="30">
        <v>0.94663970878958614</v>
      </c>
      <c r="D264" s="30"/>
      <c r="E264" s="30"/>
      <c r="F264" s="30">
        <f>E262</f>
        <v>18512.866786126775</v>
      </c>
      <c r="G264" s="30"/>
      <c r="H264" s="30">
        <f t="shared" si="13"/>
        <v>17525.014823279453</v>
      </c>
      <c r="I264" s="30"/>
    </row>
    <row r="265" spans="1:9" ht="15" customHeight="1" x14ac:dyDescent="0.25">
      <c r="A265" s="27" t="s">
        <v>214</v>
      </c>
      <c r="B265" s="30"/>
      <c r="C265" s="30">
        <v>0.9050536648720291</v>
      </c>
      <c r="D265" s="30"/>
      <c r="E265" s="30"/>
      <c r="F265" s="30">
        <f>E262</f>
        <v>18512.866786126775</v>
      </c>
      <c r="G265" s="30"/>
      <c r="H265" s="30">
        <f t="shared" si="13"/>
        <v>16755.137932071699</v>
      </c>
      <c r="I265" s="30"/>
    </row>
    <row r="266" spans="1:9" ht="15" customHeight="1" x14ac:dyDescent="0.25">
      <c r="A266" s="27" t="s">
        <v>215</v>
      </c>
      <c r="B266" s="30"/>
      <c r="C266" s="30">
        <v>0.90657052885571165</v>
      </c>
      <c r="D266" s="30"/>
      <c r="E266" s="30"/>
      <c r="F266" s="30">
        <f>E262</f>
        <v>18512.866786126775</v>
      </c>
      <c r="G266" s="30"/>
      <c r="H266" s="30">
        <f t="shared" si="13"/>
        <v>16783.219432934289</v>
      </c>
      <c r="I266" s="30"/>
    </row>
    <row r="267" spans="1:9" ht="15" customHeight="1" x14ac:dyDescent="0.25">
      <c r="A267" s="27" t="s">
        <v>216</v>
      </c>
      <c r="B267" s="30"/>
      <c r="C267" s="30">
        <v>0.90805598066695403</v>
      </c>
      <c r="D267" s="30"/>
      <c r="E267" s="30"/>
      <c r="F267" s="30">
        <f>E262</f>
        <v>18512.866786126775</v>
      </c>
      <c r="G267" s="30"/>
      <c r="H267" s="30">
        <f t="shared" si="13"/>
        <v>16810.719404433032</v>
      </c>
      <c r="I267" s="30"/>
    </row>
    <row r="268" spans="1:9" ht="15" customHeight="1" x14ac:dyDescent="0.25">
      <c r="A268" s="27" t="s">
        <v>217</v>
      </c>
      <c r="B268" s="30"/>
      <c r="C268" s="30">
        <v>0.88554664064815469</v>
      </c>
      <c r="D268" s="30"/>
      <c r="E268" s="30"/>
      <c r="F268" s="30">
        <f>E262</f>
        <v>18512.866786126775</v>
      </c>
      <c r="G268" s="30"/>
      <c r="H268" s="30">
        <f t="shared" si="13"/>
        <v>16394.006991221366</v>
      </c>
      <c r="I268" s="30"/>
    </row>
    <row r="269" spans="1:9" ht="15" customHeight="1" x14ac:dyDescent="0.25">
      <c r="A269" s="27" t="s">
        <v>218</v>
      </c>
      <c r="B269" s="30"/>
      <c r="C269" s="30">
        <v>0.91566790449517033</v>
      </c>
      <c r="D269" s="30"/>
      <c r="E269" s="30"/>
      <c r="F269" s="30">
        <f>E262</f>
        <v>18512.866786126775</v>
      </c>
      <c r="G269" s="30"/>
      <c r="H269" s="30">
        <f t="shared" si="13"/>
        <v>16951.637936250943</v>
      </c>
      <c r="I269" s="30"/>
    </row>
    <row r="270" spans="1:9" ht="15" customHeight="1" x14ac:dyDescent="0.25">
      <c r="A270" s="27" t="s">
        <v>219</v>
      </c>
      <c r="B270" s="30"/>
      <c r="C270" s="30">
        <v>1.0046707510607737</v>
      </c>
      <c r="D270" s="30"/>
      <c r="E270" s="30"/>
      <c r="F270" s="30">
        <f>E262</f>
        <v>18512.866786126775</v>
      </c>
      <c r="G270" s="30"/>
      <c r="H270" s="30">
        <f t="shared" si="13"/>
        <v>18599.335778306038</v>
      </c>
      <c r="I270" s="30"/>
    </row>
  </sheetData>
  <pageMargins left="0.7" right="0.7" top="0.75" bottom="0.75" header="0.3" footer="0.3"/>
  <pageSetup paperSize="9" orientation="portrait"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9"/>
  <sheetViews>
    <sheetView showGridLines="0" topLeftCell="A178" workbookViewId="0">
      <selection activeCell="H201" sqref="H201"/>
    </sheetView>
  </sheetViews>
  <sheetFormatPr defaultColWidth="12.7109375" defaultRowHeight="15" x14ac:dyDescent="0.25"/>
  <cols>
    <col min="1" max="1" width="35.85546875" bestFit="1" customWidth="1"/>
    <col min="2" max="7" width="12.7109375" customWidth="1"/>
  </cols>
  <sheetData>
    <row r="1" spans="1:2" s="16" customFormat="1" ht="18.75" x14ac:dyDescent="0.3">
      <c r="A1" s="22" t="s">
        <v>75</v>
      </c>
      <c r="B1" s="20"/>
    </row>
    <row r="2" spans="1:2" s="16" customFormat="1" ht="11.25" x14ac:dyDescent="0.2">
      <c r="A2" s="18" t="s">
        <v>76</v>
      </c>
      <c r="B2" s="20" t="s">
        <v>77</v>
      </c>
    </row>
    <row r="3" spans="1:2" s="16" customFormat="1" ht="11.25" x14ac:dyDescent="0.2">
      <c r="A3" s="18" t="s">
        <v>78</v>
      </c>
      <c r="B3" s="20" t="s">
        <v>79</v>
      </c>
    </row>
    <row r="4" spans="1:2" s="16" customFormat="1" ht="11.25" x14ac:dyDescent="0.2">
      <c r="A4" s="18" t="s">
        <v>80</v>
      </c>
      <c r="B4" s="23">
        <v>45064</v>
      </c>
    </row>
    <row r="5" spans="1:2" s="17" customFormat="1" ht="11.25" x14ac:dyDescent="0.2">
      <c r="A5" s="19" t="s">
        <v>81</v>
      </c>
      <c r="B5" s="21" t="s">
        <v>82</v>
      </c>
    </row>
    <row r="7" spans="1:2" ht="15" customHeight="1" x14ac:dyDescent="0.25">
      <c r="A7" s="28" t="s">
        <v>234</v>
      </c>
      <c r="B7" s="25"/>
    </row>
    <row r="8" spans="1:2" ht="15" customHeight="1" thickBot="1" x14ac:dyDescent="0.3">
      <c r="A8" s="29" t="s">
        <v>226</v>
      </c>
      <c r="B8" s="26"/>
    </row>
    <row r="9" spans="1:2" ht="15" customHeight="1" thickTop="1" x14ac:dyDescent="0.25">
      <c r="A9" s="27" t="s">
        <v>229</v>
      </c>
      <c r="B9" s="35">
        <v>0.1403490202474737</v>
      </c>
    </row>
    <row r="10" spans="1:2" ht="15" customHeight="1" x14ac:dyDescent="0.25">
      <c r="A10" s="27" t="s">
        <v>230</v>
      </c>
      <c r="B10" s="35">
        <v>0</v>
      </c>
    </row>
    <row r="11" spans="1:2" ht="15" customHeight="1" x14ac:dyDescent="0.25">
      <c r="A11" s="27" t="s">
        <v>231</v>
      </c>
      <c r="B11" s="35">
        <v>0</v>
      </c>
    </row>
    <row r="12" spans="1:2" ht="15" customHeight="1" x14ac:dyDescent="0.25"/>
    <row r="13" spans="1:2" ht="15" customHeight="1" x14ac:dyDescent="0.25">
      <c r="A13" s="28"/>
      <c r="B13" s="25"/>
    </row>
    <row r="14" spans="1:2" ht="15" customHeight="1" thickBot="1" x14ac:dyDescent="0.3">
      <c r="A14" s="29" t="s">
        <v>228</v>
      </c>
      <c r="B14" s="26"/>
    </row>
    <row r="15" spans="1:2" ht="15" customHeight="1" thickTop="1" x14ac:dyDescent="0.25">
      <c r="A15" s="27" t="s">
        <v>88</v>
      </c>
      <c r="B15" s="30">
        <f>_xll.StatMeanAbs(G86:G201)</f>
        <v>577.68762920678978</v>
      </c>
    </row>
    <row r="16" spans="1:2" ht="15" customHeight="1" x14ac:dyDescent="0.25">
      <c r="A16" s="27" t="s">
        <v>89</v>
      </c>
      <c r="B16" s="30">
        <f>SQRT(SUMSQ(G86:G201)/_xll.StatCount(G86:G201))</f>
        <v>754.05708214827587</v>
      </c>
    </row>
    <row r="17" spans="1:2" ht="15" customHeight="1" x14ac:dyDescent="0.25">
      <c r="A17" s="27" t="s">
        <v>90</v>
      </c>
      <c r="B17" s="33">
        <f>_xll.StatPairMeanAbsQuotient(G86:G201,B86:B201)</f>
        <v>6.5930087934316497E-2</v>
      </c>
    </row>
    <row r="18" spans="1:2" ht="15" customHeight="1" x14ac:dyDescent="0.25"/>
    <row r="19" spans="1:2" ht="15" customHeight="1" x14ac:dyDescent="0.25"/>
    <row r="20" spans="1:2" ht="15" customHeight="1" x14ac:dyDescent="0.25"/>
    <row r="21" spans="1:2" ht="15" customHeight="1" x14ac:dyDescent="0.25"/>
    <row r="22" spans="1:2" ht="15" customHeight="1" x14ac:dyDescent="0.25"/>
    <row r="23" spans="1:2" ht="15" customHeight="1" x14ac:dyDescent="0.25"/>
    <row r="24" spans="1:2" ht="15" customHeight="1" x14ac:dyDescent="0.25"/>
    <row r="25" spans="1:2" ht="15" customHeight="1" x14ac:dyDescent="0.25"/>
    <row r="26" spans="1:2" ht="15" customHeight="1" x14ac:dyDescent="0.25"/>
    <row r="27" spans="1:2" ht="15" customHeight="1" x14ac:dyDescent="0.25"/>
    <row r="28" spans="1:2" ht="15" customHeight="1" x14ac:dyDescent="0.25"/>
    <row r="29" spans="1:2" ht="15" customHeight="1" x14ac:dyDescent="0.25"/>
    <row r="30" spans="1:2" ht="15" customHeight="1" x14ac:dyDescent="0.25"/>
    <row r="31" spans="1:2" ht="15" customHeight="1" x14ac:dyDescent="0.25"/>
    <row r="32" spans="1: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spans="1:11" ht="15" customHeight="1" x14ac:dyDescent="0.25"/>
    <row r="82" spans="1:11" ht="15" customHeight="1" x14ac:dyDescent="0.25"/>
    <row r="83" spans="1:11" ht="15" customHeight="1" x14ac:dyDescent="0.25">
      <c r="A83" s="28"/>
      <c r="B83" s="25"/>
      <c r="C83" s="25"/>
      <c r="D83" s="25"/>
      <c r="E83" s="25"/>
      <c r="F83" s="25"/>
      <c r="G83" s="25"/>
    </row>
    <row r="84" spans="1:11" ht="15" customHeight="1" thickBot="1" x14ac:dyDescent="0.3">
      <c r="A84" s="29" t="s">
        <v>86</v>
      </c>
      <c r="B84" s="26" t="s">
        <v>3</v>
      </c>
      <c r="C84" s="26" t="s">
        <v>232</v>
      </c>
      <c r="D84" s="26" t="s">
        <v>212</v>
      </c>
      <c r="E84" s="26" t="s">
        <v>222</v>
      </c>
      <c r="F84" s="26" t="s">
        <v>77</v>
      </c>
      <c r="G84" s="26" t="s">
        <v>209</v>
      </c>
      <c r="J84" s="47" t="s">
        <v>3</v>
      </c>
      <c r="K84" s="47"/>
    </row>
    <row r="85" spans="1:11" ht="15" customHeight="1" thickTop="1" thickBot="1" x14ac:dyDescent="0.3">
      <c r="A85" s="27" t="s">
        <v>91</v>
      </c>
      <c r="B85" s="30">
        <f xml:space="preserve"> 8164</f>
        <v>8164</v>
      </c>
      <c r="C85" s="30">
        <f>B85/ 0.796677560224874</f>
        <v>10247.558620448141</v>
      </c>
      <c r="D85" s="30">
        <f>(B201/ 1.12042315888683-B85/ 0.796677560224874)/ 117</f>
        <v>-4.7570702060906127</v>
      </c>
      <c r="E85" s="30">
        <f>$B$11*(B85/C85)+(1-$B$11)* 0.796677560224874</f>
        <v>0.79667756022487402</v>
      </c>
      <c r="F85" s="30"/>
      <c r="G85" s="30"/>
      <c r="J85" s="29" t="s">
        <v>86</v>
      </c>
      <c r="K85" s="26" t="s">
        <v>222</v>
      </c>
    </row>
    <row r="86" spans="1:11" ht="15" customHeight="1" thickTop="1" x14ac:dyDescent="0.25">
      <c r="A86" s="27" t="s">
        <v>92</v>
      </c>
      <c r="B86" s="30">
        <f xml:space="preserve"> 6751</f>
        <v>6751</v>
      </c>
      <c r="C86" s="30">
        <f>$B$9*B86/ 0.860107817903864+(1-$B$9)*(C85+D85)</f>
        <v>9906.8360895929527</v>
      </c>
      <c r="D86" s="30">
        <f>$B$10*(C86-C85)+(1-$B$10)*D85</f>
        <v>-4.7570702060906127</v>
      </c>
      <c r="E86" s="30">
        <f>$B$11*(B86/C86)+(1-$B$11)* 0.860107817903864</f>
        <v>0.86010781790386404</v>
      </c>
      <c r="F86" s="30">
        <f>(C85+D85)* 0.860107817903864</f>
        <v>8809.9136906010044</v>
      </c>
      <c r="G86" s="30">
        <f>B86-F86</f>
        <v>-2058.9136906010044</v>
      </c>
      <c r="J86" s="27" t="s">
        <v>96</v>
      </c>
      <c r="K86" s="34">
        <v>1.0839373094372999</v>
      </c>
    </row>
    <row r="87" spans="1:11" ht="15" customHeight="1" x14ac:dyDescent="0.25">
      <c r="A87" s="27" t="s">
        <v>93</v>
      </c>
      <c r="B87" s="30">
        <f xml:space="preserve"> 8435</f>
        <v>8435</v>
      </c>
      <c r="C87" s="30">
        <f>$B$9*B87/ 0.896621460220587+(1-$B$9)*(C86+D86)</f>
        <v>9832.6706000522645</v>
      </c>
      <c r="D87" s="30">
        <f t="shared" ref="D87:D150" si="0">$B$10*(C87-C86)+(1-$B$10)*D86</f>
        <v>-4.7570702060906127</v>
      </c>
      <c r="E87" s="30">
        <f>$B$11*(B87/C87)+(1-$B$11)* 0.896621460220587</f>
        <v>0.89662146022058697</v>
      </c>
      <c r="F87" s="30">
        <f>(C86+D86)* 0.896621460220587</f>
        <v>8878.4165495822854</v>
      </c>
      <c r="G87" s="30">
        <f t="shared" ref="G87:G150" si="1">B87-F87</f>
        <v>-443.41654958228537</v>
      </c>
      <c r="J87" s="27" t="s">
        <v>97</v>
      </c>
      <c r="K87" s="34">
        <v>1.1499841763423699</v>
      </c>
    </row>
    <row r="88" spans="1:11" ht="15" customHeight="1" x14ac:dyDescent="0.25">
      <c r="A88" s="27" t="s">
        <v>94</v>
      </c>
      <c r="B88" s="30">
        <f xml:space="preserve"> 8628</f>
        <v>8628</v>
      </c>
      <c r="C88" s="30">
        <f>$B$9*B88/ 0.960823082300474+(1-$B$9)*(C87+D87)</f>
        <v>9708.8817562285913</v>
      </c>
      <c r="D88" s="30">
        <f t="shared" si="0"/>
        <v>-4.7570702060906127</v>
      </c>
      <c r="E88" s="30">
        <f>$B$11*(B88/C88)+(1-$B$11)* 0.960823082300474</f>
        <v>0.96082308230047397</v>
      </c>
      <c r="F88" s="30">
        <f>(C87+D87)* 0.960823082300474</f>
        <v>9442.8861703293314</v>
      </c>
      <c r="G88" s="30">
        <f t="shared" si="1"/>
        <v>-814.88617032933143</v>
      </c>
      <c r="J88" s="27" t="s">
        <v>98</v>
      </c>
      <c r="K88" s="34">
        <v>1.1534390964451799</v>
      </c>
    </row>
    <row r="89" spans="1:11" ht="15" customHeight="1" x14ac:dyDescent="0.25">
      <c r="A89" s="27" t="s">
        <v>95</v>
      </c>
      <c r="B89" s="30">
        <f xml:space="preserve"> 8327</f>
        <v>8327</v>
      </c>
      <c r="C89" s="30">
        <f>$B$9*B89/ 1.00570617311771+(1-$B$9)*(C88+D88)</f>
        <v>9504.2156962827212</v>
      </c>
      <c r="D89" s="30">
        <f t="shared" si="0"/>
        <v>-4.7570702060906127</v>
      </c>
      <c r="E89" s="30">
        <f>$B$11*(B89/C89)+(1-$B$11)* 1.00570617311771</f>
        <v>1.0057061731177099</v>
      </c>
      <c r="F89" s="30">
        <f>(C88+D88)* 1.00570617311771</f>
        <v>9759.4981014367877</v>
      </c>
      <c r="G89" s="30">
        <f t="shared" si="1"/>
        <v>-1432.4981014367877</v>
      </c>
      <c r="J89" s="27" t="s">
        <v>99</v>
      </c>
      <c r="K89" s="34">
        <v>1.1204231588868301</v>
      </c>
    </row>
    <row r="90" spans="1:11" ht="15" customHeight="1" x14ac:dyDescent="0.25">
      <c r="A90" s="27" t="s">
        <v>96</v>
      </c>
      <c r="B90" s="30">
        <f xml:space="preserve"> 10286</f>
        <v>10286</v>
      </c>
      <c r="C90" s="30">
        <f>$B$9*B90/ 1.0839373094373+(1-$B$9)*(C89+D89)</f>
        <v>9498.0579519295716</v>
      </c>
      <c r="D90" s="30">
        <f t="shared" si="0"/>
        <v>-4.7570702060906127</v>
      </c>
      <c r="E90" s="30">
        <f>$B$11*(B90/C90)+(1-$B$11)* 1.0839373094373</f>
        <v>1.0839373094372999</v>
      </c>
      <c r="F90" s="30">
        <f>(C89+D89)* 1.0839373094373</f>
        <v>10296.817624260451</v>
      </c>
      <c r="G90" s="30">
        <f t="shared" si="1"/>
        <v>-10.817624260451339</v>
      </c>
      <c r="J90" s="27" t="s">
        <v>100</v>
      </c>
      <c r="K90" s="34">
        <v>1.07010504979721</v>
      </c>
    </row>
    <row r="91" spans="1:11" ht="15" customHeight="1" x14ac:dyDescent="0.25">
      <c r="A91" s="27" t="s">
        <v>97</v>
      </c>
      <c r="B91" s="30">
        <f xml:space="preserve"> 10368</f>
        <v>10368</v>
      </c>
      <c r="C91" s="30">
        <f>$B$9*B91/ 1.14998417634237+(1-$B$9)*(C90+D90)</f>
        <v>9426.28076447286</v>
      </c>
      <c r="D91" s="30">
        <f t="shared" si="0"/>
        <v>-4.7570702060906127</v>
      </c>
      <c r="E91" s="30">
        <f>$B$11*(B91/C91)+(1-$B$11)* 1.14998417634237</f>
        <v>1.1499841763423699</v>
      </c>
      <c r="F91" s="30">
        <f>(C90+D90)* 1.14998417634237</f>
        <v>10917.14579523907</v>
      </c>
      <c r="G91" s="30">
        <f t="shared" si="1"/>
        <v>-549.14579523907014</v>
      </c>
      <c r="J91" s="27" t="s">
        <v>101</v>
      </c>
      <c r="K91" s="34">
        <v>0.979935311848813</v>
      </c>
    </row>
    <row r="92" spans="1:11" ht="15" customHeight="1" x14ac:dyDescent="0.25">
      <c r="A92" s="27" t="s">
        <v>98</v>
      </c>
      <c r="B92" s="30">
        <f xml:space="preserve"> 11926</f>
        <v>11926</v>
      </c>
      <c r="C92" s="30">
        <f>$B$9*B92/ 1.15343909644518+(1-$B$9)*(C91+D91)</f>
        <v>9550.3627724994221</v>
      </c>
      <c r="D92" s="30">
        <f t="shared" si="0"/>
        <v>-4.7570702060906127</v>
      </c>
      <c r="E92" s="30">
        <f>$B$11*(B92/C92)+(1-$B$11)* 1.15343909644518</f>
        <v>1.1534390964451799</v>
      </c>
      <c r="F92" s="30">
        <f>(C91+D91)* 1.15343909644518</f>
        <v>10867.153777051915</v>
      </c>
      <c r="G92" s="30">
        <f t="shared" si="1"/>
        <v>1058.8462229480847</v>
      </c>
      <c r="J92" s="27" t="s">
        <v>102</v>
      </c>
      <c r="K92" s="34">
        <v>0.92224046659864101</v>
      </c>
    </row>
    <row r="93" spans="1:11" ht="15" customHeight="1" x14ac:dyDescent="0.25">
      <c r="A93" s="27" t="s">
        <v>99</v>
      </c>
      <c r="B93" s="30">
        <f xml:space="preserve"> 10230</f>
        <v>10230</v>
      </c>
      <c r="C93" s="30">
        <f>$B$9*B93/ 1.12042315888683+(1-$B$9)*(C92+D92)</f>
        <v>9487.3430608990675</v>
      </c>
      <c r="D93" s="30">
        <f t="shared" si="0"/>
        <v>-4.7570702060906127</v>
      </c>
      <c r="E93" s="30">
        <f>$B$11*(B93/C93)+(1-$B$11)* 1.12042315888683</f>
        <v>1.1204231588868301</v>
      </c>
      <c r="F93" s="30">
        <f>(C92+D92)* 1.12042315888683</f>
        <v>10695.117694451632</v>
      </c>
      <c r="G93" s="30">
        <f t="shared" si="1"/>
        <v>-465.11769445163191</v>
      </c>
      <c r="J93" s="27" t="s">
        <v>103</v>
      </c>
      <c r="K93" s="34">
        <v>0.79667756022487402</v>
      </c>
    </row>
    <row r="94" spans="1:11" ht="15" customHeight="1" x14ac:dyDescent="0.25">
      <c r="A94" s="27" t="s">
        <v>100</v>
      </c>
      <c r="B94" s="30">
        <f xml:space="preserve"> 8359</f>
        <v>8359</v>
      </c>
      <c r="C94" s="30">
        <f>$B$9*B94/ 1.07010504979721+(1-$B$9)*(C93+D93)</f>
        <v>9248.034236613481</v>
      </c>
      <c r="D94" s="30">
        <f t="shared" si="0"/>
        <v>-4.7570702060906127</v>
      </c>
      <c r="E94" s="30">
        <f>$B$11*(B94/C94)+(1-$B$11)* 1.07010504979721</f>
        <v>1.07010504979721</v>
      </c>
      <c r="F94" s="30">
        <f>(C93+D93)* 1.07010504979721</f>
        <v>10147.363153776834</v>
      </c>
      <c r="G94" s="30">
        <f t="shared" si="1"/>
        <v>-1788.3631537768342</v>
      </c>
      <c r="J94" s="27" t="s">
        <v>104</v>
      </c>
      <c r="K94" s="34">
        <v>0.86010781790386404</v>
      </c>
    </row>
    <row r="95" spans="1:11" ht="15" customHeight="1" x14ac:dyDescent="0.25">
      <c r="A95" s="27" t="s">
        <v>101</v>
      </c>
      <c r="B95" s="30">
        <f xml:space="preserve"> 7776</f>
        <v>7776</v>
      </c>
      <c r="C95" s="30">
        <f>$B$9*B95/ 0.979935311848813+(1-$B$9)*(C94+D94)</f>
        <v>9059.6922973690816</v>
      </c>
      <c r="D95" s="30">
        <f t="shared" si="0"/>
        <v>-4.7570702060906127</v>
      </c>
      <c r="E95" s="30">
        <f>$B$11*(B95/C95)+(1-$B$11)* 0.979935311848813</f>
        <v>0.979935311848813</v>
      </c>
      <c r="F95" s="30">
        <f>(C94+D94)* 0.979935311848813</f>
        <v>9057.8136925684375</v>
      </c>
      <c r="G95" s="30">
        <f t="shared" si="1"/>
        <v>-1281.8136925684375</v>
      </c>
      <c r="J95" s="27" t="s">
        <v>105</v>
      </c>
      <c r="K95" s="34">
        <v>0.89662146022058697</v>
      </c>
    </row>
    <row r="96" spans="1:11" ht="15" customHeight="1" x14ac:dyDescent="0.25">
      <c r="A96" s="27" t="s">
        <v>102</v>
      </c>
      <c r="B96" s="30">
        <f xml:space="preserve"> 8243</f>
        <v>8243</v>
      </c>
      <c r="C96" s="30">
        <f>$B$9*B96/ 0.922240466598641+(1-$B$9)*(C95+D95)</f>
        <v>9038.5257211355838</v>
      </c>
      <c r="D96" s="30">
        <f t="shared" si="0"/>
        <v>-4.7570702060906127</v>
      </c>
      <c r="E96" s="30">
        <f>$B$11*(B96/C96)+(1-$B$11)* 0.922240466598641</f>
        <v>0.92224046659864101</v>
      </c>
      <c r="F96" s="30">
        <f>(C95+D95)* 0.922240466598641</f>
        <v>8350.8276889192675</v>
      </c>
      <c r="G96" s="30">
        <f t="shared" si="1"/>
        <v>-107.82768891926753</v>
      </c>
      <c r="J96" s="27" t="s">
        <v>106</v>
      </c>
      <c r="K96" s="34">
        <v>0.96082308230047397</v>
      </c>
    </row>
    <row r="97" spans="1:11" ht="15" customHeight="1" x14ac:dyDescent="0.25">
      <c r="A97" s="27" t="s">
        <v>103</v>
      </c>
      <c r="B97" s="30">
        <f xml:space="preserve"> 7212</f>
        <v>7212</v>
      </c>
      <c r="C97" s="30">
        <f>$B$9*B97/E85+(1-$B$9)*(C96+D96)</f>
        <v>9036.4110341927117</v>
      </c>
      <c r="D97" s="30">
        <f t="shared" si="0"/>
        <v>-4.7570702060906127</v>
      </c>
      <c r="E97" s="30">
        <f>$B$11*(B97/C97)+(1-$B$11)*E85</f>
        <v>0.79667756022487402</v>
      </c>
      <c r="F97" s="30">
        <f>(C96+D96)*E85</f>
        <v>7197.0007684584598</v>
      </c>
      <c r="G97" s="30">
        <f t="shared" si="1"/>
        <v>14.999231541540212</v>
      </c>
      <c r="J97" s="27" t="s">
        <v>107</v>
      </c>
      <c r="K97" s="34">
        <v>1.0057061731177099</v>
      </c>
    </row>
    <row r="98" spans="1:11" ht="15" customHeight="1" x14ac:dyDescent="0.25">
      <c r="A98" s="27" t="s">
        <v>104</v>
      </c>
      <c r="B98" s="30">
        <f xml:space="preserve"> 7208</f>
        <v>7208</v>
      </c>
      <c r="C98" s="30">
        <f t="shared" ref="C98:C161" si="2">$B$9*B98/E86+(1-$B$9)*(C97+D97)</f>
        <v>8940.2433480177206</v>
      </c>
      <c r="D98" s="30">
        <f t="shared" si="0"/>
        <v>-4.7570702060906127</v>
      </c>
      <c r="E98" s="30">
        <f t="shared" ref="E98:E161" si="3">$B$11*(B98/C98)+(1-$B$11)*E86</f>
        <v>0.86010781790386404</v>
      </c>
      <c r="F98" s="30">
        <f t="shared" ref="F98:F161" si="4">(C97+D97)*E86</f>
        <v>7768.1961830273158</v>
      </c>
      <c r="G98" s="30">
        <f t="shared" si="1"/>
        <v>-560.19618302731578</v>
      </c>
    </row>
    <row r="99" spans="1:11" ht="15" customHeight="1" x14ac:dyDescent="0.25">
      <c r="A99" s="27" t="s">
        <v>105</v>
      </c>
      <c r="B99" s="30">
        <f xml:space="preserve"> 7257</f>
        <v>7257</v>
      </c>
      <c r="C99" s="30">
        <f t="shared" si="2"/>
        <v>8817.3447288040297</v>
      </c>
      <c r="D99" s="30">
        <f t="shared" si="0"/>
        <v>-4.7570702060906127</v>
      </c>
      <c r="E99" s="30">
        <f t="shared" si="3"/>
        <v>0.89662146022058697</v>
      </c>
      <c r="F99" s="30">
        <f t="shared" si="4"/>
        <v>8011.7487541924802</v>
      </c>
      <c r="G99" s="30">
        <f t="shared" si="1"/>
        <v>-754.74875419248019</v>
      </c>
    </row>
    <row r="100" spans="1:11" ht="15" customHeight="1" x14ac:dyDescent="0.25">
      <c r="A100" s="27" t="s">
        <v>106</v>
      </c>
      <c r="B100" s="30">
        <f xml:space="preserve"> 8513</f>
        <v>8513</v>
      </c>
      <c r="C100" s="30">
        <f t="shared" si="2"/>
        <v>8819.2576356232839</v>
      </c>
      <c r="D100" s="30">
        <f t="shared" si="0"/>
        <v>-4.7570702060906127</v>
      </c>
      <c r="E100" s="30">
        <f t="shared" si="3"/>
        <v>0.96082308230047397</v>
      </c>
      <c r="F100" s="30">
        <f t="shared" si="4"/>
        <v>8467.3376371771883</v>
      </c>
      <c r="G100" s="30">
        <f t="shared" si="1"/>
        <v>45.662362822811701</v>
      </c>
    </row>
    <row r="101" spans="1:11" ht="15" customHeight="1" x14ac:dyDescent="0.25">
      <c r="A101" s="27" t="s">
        <v>107</v>
      </c>
      <c r="B101" s="30">
        <f xml:space="preserve"> 8647</f>
        <v>8647</v>
      </c>
      <c r="C101" s="30">
        <f t="shared" si="2"/>
        <v>8784.1063160599842</v>
      </c>
      <c r="D101" s="30">
        <f t="shared" si="0"/>
        <v>-4.7570702060906127</v>
      </c>
      <c r="E101" s="30">
        <f t="shared" si="3"/>
        <v>1.0057061731177099</v>
      </c>
      <c r="F101" s="30">
        <f t="shared" si="4"/>
        <v>8864.7976315896158</v>
      </c>
      <c r="G101" s="30">
        <f t="shared" si="1"/>
        <v>-217.79763158961578</v>
      </c>
    </row>
    <row r="102" spans="1:11" ht="15" customHeight="1" x14ac:dyDescent="0.25">
      <c r="A102" s="27" t="s">
        <v>108</v>
      </c>
      <c r="B102" s="30">
        <f xml:space="preserve"> 8797</f>
        <v>8797</v>
      </c>
      <c r="C102" s="30">
        <f t="shared" si="2"/>
        <v>8686.2183748036841</v>
      </c>
      <c r="D102" s="30">
        <f t="shared" si="0"/>
        <v>-4.7570702060906127</v>
      </c>
      <c r="E102" s="30">
        <f t="shared" si="3"/>
        <v>1.0839373094372999</v>
      </c>
      <c r="F102" s="30">
        <f t="shared" si="4"/>
        <v>9516.2642001612567</v>
      </c>
      <c r="G102" s="30">
        <f t="shared" si="1"/>
        <v>-719.26420016125667</v>
      </c>
    </row>
    <row r="103" spans="1:11" ht="15" customHeight="1" x14ac:dyDescent="0.25">
      <c r="A103" s="27" t="s">
        <v>109</v>
      </c>
      <c r="B103" s="30">
        <f xml:space="preserve"> 10465</f>
        <v>10465</v>
      </c>
      <c r="C103" s="30">
        <f t="shared" si="2"/>
        <v>8740.2203742374732</v>
      </c>
      <c r="D103" s="30">
        <f t="shared" si="0"/>
        <v>-4.7570702060906127</v>
      </c>
      <c r="E103" s="30">
        <f t="shared" si="3"/>
        <v>1.1499841763423699</v>
      </c>
      <c r="F103" s="30">
        <f t="shared" si="4"/>
        <v>9983.5431278158194</v>
      </c>
      <c r="G103" s="30">
        <f t="shared" si="1"/>
        <v>481.45687218418061</v>
      </c>
    </row>
    <row r="104" spans="1:11" ht="15" customHeight="1" x14ac:dyDescent="0.25">
      <c r="A104" s="27" t="s">
        <v>110</v>
      </c>
      <c r="B104" s="30">
        <f xml:space="preserve"> 11803</f>
        <v>11803</v>
      </c>
      <c r="C104" s="30">
        <f t="shared" si="2"/>
        <v>8945.623800382933</v>
      </c>
      <c r="D104" s="30">
        <f t="shared" si="0"/>
        <v>-4.7570702060906127</v>
      </c>
      <c r="E104" s="30">
        <f t="shared" si="3"/>
        <v>1.1534390964451799</v>
      </c>
      <c r="F104" s="30">
        <f t="shared" si="4"/>
        <v>10075.824900431984</v>
      </c>
      <c r="G104" s="30">
        <f t="shared" si="1"/>
        <v>1727.1750995680159</v>
      </c>
    </row>
    <row r="105" spans="1:11" ht="15" customHeight="1" x14ac:dyDescent="0.25">
      <c r="A105" s="27" t="s">
        <v>111</v>
      </c>
      <c r="B105" s="30">
        <f xml:space="preserve"> 10281</f>
        <v>10281</v>
      </c>
      <c r="C105" s="30">
        <f t="shared" si="2"/>
        <v>8973.8670902128761</v>
      </c>
      <c r="D105" s="30">
        <f t="shared" si="0"/>
        <v>-4.7570702060906127</v>
      </c>
      <c r="E105" s="30">
        <f t="shared" si="3"/>
        <v>1.1204231588868301</v>
      </c>
      <c r="F105" s="30">
        <f t="shared" si="4"/>
        <v>10017.554145010901</v>
      </c>
      <c r="G105" s="30">
        <f t="shared" si="1"/>
        <v>263.44585498909873</v>
      </c>
    </row>
    <row r="106" spans="1:11" ht="15" customHeight="1" x14ac:dyDescent="0.25">
      <c r="A106" s="27" t="s">
        <v>112</v>
      </c>
      <c r="B106" s="30">
        <f xml:space="preserve"> 10386</f>
        <v>10386</v>
      </c>
      <c r="C106" s="30">
        <f t="shared" si="2"/>
        <v>9072.4741494920836</v>
      </c>
      <c r="D106" s="30">
        <f t="shared" si="0"/>
        <v>-4.7570702060906127</v>
      </c>
      <c r="E106" s="30">
        <f t="shared" si="3"/>
        <v>1.07010504979721</v>
      </c>
      <c r="F106" s="30">
        <f t="shared" si="4"/>
        <v>9597.8899245960165</v>
      </c>
      <c r="G106" s="30">
        <f t="shared" si="1"/>
        <v>788.1100754039835</v>
      </c>
    </row>
    <row r="107" spans="1:11" ht="15" customHeight="1" x14ac:dyDescent="0.25">
      <c r="A107" s="27" t="s">
        <v>113</v>
      </c>
      <c r="B107" s="30">
        <f xml:space="preserve"> 8028</f>
        <v>8028</v>
      </c>
      <c r="C107" s="30">
        <f t="shared" si="2"/>
        <v>8944.8640269141779</v>
      </c>
      <c r="D107" s="30">
        <f t="shared" si="0"/>
        <v>-4.7570702060906127</v>
      </c>
      <c r="E107" s="30">
        <f t="shared" si="3"/>
        <v>0.979935311848813</v>
      </c>
      <c r="F107" s="30">
        <f t="shared" si="4"/>
        <v>8885.7761638469274</v>
      </c>
      <c r="G107" s="30">
        <f t="shared" si="1"/>
        <v>-857.77616384692737</v>
      </c>
    </row>
    <row r="108" spans="1:11" ht="15" customHeight="1" x14ac:dyDescent="0.25">
      <c r="A108" s="27" t="s">
        <v>114</v>
      </c>
      <c r="B108" s="30">
        <f xml:space="preserve"> 7788</f>
        <v>7788</v>
      </c>
      <c r="C108" s="30">
        <f t="shared" si="2"/>
        <v>8870.5703692807929</v>
      </c>
      <c r="D108" s="30">
        <f t="shared" si="0"/>
        <v>-4.7570702060906127</v>
      </c>
      <c r="E108" s="30">
        <f t="shared" si="3"/>
        <v>0.92224046659864101</v>
      </c>
      <c r="F108" s="30">
        <f t="shared" si="4"/>
        <v>8244.9284111962224</v>
      </c>
      <c r="G108" s="30">
        <f t="shared" si="1"/>
        <v>-456.92841119622244</v>
      </c>
    </row>
    <row r="109" spans="1:11" ht="15" customHeight="1" x14ac:dyDescent="0.25">
      <c r="A109" s="27" t="s">
        <v>115</v>
      </c>
      <c r="B109" s="30">
        <f xml:space="preserve"> 7109</f>
        <v>7109</v>
      </c>
      <c r="C109" s="30">
        <f t="shared" si="2"/>
        <v>8873.8827567482786</v>
      </c>
      <c r="D109" s="30">
        <f t="shared" si="0"/>
        <v>-4.7570702060906127</v>
      </c>
      <c r="E109" s="30">
        <f t="shared" si="3"/>
        <v>0.79667756022487402</v>
      </c>
      <c r="F109" s="30">
        <f t="shared" si="4"/>
        <v>7063.1945085160751</v>
      </c>
      <c r="G109" s="30">
        <f t="shared" si="1"/>
        <v>45.805491483924925</v>
      </c>
    </row>
    <row r="110" spans="1:11" ht="15" customHeight="1" x14ac:dyDescent="0.25">
      <c r="A110" s="27" t="s">
        <v>116</v>
      </c>
      <c r="B110" s="30">
        <f xml:space="preserve"> 7597</f>
        <v>7597</v>
      </c>
      <c r="C110" s="30">
        <f t="shared" si="2"/>
        <v>8864.0012493559698</v>
      </c>
      <c r="D110" s="30">
        <f t="shared" si="0"/>
        <v>-4.7570702060906127</v>
      </c>
      <c r="E110" s="30">
        <f t="shared" si="3"/>
        <v>0.86010781790386404</v>
      </c>
      <c r="F110" s="30">
        <f t="shared" si="4"/>
        <v>7628.4043409669111</v>
      </c>
      <c r="G110" s="30">
        <f t="shared" si="1"/>
        <v>-31.40434096691115</v>
      </c>
    </row>
    <row r="111" spans="1:11" ht="15" customHeight="1" x14ac:dyDescent="0.25">
      <c r="A111" s="27" t="s">
        <v>117</v>
      </c>
      <c r="B111" s="30">
        <f xml:space="preserve"> 8260</f>
        <v>8260</v>
      </c>
      <c r="C111" s="30">
        <f t="shared" si="2"/>
        <v>8908.803689469165</v>
      </c>
      <c r="D111" s="30">
        <f t="shared" si="0"/>
        <v>-4.7570702060906127</v>
      </c>
      <c r="E111" s="30">
        <f t="shared" si="3"/>
        <v>0.89662146022058697</v>
      </c>
      <c r="F111" s="30">
        <f t="shared" si="4"/>
        <v>7943.3884523601</v>
      </c>
      <c r="G111" s="30">
        <f t="shared" si="1"/>
        <v>316.61154763989998</v>
      </c>
    </row>
    <row r="112" spans="1:11" ht="15" customHeight="1" x14ac:dyDescent="0.25">
      <c r="A112" s="27" t="s">
        <v>118</v>
      </c>
      <c r="B112" s="30">
        <f xml:space="preserve"> 8672</f>
        <v>8672</v>
      </c>
      <c r="C112" s="30">
        <f t="shared" si="2"/>
        <v>8921.1058143172522</v>
      </c>
      <c r="D112" s="30">
        <f t="shared" si="0"/>
        <v>-4.7570702060906127</v>
      </c>
      <c r="E112" s="30">
        <f t="shared" si="3"/>
        <v>0.96082308230047397</v>
      </c>
      <c r="F112" s="30">
        <f t="shared" si="4"/>
        <v>8555.2135176674619</v>
      </c>
      <c r="G112" s="30">
        <f t="shared" si="1"/>
        <v>116.78648233253807</v>
      </c>
    </row>
    <row r="113" spans="1:7" ht="15" customHeight="1" x14ac:dyDescent="0.25">
      <c r="A113" s="27" t="s">
        <v>119</v>
      </c>
      <c r="B113" s="30">
        <f xml:space="preserve"> 7380</f>
        <v>7380</v>
      </c>
      <c r="C113" s="30">
        <f t="shared" si="2"/>
        <v>8694.8469212002383</v>
      </c>
      <c r="D113" s="30">
        <f t="shared" si="0"/>
        <v>-4.7570702060906127</v>
      </c>
      <c r="E113" s="30">
        <f t="shared" si="3"/>
        <v>1.0057061731177099</v>
      </c>
      <c r="F113" s="30">
        <f t="shared" si="4"/>
        <v>8967.2269736229355</v>
      </c>
      <c r="G113" s="30">
        <f t="shared" si="1"/>
        <v>-1587.2269736229355</v>
      </c>
    </row>
    <row r="114" spans="1:7" ht="15" customHeight="1" x14ac:dyDescent="0.25">
      <c r="A114" s="27" t="s">
        <v>120</v>
      </c>
      <c r="B114" s="30">
        <f xml:space="preserve"> 9645</f>
        <v>9645</v>
      </c>
      <c r="C114" s="30">
        <f t="shared" si="2"/>
        <v>8719.2861280562811</v>
      </c>
      <c r="D114" s="30">
        <f t="shared" si="0"/>
        <v>-4.7570702060906127</v>
      </c>
      <c r="E114" s="30">
        <f t="shared" si="3"/>
        <v>1.0839373094372999</v>
      </c>
      <c r="F114" s="30">
        <f t="shared" si="4"/>
        <v>9419.5126118549833</v>
      </c>
      <c r="G114" s="30">
        <f t="shared" si="1"/>
        <v>225.48738814501667</v>
      </c>
    </row>
    <row r="115" spans="1:7" ht="15" customHeight="1" x14ac:dyDescent="0.25">
      <c r="A115" s="27" t="s">
        <v>121</v>
      </c>
      <c r="B115" s="30">
        <f xml:space="preserve"> 10674</f>
        <v>10674</v>
      </c>
      <c r="C115" s="30">
        <f t="shared" si="2"/>
        <v>8794.1543605887346</v>
      </c>
      <c r="D115" s="30">
        <f t="shared" si="0"/>
        <v>-4.7570702060906127</v>
      </c>
      <c r="E115" s="30">
        <f t="shared" si="3"/>
        <v>1.1499841763423699</v>
      </c>
      <c r="F115" s="30">
        <f t="shared" si="4"/>
        <v>10021.5705208035</v>
      </c>
      <c r="G115" s="30">
        <f t="shared" si="1"/>
        <v>652.42947919650032</v>
      </c>
    </row>
    <row r="116" spans="1:7" ht="15" customHeight="1" x14ac:dyDescent="0.25">
      <c r="A116" s="27" t="s">
        <v>122</v>
      </c>
      <c r="B116" s="30">
        <f xml:space="preserve"> 10131</f>
        <v>10131</v>
      </c>
      <c r="C116" s="30">
        <f t="shared" si="2"/>
        <v>8788.5413450419146</v>
      </c>
      <c r="D116" s="30">
        <f t="shared" si="0"/>
        <v>-4.7570702060906127</v>
      </c>
      <c r="E116" s="30">
        <f t="shared" si="3"/>
        <v>1.1534390964451799</v>
      </c>
      <c r="F116" s="30">
        <f t="shared" si="4"/>
        <v>10138.034468916669</v>
      </c>
      <c r="G116" s="30">
        <f t="shared" si="1"/>
        <v>-7.0344689166686294</v>
      </c>
    </row>
    <row r="117" spans="1:7" ht="15" customHeight="1" x14ac:dyDescent="0.25">
      <c r="A117" s="27" t="s">
        <v>123</v>
      </c>
      <c r="B117" s="30">
        <f xml:space="preserve"> 9684</f>
        <v>9684</v>
      </c>
      <c r="C117" s="30">
        <f t="shared" si="2"/>
        <v>8764.0482177847589</v>
      </c>
      <c r="D117" s="30">
        <f t="shared" si="0"/>
        <v>-4.7570702060906127</v>
      </c>
      <c r="E117" s="30">
        <f t="shared" si="3"/>
        <v>1.1204231588868301</v>
      </c>
      <c r="F117" s="30">
        <f t="shared" si="4"/>
        <v>9841.555324192017</v>
      </c>
      <c r="G117" s="30">
        <f t="shared" si="1"/>
        <v>-157.555324192017</v>
      </c>
    </row>
    <row r="118" spans="1:7" ht="15" customHeight="1" x14ac:dyDescent="0.25">
      <c r="A118" s="27" t="s">
        <v>124</v>
      </c>
      <c r="B118" s="30">
        <f xml:space="preserve"> 9870</f>
        <v>9870</v>
      </c>
      <c r="C118" s="30">
        <f t="shared" si="2"/>
        <v>8824.4274632008346</v>
      </c>
      <c r="D118" s="30">
        <f t="shared" si="0"/>
        <v>-4.7570702060906127</v>
      </c>
      <c r="E118" s="30">
        <f t="shared" si="3"/>
        <v>1.07010504979721</v>
      </c>
      <c r="F118" s="30">
        <f t="shared" si="4"/>
        <v>9373.3616896679305</v>
      </c>
      <c r="G118" s="30">
        <f t="shared" si="1"/>
        <v>496.63831033206952</v>
      </c>
    </row>
    <row r="119" spans="1:7" ht="15" customHeight="1" x14ac:dyDescent="0.25">
      <c r="A119" s="27" t="s">
        <v>125</v>
      </c>
      <c r="B119" s="30">
        <f xml:space="preserve"> 8504</f>
        <v>8504</v>
      </c>
      <c r="C119" s="30">
        <f t="shared" si="2"/>
        <v>8799.804474192375</v>
      </c>
      <c r="D119" s="30">
        <f t="shared" si="0"/>
        <v>-4.7570702060906127</v>
      </c>
      <c r="E119" s="30">
        <f t="shared" si="3"/>
        <v>0.979935311848813</v>
      </c>
      <c r="F119" s="30">
        <f t="shared" si="4"/>
        <v>8642.7064569630475</v>
      </c>
      <c r="G119" s="30">
        <f t="shared" si="1"/>
        <v>-138.70645696304746</v>
      </c>
    </row>
    <row r="120" spans="1:7" ht="15" customHeight="1" x14ac:dyDescent="0.25">
      <c r="A120" s="27" t="s">
        <v>126</v>
      </c>
      <c r="B120" s="30">
        <f xml:space="preserve"> 8544</f>
        <v>8544</v>
      </c>
      <c r="C120" s="30">
        <f t="shared" si="2"/>
        <v>8860.9198841800171</v>
      </c>
      <c r="D120" s="30">
        <f t="shared" si="0"/>
        <v>-4.7570702060906127</v>
      </c>
      <c r="E120" s="30">
        <f t="shared" si="3"/>
        <v>0.92224046659864101</v>
      </c>
      <c r="F120" s="30">
        <f t="shared" si="4"/>
        <v>8111.1486216094763</v>
      </c>
      <c r="G120" s="30">
        <f t="shared" si="1"/>
        <v>432.85137839052368</v>
      </c>
    </row>
    <row r="121" spans="1:7" ht="15" customHeight="1" x14ac:dyDescent="0.25">
      <c r="A121" s="27" t="s">
        <v>127</v>
      </c>
      <c r="B121" s="30">
        <f xml:space="preserve"> 7496</f>
        <v>7496</v>
      </c>
      <c r="C121" s="30">
        <f t="shared" si="2"/>
        <v>8933.7636887125373</v>
      </c>
      <c r="D121" s="30">
        <f t="shared" si="0"/>
        <v>-4.7570702060906127</v>
      </c>
      <c r="E121" s="30">
        <f t="shared" si="3"/>
        <v>0.79667756022487402</v>
      </c>
      <c r="F121" s="30">
        <f t="shared" si="4"/>
        <v>7055.5061835910019</v>
      </c>
      <c r="G121" s="30">
        <f t="shared" si="1"/>
        <v>440.4938164089981</v>
      </c>
    </row>
    <row r="122" spans="1:7" ht="15" customHeight="1" x14ac:dyDescent="0.25">
      <c r="A122" s="27" t="s">
        <v>128</v>
      </c>
      <c r="B122" s="30">
        <f xml:space="preserve"> 7528</f>
        <v>7528</v>
      </c>
      <c r="C122" s="30">
        <f t="shared" si="2"/>
        <v>8904.2188018163852</v>
      </c>
      <c r="D122" s="30">
        <f t="shared" si="0"/>
        <v>-4.7570702060906127</v>
      </c>
      <c r="E122" s="30">
        <f t="shared" si="3"/>
        <v>0.86010781790386404</v>
      </c>
      <c r="F122" s="30">
        <f t="shared" si="4"/>
        <v>7679.908398692739</v>
      </c>
      <c r="G122" s="30">
        <f t="shared" si="1"/>
        <v>-151.90839869273896</v>
      </c>
    </row>
    <row r="123" spans="1:7" ht="15" customHeight="1" x14ac:dyDescent="0.25">
      <c r="A123" s="27" t="s">
        <v>129</v>
      </c>
      <c r="B123" s="30">
        <f xml:space="preserve"> 8295</f>
        <v>8295</v>
      </c>
      <c r="C123" s="30">
        <f t="shared" si="2"/>
        <v>8948.8553315356712</v>
      </c>
      <c r="D123" s="30">
        <f t="shared" si="0"/>
        <v>-4.7570702060906127</v>
      </c>
      <c r="E123" s="30">
        <f t="shared" si="3"/>
        <v>0.89662146022058697</v>
      </c>
      <c r="F123" s="30">
        <f t="shared" si="4"/>
        <v>7979.4483729736558</v>
      </c>
      <c r="G123" s="30">
        <f t="shared" si="1"/>
        <v>315.55162702634425</v>
      </c>
    </row>
    <row r="124" spans="1:7" ht="15" customHeight="1" x14ac:dyDescent="0.25">
      <c r="A124" s="27" t="s">
        <v>130</v>
      </c>
      <c r="B124" s="30">
        <f xml:space="preserve"> 7942</f>
        <v>7942</v>
      </c>
      <c r="C124" s="30">
        <f t="shared" si="2"/>
        <v>8848.9039376462297</v>
      </c>
      <c r="D124" s="30">
        <f t="shared" si="0"/>
        <v>-4.7570702060906127</v>
      </c>
      <c r="E124" s="30">
        <f t="shared" si="3"/>
        <v>0.96082308230047397</v>
      </c>
      <c r="F124" s="30">
        <f t="shared" si="4"/>
        <v>8593.6960598489968</v>
      </c>
      <c r="G124" s="30">
        <f t="shared" si="1"/>
        <v>-651.69605984899681</v>
      </c>
    </row>
    <row r="125" spans="1:7" ht="15" customHeight="1" x14ac:dyDescent="0.25">
      <c r="A125" s="27" t="s">
        <v>131</v>
      </c>
      <c r="B125" s="30">
        <f xml:space="preserve"> 9686</f>
        <v>9686</v>
      </c>
      <c r="C125" s="30">
        <f t="shared" si="2"/>
        <v>8954.5870525997725</v>
      </c>
      <c r="D125" s="30">
        <f t="shared" si="0"/>
        <v>-4.7570702060906127</v>
      </c>
      <c r="E125" s="30">
        <f t="shared" si="3"/>
        <v>1.0057061731177099</v>
      </c>
      <c r="F125" s="30">
        <f t="shared" si="4"/>
        <v>8894.6131005442039</v>
      </c>
      <c r="G125" s="30">
        <f t="shared" si="1"/>
        <v>791.38689945579608</v>
      </c>
    </row>
    <row r="126" spans="1:7" ht="15" customHeight="1" x14ac:dyDescent="0.25">
      <c r="A126" s="27" t="s">
        <v>132</v>
      </c>
      <c r="B126" s="30">
        <f xml:space="preserve"> 10214</f>
        <v>10214</v>
      </c>
      <c r="C126" s="30">
        <f t="shared" si="2"/>
        <v>9016.2465355906515</v>
      </c>
      <c r="D126" s="30">
        <f t="shared" si="0"/>
        <v>-4.7570702060906127</v>
      </c>
      <c r="E126" s="30">
        <f t="shared" si="3"/>
        <v>1.0839373094372999</v>
      </c>
      <c r="F126" s="30">
        <f t="shared" si="4"/>
        <v>9701.0546310370846</v>
      </c>
      <c r="G126" s="30">
        <f t="shared" si="1"/>
        <v>512.94536896291538</v>
      </c>
    </row>
    <row r="127" spans="1:7" ht="15" customHeight="1" x14ac:dyDescent="0.25">
      <c r="A127" s="27" t="s">
        <v>133</v>
      </c>
      <c r="B127" s="30">
        <f xml:space="preserve"> 11050</f>
        <v>11050</v>
      </c>
      <c r="C127" s="30">
        <f t="shared" si="2"/>
        <v>9095.3253247772609</v>
      </c>
      <c r="D127" s="30">
        <f t="shared" si="0"/>
        <v>-4.7570702060906127</v>
      </c>
      <c r="E127" s="30">
        <f t="shared" si="3"/>
        <v>1.1499841763423699</v>
      </c>
      <c r="F127" s="30">
        <f t="shared" si="4"/>
        <v>10363.070290468208</v>
      </c>
      <c r="G127" s="30">
        <f t="shared" si="1"/>
        <v>686.92970953179247</v>
      </c>
    </row>
    <row r="128" spans="1:7" ht="15" customHeight="1" x14ac:dyDescent="0.25">
      <c r="A128" s="27" t="s">
        <v>134</v>
      </c>
      <c r="B128" s="30">
        <f xml:space="preserve"> 10320</f>
        <v>10320</v>
      </c>
      <c r="C128" s="30">
        <f t="shared" si="2"/>
        <v>9070.4405420483272</v>
      </c>
      <c r="D128" s="30">
        <f t="shared" si="0"/>
        <v>-4.7570702060906127</v>
      </c>
      <c r="E128" s="30">
        <f t="shared" si="3"/>
        <v>1.1534390964451799</v>
      </c>
      <c r="F128" s="30">
        <f t="shared" si="4"/>
        <v>10485.416833725807</v>
      </c>
      <c r="G128" s="30">
        <f t="shared" si="1"/>
        <v>-165.41683372580701</v>
      </c>
    </row>
    <row r="129" spans="1:7" ht="15" customHeight="1" x14ac:dyDescent="0.25">
      <c r="A129" s="27" t="s">
        <v>135</v>
      </c>
      <c r="B129" s="30">
        <f xml:space="preserve"> 8270</f>
        <v>8270</v>
      </c>
      <c r="C129" s="30">
        <f t="shared" si="2"/>
        <v>8829.2594215801237</v>
      </c>
      <c r="D129" s="30">
        <f t="shared" si="0"/>
        <v>-4.7570702060906127</v>
      </c>
      <c r="E129" s="30">
        <f t="shared" si="3"/>
        <v>1.1204231588868301</v>
      </c>
      <c r="F129" s="30">
        <f t="shared" si="4"/>
        <v>10157.401712989604</v>
      </c>
      <c r="G129" s="30">
        <f t="shared" si="1"/>
        <v>-1887.4017129896038</v>
      </c>
    </row>
    <row r="130" spans="1:7" ht="15" customHeight="1" x14ac:dyDescent="0.25">
      <c r="A130" s="27" t="s">
        <v>136</v>
      </c>
      <c r="B130" s="30">
        <f xml:space="preserve"> 9556</f>
        <v>9556</v>
      </c>
      <c r="C130" s="30">
        <f t="shared" si="2"/>
        <v>8839.3038467097813</v>
      </c>
      <c r="D130" s="30">
        <f t="shared" si="0"/>
        <v>-4.7570702060906127</v>
      </c>
      <c r="E130" s="30">
        <f t="shared" si="3"/>
        <v>1.07010504979721</v>
      </c>
      <c r="F130" s="30">
        <f t="shared" si="4"/>
        <v>9443.1445281527049</v>
      </c>
      <c r="G130" s="30">
        <f t="shared" si="1"/>
        <v>112.85547184729512</v>
      </c>
    </row>
    <row r="131" spans="1:7" ht="15" customHeight="1" x14ac:dyDescent="0.25">
      <c r="A131" s="27" t="s">
        <v>137</v>
      </c>
      <c r="B131" s="30">
        <f xml:space="preserve"> 10349</f>
        <v>10349</v>
      </c>
      <c r="C131" s="30">
        <f t="shared" si="2"/>
        <v>9076.8389268906867</v>
      </c>
      <c r="D131" s="30">
        <f t="shared" si="0"/>
        <v>-4.7570702060906127</v>
      </c>
      <c r="E131" s="30">
        <f t="shared" si="3"/>
        <v>0.979935311848813</v>
      </c>
      <c r="F131" s="30">
        <f t="shared" si="4"/>
        <v>8657.2843504760694</v>
      </c>
      <c r="G131" s="30">
        <f t="shared" si="1"/>
        <v>1691.7156495239306</v>
      </c>
    </row>
    <row r="132" spans="1:7" ht="15" customHeight="1" x14ac:dyDescent="0.25">
      <c r="A132" s="27" t="s">
        <v>138</v>
      </c>
      <c r="B132" s="30">
        <f xml:space="preserve"> 7938</f>
        <v>7938</v>
      </c>
      <c r="C132" s="30">
        <f t="shared" si="2"/>
        <v>9006.8501224433767</v>
      </c>
      <c r="D132" s="30">
        <f t="shared" si="0"/>
        <v>-4.7570702060906127</v>
      </c>
      <c r="E132" s="30">
        <f t="shared" si="3"/>
        <v>0.92224046659864101</v>
      </c>
      <c r="F132" s="30">
        <f t="shared" si="4"/>
        <v>8366.6410045298671</v>
      </c>
      <c r="G132" s="30">
        <f t="shared" si="1"/>
        <v>-428.64100452986713</v>
      </c>
    </row>
    <row r="133" spans="1:7" ht="15" customHeight="1" x14ac:dyDescent="0.25">
      <c r="A133" s="27" t="s">
        <v>139</v>
      </c>
      <c r="B133" s="30">
        <f xml:space="preserve"> 6467</f>
        <v>6467</v>
      </c>
      <c r="C133" s="30">
        <f t="shared" si="2"/>
        <v>8877.9359822427323</v>
      </c>
      <c r="D133" s="30">
        <f t="shared" si="0"/>
        <v>-4.7570702060906127</v>
      </c>
      <c r="E133" s="30">
        <f t="shared" si="3"/>
        <v>0.79667756022487402</v>
      </c>
      <c r="F133" s="30">
        <f t="shared" si="4"/>
        <v>7171.7655297736901</v>
      </c>
      <c r="G133" s="30">
        <f t="shared" si="1"/>
        <v>-704.7655297736901</v>
      </c>
    </row>
    <row r="134" spans="1:7" ht="15" customHeight="1" x14ac:dyDescent="0.25">
      <c r="A134" s="27" t="s">
        <v>140</v>
      </c>
      <c r="B134" s="30">
        <f xml:space="preserve"> 7837</f>
        <v>7837</v>
      </c>
      <c r="C134" s="30">
        <f t="shared" si="2"/>
        <v>8906.6478673057027</v>
      </c>
      <c r="D134" s="30">
        <f t="shared" si="0"/>
        <v>-4.7570702060906127</v>
      </c>
      <c r="E134" s="30">
        <f t="shared" si="3"/>
        <v>0.86010781790386404</v>
      </c>
      <c r="F134" s="30">
        <f t="shared" si="4"/>
        <v>7631.8905519024174</v>
      </c>
      <c r="G134" s="30">
        <f t="shared" si="1"/>
        <v>205.10944809758257</v>
      </c>
    </row>
    <row r="135" spans="1:7" ht="15" customHeight="1" x14ac:dyDescent="0.25">
      <c r="A135" s="27" t="s">
        <v>141</v>
      </c>
      <c r="B135" s="30">
        <f xml:space="preserve"> 8325</f>
        <v>8325</v>
      </c>
      <c r="C135" s="30">
        <f t="shared" si="2"/>
        <v>8955.6394089411551</v>
      </c>
      <c r="D135" s="30">
        <f t="shared" si="0"/>
        <v>-4.7570702060906127</v>
      </c>
      <c r="E135" s="30">
        <f t="shared" si="3"/>
        <v>0.89662146022058697</v>
      </c>
      <c r="F135" s="30">
        <f t="shared" si="4"/>
        <v>7981.6263252196586</v>
      </c>
      <c r="G135" s="30">
        <f t="shared" si="1"/>
        <v>343.37367478034139</v>
      </c>
    </row>
    <row r="136" spans="1:7" ht="15" customHeight="1" x14ac:dyDescent="0.25">
      <c r="A136" s="27" t="s">
        <v>142</v>
      </c>
      <c r="B136" s="30">
        <f xml:space="preserve"> 8532</f>
        <v>8532</v>
      </c>
      <c r="C136" s="30">
        <f t="shared" si="2"/>
        <v>8940.9181543912455</v>
      </c>
      <c r="D136" s="30">
        <f t="shared" si="0"/>
        <v>-4.7570702060906127</v>
      </c>
      <c r="E136" s="30">
        <f t="shared" si="3"/>
        <v>0.96082308230047397</v>
      </c>
      <c r="F136" s="30">
        <f t="shared" si="4"/>
        <v>8600.2143580122993</v>
      </c>
      <c r="G136" s="30">
        <f t="shared" si="1"/>
        <v>-68.214358012299272</v>
      </c>
    </row>
    <row r="137" spans="1:7" ht="15" customHeight="1" x14ac:dyDescent="0.25">
      <c r="A137" s="27" t="s">
        <v>143</v>
      </c>
      <c r="B137" s="30">
        <f xml:space="preserve"> 9786</f>
        <v>9786</v>
      </c>
      <c r="C137" s="30">
        <f t="shared" si="2"/>
        <v>9047.6424350092529</v>
      </c>
      <c r="D137" s="30">
        <f t="shared" si="0"/>
        <v>-4.7570702060906127</v>
      </c>
      <c r="E137" s="30">
        <f t="shared" si="3"/>
        <v>1.0057061731177099</v>
      </c>
      <c r="F137" s="30">
        <f t="shared" si="4"/>
        <v>8987.1523663392582</v>
      </c>
      <c r="G137" s="30">
        <f t="shared" si="1"/>
        <v>798.84763366074185</v>
      </c>
    </row>
    <row r="138" spans="1:7" ht="15" customHeight="1" x14ac:dyDescent="0.25">
      <c r="A138" s="27" t="s">
        <v>144</v>
      </c>
      <c r="B138" s="30">
        <f xml:space="preserve"> 9492</f>
        <v>9492</v>
      </c>
      <c r="C138" s="30">
        <f t="shared" si="2"/>
        <v>9002.7565817737504</v>
      </c>
      <c r="D138" s="30">
        <f t="shared" si="0"/>
        <v>-4.7570702060906127</v>
      </c>
      <c r="E138" s="30">
        <f t="shared" si="3"/>
        <v>1.0839373094372999</v>
      </c>
      <c r="F138" s="30">
        <f t="shared" si="4"/>
        <v>9801.9208318746751</v>
      </c>
      <c r="G138" s="30">
        <f t="shared" si="1"/>
        <v>-309.92083187467506</v>
      </c>
    </row>
    <row r="139" spans="1:7" ht="15" customHeight="1" x14ac:dyDescent="0.25">
      <c r="A139" s="27" t="s">
        <v>145</v>
      </c>
      <c r="B139" s="30">
        <f xml:space="preserve"> 10284</f>
        <v>10284</v>
      </c>
      <c r="C139" s="30">
        <f t="shared" si="2"/>
        <v>8990.2427346756194</v>
      </c>
      <c r="D139" s="30">
        <f t="shared" si="0"/>
        <v>-4.7570702060906127</v>
      </c>
      <c r="E139" s="30">
        <f t="shared" si="3"/>
        <v>1.1499841763423699</v>
      </c>
      <c r="F139" s="30">
        <f t="shared" si="4"/>
        <v>10347.557057039181</v>
      </c>
      <c r="G139" s="30">
        <f t="shared" si="1"/>
        <v>-63.557057039181018</v>
      </c>
    </row>
    <row r="140" spans="1:7" ht="15" customHeight="1" x14ac:dyDescent="0.25">
      <c r="A140" s="27" t="s">
        <v>146</v>
      </c>
      <c r="B140" s="30">
        <f xml:space="preserve"> 9606</f>
        <v>9606</v>
      </c>
      <c r="C140" s="30">
        <f t="shared" si="2"/>
        <v>8893.2275674750854</v>
      </c>
      <c r="D140" s="30">
        <f t="shared" si="0"/>
        <v>-4.7570702060906127</v>
      </c>
      <c r="E140" s="30">
        <f t="shared" si="3"/>
        <v>1.1534390964451799</v>
      </c>
      <c r="F140" s="30">
        <f t="shared" si="4"/>
        <v>10364.21046594685</v>
      </c>
      <c r="G140" s="30">
        <f t="shared" si="1"/>
        <v>-758.21046594684958</v>
      </c>
    </row>
    <row r="141" spans="1:7" ht="15" customHeight="1" x14ac:dyDescent="0.25">
      <c r="A141" s="27" t="s">
        <v>147</v>
      </c>
      <c r="B141" s="30">
        <f xml:space="preserve"> 10037</f>
        <v>10037</v>
      </c>
      <c r="C141" s="30">
        <f t="shared" si="2"/>
        <v>8898.2601285927849</v>
      </c>
      <c r="D141" s="30">
        <f t="shared" si="0"/>
        <v>-4.7570702060906127</v>
      </c>
      <c r="E141" s="30">
        <f t="shared" si="3"/>
        <v>1.1204231588868301</v>
      </c>
      <c r="F141" s="30">
        <f t="shared" si="4"/>
        <v>9958.8481922225201</v>
      </c>
      <c r="G141" s="30">
        <f t="shared" si="1"/>
        <v>78.151807777479917</v>
      </c>
    </row>
    <row r="142" spans="1:7" ht="15" customHeight="1" x14ac:dyDescent="0.25">
      <c r="A142" s="27" t="s">
        <v>148</v>
      </c>
      <c r="B142" s="30">
        <f xml:space="preserve"> 10208</f>
        <v>10208</v>
      </c>
      <c r="C142" s="30">
        <f t="shared" si="2"/>
        <v>8984.1330619198488</v>
      </c>
      <c r="D142" s="30">
        <f t="shared" si="0"/>
        <v>-4.7570702060906127</v>
      </c>
      <c r="E142" s="30">
        <f t="shared" si="3"/>
        <v>1.07010504979721</v>
      </c>
      <c r="F142" s="30">
        <f t="shared" si="4"/>
        <v>9516.9825331665324</v>
      </c>
      <c r="G142" s="30">
        <f t="shared" si="1"/>
        <v>691.01746683346755</v>
      </c>
    </row>
    <row r="143" spans="1:7" ht="15" customHeight="1" x14ac:dyDescent="0.25">
      <c r="A143" s="27" t="s">
        <v>149</v>
      </c>
      <c r="B143" s="30">
        <f xml:space="preserve"> 8585</f>
        <v>8585</v>
      </c>
      <c r="C143" s="30">
        <f t="shared" si="2"/>
        <v>8948.6965905317102</v>
      </c>
      <c r="D143" s="30">
        <f t="shared" si="0"/>
        <v>-4.7570702060906127</v>
      </c>
      <c r="E143" s="30">
        <f t="shared" si="3"/>
        <v>0.979935311848813</v>
      </c>
      <c r="F143" s="30">
        <f t="shared" si="4"/>
        <v>8799.2076126477659</v>
      </c>
      <c r="G143" s="30">
        <f t="shared" si="1"/>
        <v>-214.20761264776593</v>
      </c>
    </row>
    <row r="144" spans="1:7" ht="15" customHeight="1" x14ac:dyDescent="0.25">
      <c r="A144" s="27" t="s">
        <v>150</v>
      </c>
      <c r="B144" s="30">
        <f xml:space="preserve"> 10054</f>
        <v>10054</v>
      </c>
      <c r="C144" s="30">
        <f t="shared" si="2"/>
        <v>9218.7109755585916</v>
      </c>
      <c r="D144" s="30">
        <f t="shared" si="0"/>
        <v>-4.7570702060906127</v>
      </c>
      <c r="E144" s="30">
        <f t="shared" si="3"/>
        <v>0.92224046659864101</v>
      </c>
      <c r="F144" s="30">
        <f t="shared" si="4"/>
        <v>8248.4629564551251</v>
      </c>
      <c r="G144" s="30">
        <f t="shared" si="1"/>
        <v>1805.5370435448749</v>
      </c>
    </row>
    <row r="145" spans="1:7" ht="15" customHeight="1" x14ac:dyDescent="0.25">
      <c r="A145" s="27" t="s">
        <v>151</v>
      </c>
      <c r="B145" s="30">
        <f xml:space="preserve"> 7521</f>
        <v>7521</v>
      </c>
      <c r="C145" s="30">
        <f t="shared" si="2"/>
        <v>9245.7433486977534</v>
      </c>
      <c r="D145" s="30">
        <f t="shared" si="0"/>
        <v>-4.7570702060906127</v>
      </c>
      <c r="E145" s="30">
        <f t="shared" si="3"/>
        <v>0.79667756022487402</v>
      </c>
      <c r="F145" s="30">
        <f t="shared" si="4"/>
        <v>7340.5503173406796</v>
      </c>
      <c r="G145" s="30">
        <f t="shared" si="1"/>
        <v>180.44968265932039</v>
      </c>
    </row>
    <row r="146" spans="1:7" ht="15" customHeight="1" x14ac:dyDescent="0.25">
      <c r="A146" s="27" t="s">
        <v>152</v>
      </c>
      <c r="B146" s="30">
        <f xml:space="preserve"> 7092</f>
        <v>7092</v>
      </c>
      <c r="C146" s="30">
        <f t="shared" si="2"/>
        <v>9101.2676522460788</v>
      </c>
      <c r="D146" s="30">
        <f t="shared" si="0"/>
        <v>-4.7570702060906127</v>
      </c>
      <c r="E146" s="30">
        <f t="shared" si="3"/>
        <v>0.86010781790386404</v>
      </c>
      <c r="F146" s="30">
        <f t="shared" si="4"/>
        <v>7948.2445432730128</v>
      </c>
      <c r="G146" s="30">
        <f t="shared" si="1"/>
        <v>-856.24454327301282</v>
      </c>
    </row>
    <row r="147" spans="1:7" ht="15" customHeight="1" x14ac:dyDescent="0.25">
      <c r="A147" s="27" t="s">
        <v>153</v>
      </c>
      <c r="B147" s="30">
        <f xml:space="preserve"> 8594</f>
        <v>8594</v>
      </c>
      <c r="C147" s="30">
        <f t="shared" si="2"/>
        <v>9165.051326681174</v>
      </c>
      <c r="D147" s="30">
        <f t="shared" si="0"/>
        <v>-4.7570702060906127</v>
      </c>
      <c r="E147" s="30">
        <f t="shared" si="3"/>
        <v>0.89662146022058697</v>
      </c>
      <c r="F147" s="30">
        <f t="shared" si="4"/>
        <v>8156.126600980715</v>
      </c>
      <c r="G147" s="30">
        <f t="shared" si="1"/>
        <v>437.87339901928499</v>
      </c>
    </row>
    <row r="148" spans="1:7" ht="15" customHeight="1" x14ac:dyDescent="0.25">
      <c r="A148" s="27" t="s">
        <v>154</v>
      </c>
      <c r="B148" s="30">
        <f xml:space="preserve"> 8393</f>
        <v>8393</v>
      </c>
      <c r="C148" s="30">
        <f t="shared" si="2"/>
        <v>9100.6353542483466</v>
      </c>
      <c r="D148" s="30">
        <f t="shared" si="0"/>
        <v>-4.7570702060906127</v>
      </c>
      <c r="E148" s="30">
        <f t="shared" si="3"/>
        <v>0.96082308230047397</v>
      </c>
      <c r="F148" s="30">
        <f t="shared" si="4"/>
        <v>8801.4221622857167</v>
      </c>
      <c r="G148" s="30">
        <f t="shared" si="1"/>
        <v>-408.42216228571669</v>
      </c>
    </row>
    <row r="149" spans="1:7" ht="15" customHeight="1" x14ac:dyDescent="0.25">
      <c r="A149" s="27" t="s">
        <v>155</v>
      </c>
      <c r="B149" s="30">
        <f xml:space="preserve"> 8940</f>
        <v>8940</v>
      </c>
      <c r="C149" s="30">
        <f t="shared" si="2"/>
        <v>9066.8818910986083</v>
      </c>
      <c r="D149" s="30">
        <f t="shared" si="0"/>
        <v>-4.7570702060906127</v>
      </c>
      <c r="E149" s="30">
        <f t="shared" si="3"/>
        <v>1.0057061731177099</v>
      </c>
      <c r="F149" s="30">
        <f t="shared" si="4"/>
        <v>9147.7809401886188</v>
      </c>
      <c r="G149" s="30">
        <f t="shared" si="1"/>
        <v>-207.78094018861884</v>
      </c>
    </row>
    <row r="150" spans="1:7" ht="15" customHeight="1" x14ac:dyDescent="0.25">
      <c r="A150" s="27" t="s">
        <v>156</v>
      </c>
      <c r="B150" s="30">
        <f xml:space="preserve"> 9710</f>
        <v>9710</v>
      </c>
      <c r="C150" s="30">
        <f t="shared" si="2"/>
        <v>9047.522603449579</v>
      </c>
      <c r="D150" s="30">
        <f t="shared" si="0"/>
        <v>-4.7570702060906127</v>
      </c>
      <c r="E150" s="30">
        <f t="shared" si="3"/>
        <v>1.0839373094372999</v>
      </c>
      <c r="F150" s="30">
        <f t="shared" si="4"/>
        <v>9822.7751961432077</v>
      </c>
      <c r="G150" s="30">
        <f t="shared" si="1"/>
        <v>-112.77519614320772</v>
      </c>
    </row>
    <row r="151" spans="1:7" ht="15" customHeight="1" x14ac:dyDescent="0.25">
      <c r="A151" s="27" t="s">
        <v>157</v>
      </c>
      <c r="B151" s="30">
        <f xml:space="preserve"> 9392</f>
        <v>9392</v>
      </c>
      <c r="C151" s="30">
        <f t="shared" si="2"/>
        <v>8919.8623684777176</v>
      </c>
      <c r="D151" s="30">
        <f t="shared" ref="D151:D201" si="5">$B$10*(C151-C150)+(1-$B$10)*D150</f>
        <v>-4.7570702060906127</v>
      </c>
      <c r="E151" s="30">
        <f t="shared" si="3"/>
        <v>1.1499841763423699</v>
      </c>
      <c r="F151" s="30">
        <f t="shared" si="4"/>
        <v>10399.037273604185</v>
      </c>
      <c r="G151" s="30">
        <f t="shared" ref="G151:G201" si="6">B151-F151</f>
        <v>-1007.0372736041845</v>
      </c>
    </row>
    <row r="152" spans="1:7" ht="15" customHeight="1" x14ac:dyDescent="0.25">
      <c r="A152" s="27" t="s">
        <v>158</v>
      </c>
      <c r="B152" s="30">
        <f xml:space="preserve"> 11138</f>
        <v>11138</v>
      </c>
      <c r="C152" s="30">
        <f t="shared" si="2"/>
        <v>9019.1368521425702</v>
      </c>
      <c r="D152" s="30">
        <f t="shared" si="5"/>
        <v>-4.7570702060906127</v>
      </c>
      <c r="E152" s="30">
        <f t="shared" si="3"/>
        <v>1.1534390964451799</v>
      </c>
      <c r="F152" s="30">
        <f t="shared" si="4"/>
        <v>10283.030999952061</v>
      </c>
      <c r="G152" s="30">
        <f t="shared" si="6"/>
        <v>854.96900004793861</v>
      </c>
    </row>
    <row r="153" spans="1:7" ht="15" customHeight="1" x14ac:dyDescent="0.25">
      <c r="A153" s="27" t="s">
        <v>159</v>
      </c>
      <c r="B153" s="30">
        <f xml:space="preserve"> 10664</f>
        <v>10664</v>
      </c>
      <c r="C153" s="30">
        <f t="shared" si="2"/>
        <v>9085.0388832436911</v>
      </c>
      <c r="D153" s="30">
        <f t="shared" si="5"/>
        <v>-4.7570702060906127</v>
      </c>
      <c r="E153" s="30">
        <f t="shared" si="3"/>
        <v>1.1204231588868301</v>
      </c>
      <c r="F153" s="30">
        <f t="shared" si="4"/>
        <v>10099.919870682845</v>
      </c>
      <c r="G153" s="30">
        <f t="shared" si="6"/>
        <v>564.0801293171553</v>
      </c>
    </row>
    <row r="154" spans="1:7" ht="15" customHeight="1" x14ac:dyDescent="0.25">
      <c r="A154" s="27" t="s">
        <v>160</v>
      </c>
      <c r="B154" s="30">
        <f xml:space="preserve"> 9681</f>
        <v>9681</v>
      </c>
      <c r="C154" s="30">
        <f t="shared" si="2"/>
        <v>9075.5792155599265</v>
      </c>
      <c r="D154" s="30">
        <f t="shared" si="5"/>
        <v>-4.7570702060906127</v>
      </c>
      <c r="E154" s="30">
        <f t="shared" si="3"/>
        <v>1.07010504979721</v>
      </c>
      <c r="F154" s="30">
        <f t="shared" si="4"/>
        <v>9716.8554217133005</v>
      </c>
      <c r="G154" s="30">
        <f t="shared" si="6"/>
        <v>-35.85542171330053</v>
      </c>
    </row>
    <row r="155" spans="1:7" ht="15" customHeight="1" x14ac:dyDescent="0.25">
      <c r="A155" s="27" t="s">
        <v>161</v>
      </c>
      <c r="B155" s="30">
        <f xml:space="preserve"> 8698</f>
        <v>8698</v>
      </c>
      <c r="C155" s="30">
        <f t="shared" si="2"/>
        <v>9043.4925357070588</v>
      </c>
      <c r="D155" s="30">
        <f t="shared" si="5"/>
        <v>-4.7570702060906127</v>
      </c>
      <c r="E155" s="30">
        <f t="shared" si="3"/>
        <v>0.979935311848813</v>
      </c>
      <c r="F155" s="30">
        <f t="shared" si="4"/>
        <v>8888.8189277324291</v>
      </c>
      <c r="G155" s="30">
        <f t="shared" si="6"/>
        <v>-190.81892773242907</v>
      </c>
    </row>
    <row r="156" spans="1:7" ht="15" customHeight="1" x14ac:dyDescent="0.25">
      <c r="A156" s="27" t="s">
        <v>162</v>
      </c>
      <c r="B156" s="30">
        <f xml:space="preserve"> 8581</f>
        <v>8581</v>
      </c>
      <c r="C156" s="30">
        <f t="shared" si="2"/>
        <v>9076.0373239518849</v>
      </c>
      <c r="D156" s="30">
        <f t="shared" si="5"/>
        <v>-4.7570702060906127</v>
      </c>
      <c r="E156" s="30">
        <f t="shared" si="3"/>
        <v>0.92224046659864101</v>
      </c>
      <c r="F156" s="30">
        <f t="shared" si="4"/>
        <v>8335.8876131652978</v>
      </c>
      <c r="G156" s="30">
        <f t="shared" si="6"/>
        <v>245.11238683470219</v>
      </c>
    </row>
    <row r="157" spans="1:7" ht="15" customHeight="1" x14ac:dyDescent="0.25">
      <c r="A157" s="27" t="s">
        <v>163</v>
      </c>
      <c r="B157" s="30">
        <f xml:space="preserve"> 6310</f>
        <v>6310</v>
      </c>
      <c r="C157" s="30">
        <f t="shared" si="2"/>
        <v>8909.7544660306939</v>
      </c>
      <c r="D157" s="30">
        <f t="shared" si="5"/>
        <v>-4.7570702060906127</v>
      </c>
      <c r="E157" s="30">
        <f t="shared" si="3"/>
        <v>0.79667756022487402</v>
      </c>
      <c r="F157" s="30">
        <f t="shared" si="4"/>
        <v>7226.8854206702754</v>
      </c>
      <c r="G157" s="30">
        <f t="shared" si="6"/>
        <v>-916.88542067027538</v>
      </c>
    </row>
    <row r="158" spans="1:7" ht="15" customHeight="1" x14ac:dyDescent="0.25">
      <c r="A158" s="27" t="s">
        <v>164</v>
      </c>
      <c r="B158" s="30">
        <f xml:space="preserve"> 7357</f>
        <v>7357</v>
      </c>
      <c r="C158" s="30">
        <f t="shared" si="2"/>
        <v>8855.6761407037247</v>
      </c>
      <c r="D158" s="30">
        <f t="shared" si="5"/>
        <v>-4.7570702060906127</v>
      </c>
      <c r="E158" s="30">
        <f t="shared" si="3"/>
        <v>0.86010781790386404</v>
      </c>
      <c r="F158" s="30">
        <f t="shared" si="4"/>
        <v>7659.2578785622909</v>
      </c>
      <c r="G158" s="30">
        <f t="shared" si="6"/>
        <v>-302.2578785622909</v>
      </c>
    </row>
    <row r="159" spans="1:7" ht="15" customHeight="1" x14ac:dyDescent="0.25">
      <c r="A159" s="27" t="s">
        <v>165</v>
      </c>
      <c r="B159" s="30">
        <f xml:space="preserve"> 8353</f>
        <v>8353</v>
      </c>
      <c r="C159" s="30">
        <f t="shared" si="2"/>
        <v>8916.2043811806161</v>
      </c>
      <c r="D159" s="30">
        <f t="shared" si="5"/>
        <v>-4.7570702060906127</v>
      </c>
      <c r="E159" s="30">
        <f t="shared" si="3"/>
        <v>0.89662146022058697</v>
      </c>
      <c r="F159" s="30">
        <f t="shared" si="4"/>
        <v>7935.9239812838287</v>
      </c>
      <c r="G159" s="30">
        <f t="shared" si="6"/>
        <v>417.07601871617135</v>
      </c>
    </row>
    <row r="160" spans="1:7" ht="15" customHeight="1" x14ac:dyDescent="0.25">
      <c r="A160" s="27" t="s">
        <v>166</v>
      </c>
      <c r="B160" s="30">
        <f xml:space="preserve"> 8292</f>
        <v>8292</v>
      </c>
      <c r="C160" s="30">
        <f t="shared" si="2"/>
        <v>8871.9605963274462</v>
      </c>
      <c r="D160" s="30">
        <f t="shared" si="5"/>
        <v>-4.7570702060906127</v>
      </c>
      <c r="E160" s="30">
        <f t="shared" si="3"/>
        <v>0.96082308230047397</v>
      </c>
      <c r="F160" s="30">
        <f t="shared" si="4"/>
        <v>8562.3242730888142</v>
      </c>
      <c r="G160" s="30">
        <f t="shared" si="6"/>
        <v>-270.32427308881415</v>
      </c>
    </row>
    <row r="161" spans="1:7" ht="15" customHeight="1" x14ac:dyDescent="0.25">
      <c r="A161" s="27" t="s">
        <v>167</v>
      </c>
      <c r="B161" s="30">
        <f xml:space="preserve"> 9078</f>
        <v>9078</v>
      </c>
      <c r="C161" s="30">
        <f t="shared" si="2"/>
        <v>8889.5596851574192</v>
      </c>
      <c r="D161" s="30">
        <f t="shared" si="5"/>
        <v>-4.7570702060906127</v>
      </c>
      <c r="E161" s="30">
        <f t="shared" si="3"/>
        <v>1.0057061731177099</v>
      </c>
      <c r="F161" s="30">
        <f t="shared" si="4"/>
        <v>8917.8013245113707</v>
      </c>
      <c r="G161" s="30">
        <f t="shared" si="6"/>
        <v>160.19867548862931</v>
      </c>
    </row>
    <row r="162" spans="1:7" ht="15" customHeight="1" x14ac:dyDescent="0.25">
      <c r="A162" s="27" t="s">
        <v>168</v>
      </c>
      <c r="B162" s="30">
        <f xml:space="preserve"> 10353</f>
        <v>10353</v>
      </c>
      <c r="C162" s="30">
        <f t="shared" ref="C162:C201" si="7">$B$9*B162/E150+(1-$B$9)*(C161+D161)</f>
        <v>8978.3435202811361</v>
      </c>
      <c r="D162" s="30">
        <f t="shared" si="5"/>
        <v>-4.7570702060906127</v>
      </c>
      <c r="E162" s="30">
        <f t="shared" ref="E162:E201" si="8">$B$11*(B162/C162)+(1-$B$11)*E150</f>
        <v>1.0839373094372999</v>
      </c>
      <c r="F162" s="30">
        <f t="shared" ref="F162:F201" si="9">(C161+D161)*E150</f>
        <v>9630.5690413318298</v>
      </c>
      <c r="G162" s="30">
        <f t="shared" si="6"/>
        <v>722.43095866817021</v>
      </c>
    </row>
    <row r="163" spans="1:7" ht="15" customHeight="1" x14ac:dyDescent="0.25">
      <c r="A163" s="27" t="s">
        <v>169</v>
      </c>
      <c r="B163" s="30">
        <f xml:space="preserve"> 9228</f>
        <v>9228</v>
      </c>
      <c r="C163" s="30">
        <f t="shared" si="7"/>
        <v>8840.3772357359285</v>
      </c>
      <c r="D163" s="30">
        <f t="shared" si="5"/>
        <v>-4.7570702060906127</v>
      </c>
      <c r="E163" s="30">
        <f t="shared" si="8"/>
        <v>1.1499841763423699</v>
      </c>
      <c r="F163" s="30">
        <f t="shared" si="9"/>
        <v>10319.482422626603</v>
      </c>
      <c r="G163" s="30">
        <f t="shared" si="6"/>
        <v>-1091.4824226266028</v>
      </c>
    </row>
    <row r="164" spans="1:7" ht="15" customHeight="1" x14ac:dyDescent="0.25">
      <c r="A164" s="27" t="s">
        <v>170</v>
      </c>
      <c r="B164" s="30">
        <f xml:space="preserve"> 9420</f>
        <v>9420</v>
      </c>
      <c r="C164" s="30">
        <f t="shared" si="7"/>
        <v>8741.7632981429979</v>
      </c>
      <c r="D164" s="30">
        <f t="shared" si="5"/>
        <v>-4.7570702060906127</v>
      </c>
      <c r="E164" s="30">
        <f t="shared" si="8"/>
        <v>1.1534390964451799</v>
      </c>
      <c r="F164" s="30">
        <f t="shared" si="9"/>
        <v>10191.349740261547</v>
      </c>
      <c r="G164" s="30">
        <f t="shared" si="6"/>
        <v>-771.34974026154669</v>
      </c>
    </row>
    <row r="165" spans="1:7" ht="15" customHeight="1" x14ac:dyDescent="0.25">
      <c r="A165" s="27" t="s">
        <v>171</v>
      </c>
      <c r="B165" s="30">
        <f xml:space="preserve"> 10636</f>
        <v>10636</v>
      </c>
      <c r="C165" s="30">
        <f t="shared" si="7"/>
        <v>8843.087035451852</v>
      </c>
      <c r="D165" s="30">
        <f t="shared" si="5"/>
        <v>-4.7570702060906127</v>
      </c>
      <c r="E165" s="30">
        <f t="shared" si="8"/>
        <v>1.1204231588868301</v>
      </c>
      <c r="F165" s="30">
        <f t="shared" si="9"/>
        <v>9789.1441171189763</v>
      </c>
      <c r="G165" s="30">
        <f t="shared" si="6"/>
        <v>846.85588288102372</v>
      </c>
    </row>
    <row r="166" spans="1:7" ht="15" customHeight="1" x14ac:dyDescent="0.25">
      <c r="A166" s="27" t="s">
        <v>172</v>
      </c>
      <c r="B166" s="30">
        <f xml:space="preserve"> 9953</f>
        <v>9953</v>
      </c>
      <c r="C166" s="30">
        <f t="shared" si="7"/>
        <v>8903.2590781230756</v>
      </c>
      <c r="D166" s="30">
        <f t="shared" si="5"/>
        <v>-4.7570702060906127</v>
      </c>
      <c r="E166" s="30">
        <f t="shared" si="8"/>
        <v>1.07010504979721</v>
      </c>
      <c r="F166" s="30">
        <f t="shared" si="9"/>
        <v>9457.941527583489</v>
      </c>
      <c r="G166" s="30">
        <f t="shared" si="6"/>
        <v>495.05847241651099</v>
      </c>
    </row>
    <row r="167" spans="1:7" ht="15" customHeight="1" x14ac:dyDescent="0.25">
      <c r="A167" s="27" t="s">
        <v>173</v>
      </c>
      <c r="B167" s="30">
        <f xml:space="preserve"> 9177</f>
        <v>9177</v>
      </c>
      <c r="C167" s="30">
        <f t="shared" si="7"/>
        <v>8963.9610531207945</v>
      </c>
      <c r="D167" s="30">
        <f t="shared" si="5"/>
        <v>-4.7570702060906127</v>
      </c>
      <c r="E167" s="30">
        <f t="shared" si="8"/>
        <v>0.979935311848813</v>
      </c>
      <c r="F167" s="30">
        <f t="shared" si="9"/>
        <v>8719.9563401154192</v>
      </c>
      <c r="G167" s="30">
        <f t="shared" si="6"/>
        <v>457.04365988458085</v>
      </c>
    </row>
    <row r="168" spans="1:7" ht="15" customHeight="1" x14ac:dyDescent="0.25">
      <c r="A168" s="27" t="s">
        <v>174</v>
      </c>
      <c r="B168" s="30">
        <f xml:space="preserve"> 7192</f>
        <v>7192</v>
      </c>
      <c r="C168" s="30">
        <f t="shared" si="7"/>
        <v>8796.2862728853906</v>
      </c>
      <c r="D168" s="30">
        <f t="shared" si="5"/>
        <v>-4.7570702060906127</v>
      </c>
      <c r="E168" s="30">
        <f t="shared" si="8"/>
        <v>0.92224046659864101</v>
      </c>
      <c r="F168" s="30">
        <f t="shared" si="9"/>
        <v>8262.5404615556581</v>
      </c>
      <c r="G168" s="30">
        <f t="shared" si="6"/>
        <v>-1070.5404615556581</v>
      </c>
    </row>
    <row r="169" spans="1:7" ht="15" customHeight="1" x14ac:dyDescent="0.25">
      <c r="A169" s="27" t="s">
        <v>175</v>
      </c>
      <c r="B169" s="30">
        <f xml:space="preserve"> 6624</f>
        <v>6624</v>
      </c>
      <c r="C169" s="30">
        <f t="shared" si="7"/>
        <v>8724.5829244449087</v>
      </c>
      <c r="D169" s="30">
        <f t="shared" si="5"/>
        <v>-4.7570702060906127</v>
      </c>
      <c r="E169" s="30">
        <f t="shared" si="8"/>
        <v>0.79667756022487402</v>
      </c>
      <c r="F169" s="30">
        <f t="shared" si="9"/>
        <v>7004.014035836276</v>
      </c>
      <c r="G169" s="30">
        <f t="shared" si="6"/>
        <v>-380.01403583627598</v>
      </c>
    </row>
    <row r="170" spans="1:7" ht="15" customHeight="1" x14ac:dyDescent="0.25">
      <c r="A170" s="27" t="s">
        <v>176</v>
      </c>
      <c r="B170" s="30">
        <f xml:space="preserve"> 9084</f>
        <v>9084</v>
      </c>
      <c r="C170" s="30">
        <f t="shared" si="7"/>
        <v>8978.2983299917178</v>
      </c>
      <c r="D170" s="30">
        <f t="shared" si="5"/>
        <v>-4.7570702060906127</v>
      </c>
      <c r="E170" s="30">
        <f t="shared" si="8"/>
        <v>0.86010781790386404</v>
      </c>
      <c r="F170" s="30">
        <f t="shared" si="9"/>
        <v>7499.9903879910462</v>
      </c>
      <c r="G170" s="30">
        <f t="shared" si="6"/>
        <v>1584.0096120089538</v>
      </c>
    </row>
    <row r="171" spans="1:7" ht="15" customHeight="1" x14ac:dyDescent="0.25">
      <c r="A171" s="27" t="s">
        <v>177</v>
      </c>
      <c r="B171" s="30">
        <f xml:space="preserve"> 7771</f>
        <v>7771</v>
      </c>
      <c r="C171" s="30">
        <f t="shared" si="7"/>
        <v>8930.5156461138686</v>
      </c>
      <c r="D171" s="30">
        <f t="shared" si="5"/>
        <v>-4.7570702060906127</v>
      </c>
      <c r="E171" s="30">
        <f t="shared" si="8"/>
        <v>0.89662146022058697</v>
      </c>
      <c r="F171" s="30">
        <f t="shared" si="9"/>
        <v>8045.8696676986738</v>
      </c>
      <c r="G171" s="30">
        <f t="shared" si="6"/>
        <v>-274.86966769867377</v>
      </c>
    </row>
    <row r="172" spans="1:7" ht="15" customHeight="1" x14ac:dyDescent="0.25">
      <c r="A172" s="27" t="s">
        <v>178</v>
      </c>
      <c r="B172" s="30">
        <f xml:space="preserve"> 9400</f>
        <v>9400</v>
      </c>
      <c r="C172" s="30">
        <f t="shared" si="7"/>
        <v>9046.1106858182993</v>
      </c>
      <c r="D172" s="30">
        <f t="shared" si="5"/>
        <v>-4.7570702060906127</v>
      </c>
      <c r="E172" s="30">
        <f t="shared" si="8"/>
        <v>0.96082308230047397</v>
      </c>
      <c r="F172" s="30">
        <f t="shared" si="9"/>
        <v>8576.0748667736007</v>
      </c>
      <c r="G172" s="30">
        <f t="shared" si="6"/>
        <v>823.92513322639934</v>
      </c>
    </row>
    <row r="173" spans="1:7" ht="15" customHeight="1" x14ac:dyDescent="0.25">
      <c r="A173" s="27" t="s">
        <v>179</v>
      </c>
      <c r="B173" s="30">
        <f xml:space="preserve"> 9194</f>
        <v>9194</v>
      </c>
      <c r="C173" s="30">
        <f t="shared" si="7"/>
        <v>9055.4560943790439</v>
      </c>
      <c r="D173" s="30">
        <f t="shared" si="5"/>
        <v>-4.7570702060906127</v>
      </c>
      <c r="E173" s="30">
        <f t="shared" si="8"/>
        <v>1.0057061731177099</v>
      </c>
      <c r="F173" s="30">
        <f t="shared" si="9"/>
        <v>9092.9451445613249</v>
      </c>
      <c r="G173" s="30">
        <f t="shared" si="6"/>
        <v>101.05485543867508</v>
      </c>
    </row>
    <row r="174" spans="1:7" ht="15" customHeight="1" x14ac:dyDescent="0.25">
      <c r="A174" s="27" t="s">
        <v>180</v>
      </c>
      <c r="B174" s="30">
        <f xml:space="preserve"> 10002</f>
        <v>10002</v>
      </c>
      <c r="C174" s="30">
        <f t="shared" si="7"/>
        <v>9075.5087863089284</v>
      </c>
      <c r="D174" s="30">
        <f t="shared" si="5"/>
        <v>-4.7570702060906127</v>
      </c>
      <c r="E174" s="30">
        <f t="shared" si="8"/>
        <v>1.0839373094372999</v>
      </c>
      <c r="F174" s="30">
        <f t="shared" si="9"/>
        <v>9810.3903487888256</v>
      </c>
      <c r="G174" s="30">
        <f t="shared" si="6"/>
        <v>191.60965121117442</v>
      </c>
    </row>
    <row r="175" spans="1:7" ht="15" customHeight="1" x14ac:dyDescent="0.25">
      <c r="A175" s="27" t="s">
        <v>181</v>
      </c>
      <c r="B175" s="30">
        <f xml:space="preserve"> 10538</f>
        <v>10538</v>
      </c>
      <c r="C175" s="30">
        <f t="shared" si="7"/>
        <v>9083.7834922046895</v>
      </c>
      <c r="D175" s="30">
        <f t="shared" si="5"/>
        <v>-4.7570702060906127</v>
      </c>
      <c r="E175" s="30">
        <f t="shared" si="8"/>
        <v>1.1499841763423699</v>
      </c>
      <c r="F175" s="30">
        <f t="shared" si="9"/>
        <v>10431.220941048659</v>
      </c>
      <c r="G175" s="30">
        <f t="shared" si="6"/>
        <v>106.77905895134063</v>
      </c>
    </row>
    <row r="176" spans="1:7" ht="15" customHeight="1" x14ac:dyDescent="0.25">
      <c r="A176" s="27" t="s">
        <v>182</v>
      </c>
      <c r="B176" s="30">
        <f xml:space="preserve"> 8717</f>
        <v>8717</v>
      </c>
      <c r="C176" s="30">
        <f t="shared" si="7"/>
        <v>8865.4675681380795</v>
      </c>
      <c r="D176" s="30">
        <f t="shared" si="5"/>
        <v>-4.7570702060906127</v>
      </c>
      <c r="E176" s="30">
        <f t="shared" si="8"/>
        <v>1.1534390964451799</v>
      </c>
      <c r="F176" s="30">
        <f t="shared" si="9"/>
        <v>10472.104032791978</v>
      </c>
      <c r="G176" s="30">
        <f t="shared" si="6"/>
        <v>-1755.1040327919782</v>
      </c>
    </row>
    <row r="177" spans="1:7" ht="15" customHeight="1" x14ac:dyDescent="0.25">
      <c r="A177" s="27" t="s">
        <v>183</v>
      </c>
      <c r="B177" s="30">
        <f xml:space="preserve"> 11071</f>
        <v>11071</v>
      </c>
      <c r="C177" s="30">
        <f t="shared" si="7"/>
        <v>9003.9195018998325</v>
      </c>
      <c r="D177" s="30">
        <f t="shared" si="5"/>
        <v>-4.7570702060906127</v>
      </c>
      <c r="E177" s="30">
        <f t="shared" si="8"/>
        <v>1.1204231588868301</v>
      </c>
      <c r="F177" s="30">
        <f t="shared" si="9"/>
        <v>9927.7452460746554</v>
      </c>
      <c r="G177" s="30">
        <f t="shared" si="6"/>
        <v>1143.2547539253446</v>
      </c>
    </row>
    <row r="178" spans="1:7" ht="15" customHeight="1" x14ac:dyDescent="0.25">
      <c r="A178" s="27" t="s">
        <v>184</v>
      </c>
      <c r="B178" s="30">
        <f xml:space="preserve"> 9441</f>
        <v>9441</v>
      </c>
      <c r="C178" s="30">
        <f t="shared" si="7"/>
        <v>8974.367796172226</v>
      </c>
      <c r="D178" s="30">
        <f t="shared" si="5"/>
        <v>-4.7570702060906127</v>
      </c>
      <c r="E178" s="30">
        <f t="shared" si="8"/>
        <v>1.07010504979721</v>
      </c>
      <c r="F178" s="30">
        <f t="shared" si="9"/>
        <v>9630.0491621008132</v>
      </c>
      <c r="G178" s="30">
        <f t="shared" si="6"/>
        <v>-189.04916210081319</v>
      </c>
    </row>
    <row r="179" spans="1:7" ht="15" customHeight="1" x14ac:dyDescent="0.25">
      <c r="A179" s="27" t="s">
        <v>185</v>
      </c>
      <c r="B179" s="30">
        <f xml:space="preserve"> 8548</f>
        <v>8548</v>
      </c>
      <c r="C179" s="30">
        <f t="shared" si="7"/>
        <v>8935.0026288894423</v>
      </c>
      <c r="D179" s="30">
        <f t="shared" si="5"/>
        <v>-4.7570702060906127</v>
      </c>
      <c r="E179" s="30">
        <f t="shared" si="8"/>
        <v>0.979935311848813</v>
      </c>
      <c r="F179" s="30">
        <f t="shared" si="9"/>
        <v>8789.6382839120815</v>
      </c>
      <c r="G179" s="30">
        <f t="shared" si="6"/>
        <v>-241.63828391208153</v>
      </c>
    </row>
    <row r="180" spans="1:7" ht="15" customHeight="1" x14ac:dyDescent="0.25">
      <c r="A180" s="27" t="s">
        <v>186</v>
      </c>
      <c r="B180" s="30">
        <f xml:space="preserve"> 8566</f>
        <v>8566</v>
      </c>
      <c r="C180" s="30">
        <f t="shared" si="7"/>
        <v>8980.4911291533572</v>
      </c>
      <c r="D180" s="30">
        <f t="shared" si="5"/>
        <v>-4.7570702060906127</v>
      </c>
      <c r="E180" s="30">
        <f t="shared" si="8"/>
        <v>0.92224046659864101</v>
      </c>
      <c r="F180" s="30">
        <f t="shared" si="9"/>
        <v>8235.833830880576</v>
      </c>
      <c r="G180" s="30">
        <f t="shared" si="6"/>
        <v>330.16616911942401</v>
      </c>
    </row>
    <row r="181" spans="1:7" ht="15" customHeight="1" x14ac:dyDescent="0.25">
      <c r="A181" s="27" t="s">
        <v>187</v>
      </c>
      <c r="B181" s="30">
        <f xml:space="preserve"> 7876</f>
        <v>7876</v>
      </c>
      <c r="C181" s="30">
        <f t="shared" si="7"/>
        <v>9103.4970321745568</v>
      </c>
      <c r="D181" s="30">
        <f t="shared" si="5"/>
        <v>-4.7570702060906127</v>
      </c>
      <c r="E181" s="30">
        <f t="shared" si="8"/>
        <v>0.79667756022487402</v>
      </c>
      <c r="F181" s="30">
        <f t="shared" si="9"/>
        <v>7150.7659113094132</v>
      </c>
      <c r="G181" s="30">
        <f t="shared" si="6"/>
        <v>725.23408869058676</v>
      </c>
    </row>
    <row r="182" spans="1:7" ht="15" customHeight="1" x14ac:dyDescent="0.25">
      <c r="A182" s="27" t="s">
        <v>188</v>
      </c>
      <c r="B182" s="30">
        <f xml:space="preserve"> 7534</f>
        <v>7534</v>
      </c>
      <c r="C182" s="30">
        <f t="shared" si="7"/>
        <v>9051.1092932872398</v>
      </c>
      <c r="D182" s="30">
        <f t="shared" si="5"/>
        <v>-4.7570702060906127</v>
      </c>
      <c r="E182" s="30">
        <f t="shared" si="8"/>
        <v>0.86010781790386404</v>
      </c>
      <c r="F182" s="30">
        <f t="shared" si="9"/>
        <v>7825.8973743633842</v>
      </c>
      <c r="G182" s="30">
        <f t="shared" si="6"/>
        <v>-291.89737436338419</v>
      </c>
    </row>
    <row r="183" spans="1:7" ht="15" customHeight="1" x14ac:dyDescent="0.25">
      <c r="A183" s="27" t="s">
        <v>189</v>
      </c>
      <c r="B183" s="30">
        <f xml:space="preserve"> 7125</f>
        <v>7125</v>
      </c>
      <c r="C183" s="30">
        <f t="shared" si="7"/>
        <v>8891.9886602142378</v>
      </c>
      <c r="D183" s="30">
        <f t="shared" si="5"/>
        <v>-4.7570702060906127</v>
      </c>
      <c r="E183" s="30">
        <f t="shared" si="8"/>
        <v>0.89662146022058697</v>
      </c>
      <c r="F183" s="30">
        <f t="shared" si="9"/>
        <v>8111.1535399287723</v>
      </c>
      <c r="G183" s="30">
        <f t="shared" si="6"/>
        <v>-986.15353992877226</v>
      </c>
    </row>
    <row r="184" spans="1:7" ht="15" customHeight="1" x14ac:dyDescent="0.25">
      <c r="A184" s="27" t="s">
        <v>190</v>
      </c>
      <c r="B184" s="30">
        <f xml:space="preserve"> 8743</f>
        <v>8743</v>
      </c>
      <c r="C184" s="30">
        <f t="shared" si="7"/>
        <v>8917.021845629999</v>
      </c>
      <c r="D184" s="30">
        <f t="shared" si="5"/>
        <v>-4.7570702060906127</v>
      </c>
      <c r="E184" s="30">
        <f t="shared" si="8"/>
        <v>0.96082308230047397</v>
      </c>
      <c r="F184" s="30">
        <f t="shared" si="9"/>
        <v>8539.0572494297703</v>
      </c>
      <c r="G184" s="30">
        <f t="shared" si="6"/>
        <v>203.94275057022969</v>
      </c>
    </row>
    <row r="185" spans="1:7" ht="15" customHeight="1" x14ac:dyDescent="0.25">
      <c r="A185" s="27" t="s">
        <v>191</v>
      </c>
      <c r="B185" s="30">
        <f xml:space="preserve"> 9070</f>
        <v>9070</v>
      </c>
      <c r="C185" s="30">
        <f t="shared" si="7"/>
        <v>8927.1802106025552</v>
      </c>
      <c r="D185" s="30">
        <f t="shared" si="5"/>
        <v>-4.7570702060906127</v>
      </c>
      <c r="E185" s="30">
        <f t="shared" si="8"/>
        <v>1.0057061731177099</v>
      </c>
      <c r="F185" s="30">
        <f t="shared" si="9"/>
        <v>8963.1197011033455</v>
      </c>
      <c r="G185" s="30">
        <f t="shared" si="6"/>
        <v>106.88029889665449</v>
      </c>
    </row>
    <row r="186" spans="1:7" ht="15" customHeight="1" x14ac:dyDescent="0.25">
      <c r="A186" s="27" t="s">
        <v>192</v>
      </c>
      <c r="B186" s="30">
        <f xml:space="preserve"> 9132</f>
        <v>9132</v>
      </c>
      <c r="C186" s="30">
        <f t="shared" si="7"/>
        <v>8852.5880410552581</v>
      </c>
      <c r="D186" s="30">
        <f t="shared" si="5"/>
        <v>-4.7570702060906127</v>
      </c>
      <c r="E186" s="30">
        <f t="shared" si="8"/>
        <v>1.0839373094372999</v>
      </c>
      <c r="F186" s="30">
        <f t="shared" si="9"/>
        <v>9671.3473324624483</v>
      </c>
      <c r="G186" s="30">
        <f t="shared" si="6"/>
        <v>-539.34733246244832</v>
      </c>
    </row>
    <row r="187" spans="1:7" ht="15" customHeight="1" x14ac:dyDescent="0.25">
      <c r="A187" s="27" t="s">
        <v>193</v>
      </c>
      <c r="B187" s="30">
        <f xml:space="preserve"> 10237</f>
        <v>10237</v>
      </c>
      <c r="C187" s="30">
        <f t="shared" si="7"/>
        <v>8855.4141191559756</v>
      </c>
      <c r="D187" s="30">
        <f t="shared" si="5"/>
        <v>-4.7570702060906127</v>
      </c>
      <c r="E187" s="30">
        <f t="shared" si="8"/>
        <v>1.1499841763423699</v>
      </c>
      <c r="F187" s="30">
        <f t="shared" si="9"/>
        <v>10174.865611428491</v>
      </c>
      <c r="G187" s="30">
        <f t="shared" si="6"/>
        <v>62.13438857150868</v>
      </c>
    </row>
    <row r="188" spans="1:7" ht="15" customHeight="1" x14ac:dyDescent="0.25">
      <c r="A188" s="27" t="s">
        <v>194</v>
      </c>
      <c r="B188" s="30">
        <f xml:space="preserve"> 9414</f>
        <v>9414</v>
      </c>
      <c r="C188" s="30">
        <f t="shared" si="7"/>
        <v>8753.9596972449654</v>
      </c>
      <c r="D188" s="30">
        <f t="shared" si="5"/>
        <v>-4.7570702060906127</v>
      </c>
      <c r="E188" s="30">
        <f t="shared" si="8"/>
        <v>1.1534390964451799</v>
      </c>
      <c r="F188" s="30">
        <f t="shared" si="9"/>
        <v>10208.693869486917</v>
      </c>
      <c r="G188" s="30">
        <f t="shared" si="6"/>
        <v>-794.69386948691681</v>
      </c>
    </row>
    <row r="189" spans="1:7" ht="15" customHeight="1" x14ac:dyDescent="0.25">
      <c r="A189" s="27" t="s">
        <v>195</v>
      </c>
      <c r="B189" s="30">
        <f xml:space="preserve"> 9033</f>
        <v>9033</v>
      </c>
      <c r="C189" s="30">
        <f t="shared" si="7"/>
        <v>8652.7730125006638</v>
      </c>
      <c r="D189" s="30">
        <f t="shared" si="5"/>
        <v>-4.7570702060906127</v>
      </c>
      <c r="E189" s="30">
        <f t="shared" si="8"/>
        <v>1.1204231588868301</v>
      </c>
      <c r="F189" s="30">
        <f t="shared" si="9"/>
        <v>9802.809245127848</v>
      </c>
      <c r="G189" s="30">
        <f t="shared" si="6"/>
        <v>-769.80924512784804</v>
      </c>
    </row>
    <row r="190" spans="1:7" ht="15" customHeight="1" x14ac:dyDescent="0.25">
      <c r="A190" s="27" t="s">
        <v>196</v>
      </c>
      <c r="B190" s="30">
        <f xml:space="preserve"> 8375</f>
        <v>8375</v>
      </c>
      <c r="C190" s="30">
        <f t="shared" si="7"/>
        <v>8532.6937477515821</v>
      </c>
      <c r="D190" s="30">
        <f t="shared" si="5"/>
        <v>-4.7570702060906127</v>
      </c>
      <c r="E190" s="30">
        <f t="shared" si="8"/>
        <v>1.07010504979721</v>
      </c>
      <c r="F190" s="30">
        <f t="shared" si="9"/>
        <v>9254.2855305761987</v>
      </c>
      <c r="G190" s="30">
        <f t="shared" si="6"/>
        <v>-879.28553057619865</v>
      </c>
    </row>
    <row r="191" spans="1:7" ht="15" customHeight="1" x14ac:dyDescent="0.25">
      <c r="A191" s="27" t="s">
        <v>197</v>
      </c>
      <c r="B191" s="30">
        <f xml:space="preserve"> 8906</f>
        <v>8906</v>
      </c>
      <c r="C191" s="30">
        <f t="shared" si="7"/>
        <v>8606.5908413028574</v>
      </c>
      <c r="D191" s="30">
        <f t="shared" si="5"/>
        <v>-4.7570702060906127</v>
      </c>
      <c r="E191" s="30">
        <f t="shared" si="8"/>
        <v>0.979935311848813</v>
      </c>
      <c r="F191" s="30">
        <f t="shared" si="9"/>
        <v>8356.8262875374712</v>
      </c>
      <c r="G191" s="30">
        <f t="shared" si="6"/>
        <v>549.17371246252878</v>
      </c>
    </row>
    <row r="192" spans="1:7" ht="15" customHeight="1" x14ac:dyDescent="0.25">
      <c r="A192" s="27" t="s">
        <v>198</v>
      </c>
      <c r="B192" s="30">
        <f xml:space="preserve"> 7122</f>
        <v>7122</v>
      </c>
      <c r="C192" s="30">
        <f t="shared" si="7"/>
        <v>8478.4198329840492</v>
      </c>
      <c r="D192" s="30">
        <f t="shared" si="5"/>
        <v>-4.7570702060906127</v>
      </c>
      <c r="E192" s="30">
        <f t="shared" si="8"/>
        <v>0.92224046659864101</v>
      </c>
      <c r="F192" s="30">
        <f t="shared" si="9"/>
        <v>7932.9591906602291</v>
      </c>
      <c r="G192" s="30">
        <f t="shared" si="6"/>
        <v>-810.95919066022907</v>
      </c>
    </row>
    <row r="193" spans="1:7" ht="15" customHeight="1" x14ac:dyDescent="0.25">
      <c r="A193" s="27" t="s">
        <v>199</v>
      </c>
      <c r="B193" s="30">
        <f xml:space="preserve"> 7193</f>
        <v>7193</v>
      </c>
      <c r="C193" s="30">
        <f t="shared" si="7"/>
        <v>8551.5682683995619</v>
      </c>
      <c r="D193" s="30">
        <f t="shared" si="5"/>
        <v>-4.7570702060906127</v>
      </c>
      <c r="E193" s="30">
        <f t="shared" si="8"/>
        <v>0.79667756022487402</v>
      </c>
      <c r="F193" s="30">
        <f t="shared" si="9"/>
        <v>6750.7769760183091</v>
      </c>
      <c r="G193" s="30">
        <f t="shared" si="6"/>
        <v>442.22302398169086</v>
      </c>
    </row>
    <row r="194" spans="1:7" ht="15" customHeight="1" x14ac:dyDescent="0.25">
      <c r="A194" s="27" t="s">
        <v>200</v>
      </c>
      <c r="B194" s="30">
        <f xml:space="preserve"> 7619</f>
        <v>7619</v>
      </c>
      <c r="C194" s="30">
        <f t="shared" si="7"/>
        <v>8590.5131573711024</v>
      </c>
      <c r="D194" s="30">
        <f t="shared" si="5"/>
        <v>-4.7570702060906127</v>
      </c>
      <c r="E194" s="30">
        <f t="shared" si="8"/>
        <v>0.86010781790386404</v>
      </c>
      <c r="F194" s="30">
        <f t="shared" si="9"/>
        <v>7351.1791297144955</v>
      </c>
      <c r="G194" s="30">
        <f t="shared" si="6"/>
        <v>267.8208702855045</v>
      </c>
    </row>
    <row r="195" spans="1:7" ht="15" customHeight="1" x14ac:dyDescent="0.25">
      <c r="A195" s="27" t="s">
        <v>201</v>
      </c>
      <c r="B195" s="30">
        <f xml:space="preserve"> 7793</f>
        <v>7793</v>
      </c>
      <c r="C195" s="30">
        <f t="shared" si="7"/>
        <v>8600.5994237140421</v>
      </c>
      <c r="D195" s="30">
        <f t="shared" si="5"/>
        <v>-4.7570702060906127</v>
      </c>
      <c r="E195" s="30">
        <f t="shared" si="8"/>
        <v>0.89662146022058697</v>
      </c>
      <c r="F195" s="30">
        <f t="shared" si="9"/>
        <v>7698.1731599716859</v>
      </c>
      <c r="G195" s="30">
        <f t="shared" si="6"/>
        <v>94.826840028314109</v>
      </c>
    </row>
    <row r="196" spans="1:7" ht="15" customHeight="1" x14ac:dyDescent="0.25">
      <c r="A196" s="27" t="s">
        <v>202</v>
      </c>
      <c r="B196" s="30">
        <f xml:space="preserve"> 7434</f>
        <v>7434</v>
      </c>
      <c r="C196" s="30">
        <f t="shared" si="7"/>
        <v>8475.3210032454863</v>
      </c>
      <c r="D196" s="30">
        <f t="shared" si="5"/>
        <v>-4.7570702060906127</v>
      </c>
      <c r="E196" s="30">
        <f t="shared" si="8"/>
        <v>0.96082308230047397</v>
      </c>
      <c r="F196" s="30">
        <f t="shared" si="9"/>
        <v>8259.0837450664694</v>
      </c>
      <c r="G196" s="30">
        <f t="shared" si="6"/>
        <v>-825.08374506646942</v>
      </c>
    </row>
    <row r="197" spans="1:7" ht="15" customHeight="1" x14ac:dyDescent="0.25">
      <c r="A197" s="27" t="s">
        <v>203</v>
      </c>
      <c r="B197" s="30">
        <f xml:space="preserve"> 10299</f>
        <v>10299</v>
      </c>
      <c r="C197" s="30">
        <f t="shared" si="7"/>
        <v>8718.9819272325021</v>
      </c>
      <c r="D197" s="30">
        <f t="shared" si="5"/>
        <v>-4.7570702060906127</v>
      </c>
      <c r="E197" s="30">
        <f t="shared" si="8"/>
        <v>1.0057061731177099</v>
      </c>
      <c r="F197" s="30">
        <f t="shared" si="9"/>
        <v>8518.8984372459472</v>
      </c>
      <c r="G197" s="30">
        <f t="shared" si="6"/>
        <v>1780.1015627540528</v>
      </c>
    </row>
    <row r="198" spans="1:7" ht="15" customHeight="1" x14ac:dyDescent="0.25">
      <c r="A198" s="27" t="s">
        <v>204</v>
      </c>
      <c r="B198" s="30">
        <f xml:space="preserve"> 9082</f>
        <v>9082</v>
      </c>
      <c r="C198" s="30">
        <f t="shared" si="7"/>
        <v>8667.1361450672721</v>
      </c>
      <c r="D198" s="30">
        <f t="shared" si="5"/>
        <v>-4.7570702060906127</v>
      </c>
      <c r="E198" s="30">
        <f t="shared" si="8"/>
        <v>1.0839373094372999</v>
      </c>
      <c r="F198" s="30">
        <f t="shared" si="9"/>
        <v>9445.6734453568479</v>
      </c>
      <c r="G198" s="30">
        <f t="shared" si="6"/>
        <v>-363.67344535684788</v>
      </c>
    </row>
    <row r="199" spans="1:7" ht="15" customHeight="1" x14ac:dyDescent="0.25">
      <c r="A199" s="27" t="s">
        <v>205</v>
      </c>
      <c r="B199" s="30">
        <f xml:space="preserve"> 9805</f>
        <v>9805</v>
      </c>
      <c r="C199" s="30">
        <f t="shared" si="7"/>
        <v>8643.267075055699</v>
      </c>
      <c r="D199" s="30">
        <f t="shared" si="5"/>
        <v>-4.7570702060906127</v>
      </c>
      <c r="E199" s="30">
        <f t="shared" si="8"/>
        <v>1.1499841763423699</v>
      </c>
      <c r="F199" s="30">
        <f t="shared" si="9"/>
        <v>9961.5988655696165</v>
      </c>
      <c r="G199" s="30">
        <f t="shared" si="6"/>
        <v>-156.59886556961646</v>
      </c>
    </row>
    <row r="200" spans="1:7" ht="15" customHeight="1" x14ac:dyDescent="0.25">
      <c r="A200" s="27" t="s">
        <v>206</v>
      </c>
      <c r="B200" s="30">
        <f xml:space="preserve"> 10482</f>
        <v>10482</v>
      </c>
      <c r="C200" s="30">
        <f t="shared" si="7"/>
        <v>8701.5401812574582</v>
      </c>
      <c r="D200" s="30">
        <f t="shared" si="5"/>
        <v>-4.7570702060906127</v>
      </c>
      <c r="E200" s="30">
        <f t="shared" si="8"/>
        <v>1.1534390964451799</v>
      </c>
      <c r="F200" s="30">
        <f t="shared" si="9"/>
        <v>9963.9951746263796</v>
      </c>
      <c r="G200" s="30">
        <f t="shared" si="6"/>
        <v>518.00482537362041</v>
      </c>
    </row>
    <row r="201" spans="1:7" ht="15" customHeight="1" x14ac:dyDescent="0.25">
      <c r="A201" s="31" t="s">
        <v>207</v>
      </c>
      <c r="B201" s="32">
        <f xml:space="preserve"> 10858</f>
        <v>10858</v>
      </c>
      <c r="C201" s="32">
        <f t="shared" si="7"/>
        <v>8836.3178677262076</v>
      </c>
      <c r="D201" s="32">
        <f t="shared" si="5"/>
        <v>-4.7570702060906127</v>
      </c>
      <c r="E201" s="32">
        <f t="shared" si="8"/>
        <v>1.1204231588868301</v>
      </c>
      <c r="F201" s="32">
        <f t="shared" si="9"/>
        <v>9744.0772054378067</v>
      </c>
      <c r="G201" s="32">
        <f t="shared" si="6"/>
        <v>1113.9227945621933</v>
      </c>
    </row>
    <row r="202" spans="1:7" ht="15" customHeight="1" x14ac:dyDescent="0.25">
      <c r="A202" s="27" t="s">
        <v>208</v>
      </c>
      <c r="B202" s="30"/>
      <c r="C202" s="30"/>
      <c r="D202" s="30"/>
      <c r="E202" s="30"/>
      <c r="F202" s="30">
        <f>(C201+(1*D201))*E190</f>
        <v>9450.6978070173518</v>
      </c>
      <c r="G202" s="30"/>
    </row>
    <row r="203" spans="1:7" ht="15" customHeight="1" x14ac:dyDescent="0.25">
      <c r="A203" s="27" t="s">
        <v>213</v>
      </c>
      <c r="B203" s="30"/>
      <c r="C203" s="30"/>
      <c r="D203" s="30"/>
      <c r="E203" s="30"/>
      <c r="F203" s="30">
        <f>(C201+(2*D201))*E191</f>
        <v>8649.6966631537362</v>
      </c>
      <c r="G203" s="30"/>
    </row>
    <row r="204" spans="1:7" ht="15" customHeight="1" x14ac:dyDescent="0.25">
      <c r="A204" s="27" t="s">
        <v>214</v>
      </c>
      <c r="B204" s="30"/>
      <c r="C204" s="30"/>
      <c r="D204" s="30"/>
      <c r="E204" s="30"/>
      <c r="F204" s="30">
        <f>(C201+(3*D201))*E192</f>
        <v>8136.0484254062039</v>
      </c>
      <c r="G204" s="30"/>
    </row>
    <row r="205" spans="1:7" ht="15" customHeight="1" x14ac:dyDescent="0.25">
      <c r="A205" s="27" t="s">
        <v>215</v>
      </c>
      <c r="B205" s="30"/>
      <c r="C205" s="30"/>
      <c r="D205" s="30"/>
      <c r="E205" s="30"/>
      <c r="F205" s="30">
        <f>(C201+(4*D201))*E193</f>
        <v>7024.5367558891494</v>
      </c>
      <c r="G205" s="30"/>
    </row>
    <row r="206" spans="1:7" ht="15" customHeight="1" x14ac:dyDescent="0.25">
      <c r="A206" s="27" t="s">
        <v>216</v>
      </c>
      <c r="B206" s="30"/>
      <c r="C206" s="30"/>
      <c r="D206" s="30"/>
      <c r="E206" s="30"/>
      <c r="F206" s="30">
        <f>(C201+(5*D201))*E194</f>
        <v>7579.7281131420323</v>
      </c>
      <c r="G206" s="30"/>
    </row>
    <row r="207" spans="1:7" ht="15" customHeight="1" x14ac:dyDescent="0.25">
      <c r="A207" s="27" t="s">
        <v>217</v>
      </c>
      <c r="B207" s="30"/>
      <c r="C207" s="30"/>
      <c r="D207" s="30"/>
      <c r="E207" s="30"/>
      <c r="F207" s="30">
        <f>(C201+(6*D201))*E195</f>
        <v>7897.2404821265955</v>
      </c>
      <c r="G207" s="30"/>
    </row>
    <row r="208" spans="1:7" ht="15" customHeight="1" x14ac:dyDescent="0.25">
      <c r="A208" s="27" t="s">
        <v>218</v>
      </c>
      <c r="B208" s="30"/>
      <c r="C208" s="30"/>
      <c r="D208" s="30"/>
      <c r="E208" s="30"/>
      <c r="F208" s="30">
        <f>(C201+(7*D201))*E196</f>
        <v>8458.1432498484955</v>
      </c>
      <c r="G208" s="30"/>
    </row>
    <row r="209" spans="1:7" ht="15" customHeight="1" x14ac:dyDescent="0.25">
      <c r="A209" s="27" t="s">
        <v>219</v>
      </c>
      <c r="B209" s="30"/>
      <c r="C209" s="30"/>
      <c r="D209" s="30"/>
      <c r="E209" s="30"/>
      <c r="F209" s="30">
        <f>(C201+(8*D201))*E197</f>
        <v>8848.4657082248086</v>
      </c>
      <c r="G209" s="30"/>
    </row>
  </sheetData>
  <mergeCells count="1">
    <mergeCell ref="J84:K84"/>
  </mergeCells>
  <pageMargins left="0.7" right="0.7" top="0.75" bottom="0.75" header="0.3" footer="0.3"/>
  <pageSetup paperSize="9" orientation="portrait" r:id="rId1"/>
  <drawing r:id="rId2"/>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
  <sheetViews>
    <sheetView workbookViewId="0"/>
  </sheetViews>
  <sheetFormatPr defaultColWidth="30.7109375" defaultRowHeight="15" x14ac:dyDescent="0.25"/>
  <cols>
    <col min="1" max="1" width="30.7109375" style="2"/>
    <col min="2" max="16384" width="30.7109375" style="1"/>
  </cols>
  <sheetData>
    <row r="1" spans="1:20" x14ac:dyDescent="0.25">
      <c r="A1" s="2" t="s">
        <v>14</v>
      </c>
      <c r="B1" s="1" t="s">
        <v>2</v>
      </c>
      <c r="C1" s="1" t="s">
        <v>5</v>
      </c>
      <c r="D1" s="1">
        <v>8</v>
      </c>
      <c r="E1" s="1" t="s">
        <v>6</v>
      </c>
      <c r="F1" s="1">
        <v>0</v>
      </c>
      <c r="G1" s="1" t="s">
        <v>7</v>
      </c>
      <c r="H1" s="1">
        <v>1</v>
      </c>
      <c r="I1" s="1" t="s">
        <v>8</v>
      </c>
      <c r="J1" s="1">
        <v>1</v>
      </c>
      <c r="K1" s="1" t="s">
        <v>9</v>
      </c>
      <c r="L1" s="1">
        <v>0</v>
      </c>
      <c r="M1" s="1" t="s">
        <v>10</v>
      </c>
      <c r="N1" s="1">
        <v>0</v>
      </c>
      <c r="O1" s="1" t="s">
        <v>11</v>
      </c>
      <c r="P1" s="1">
        <v>1</v>
      </c>
      <c r="Q1" s="1" t="s">
        <v>12</v>
      </c>
      <c r="R1" s="1">
        <v>0</v>
      </c>
      <c r="S1" s="1" t="s">
        <v>13</v>
      </c>
      <c r="T1" s="1">
        <v>0</v>
      </c>
    </row>
    <row r="2" spans="1:20" x14ac:dyDescent="0.25">
      <c r="A2" s="2" t="s">
        <v>15</v>
      </c>
      <c r="B2" s="1" t="s">
        <v>45</v>
      </c>
    </row>
    <row r="3" spans="1:20" x14ac:dyDescent="0.25">
      <c r="A3" s="2" t="s">
        <v>16</v>
      </c>
      <c r="B3" s="1" t="b">
        <f>IF(B10&gt;256,"TripUpST110AndEarlier",TRUE)</f>
        <v>1</v>
      </c>
    </row>
    <row r="4" spans="1:20" x14ac:dyDescent="0.25">
      <c r="A4" s="2" t="s">
        <v>17</v>
      </c>
      <c r="B4" s="1" t="s">
        <v>18</v>
      </c>
    </row>
    <row r="5" spans="1:20" x14ac:dyDescent="0.25">
      <c r="A5" s="2" t="s">
        <v>19</v>
      </c>
      <c r="B5" s="1" t="b">
        <v>1</v>
      </c>
    </row>
    <row r="6" spans="1:20" x14ac:dyDescent="0.25">
      <c r="A6" s="2" t="s">
        <v>20</v>
      </c>
      <c r="B6" s="1" t="b">
        <v>0</v>
      </c>
    </row>
    <row r="7" spans="1:20" x14ac:dyDescent="0.25">
      <c r="A7" s="2" t="s">
        <v>21</v>
      </c>
      <c r="B7" s="1" t="e">
        <f>'Problem 4 a(1)'!$G$1:$H$118</f>
        <v>#VALUE!</v>
      </c>
    </row>
    <row r="8" spans="1:20" x14ac:dyDescent="0.25">
      <c r="A8" s="2" t="s">
        <v>22</v>
      </c>
      <c r="B8" s="1">
        <v>2</v>
      </c>
    </row>
    <row r="9" spans="1:20" x14ac:dyDescent="0.25">
      <c r="A9" s="2" t="s">
        <v>23</v>
      </c>
      <c r="B9" s="37">
        <f>1</f>
        <v>1</v>
      </c>
    </row>
    <row r="10" spans="1:20" x14ac:dyDescent="0.25">
      <c r="A10" s="2" t="s">
        <v>24</v>
      </c>
      <c r="B10" s="1">
        <v>2</v>
      </c>
    </row>
    <row r="12" spans="1:20" x14ac:dyDescent="0.25">
      <c r="A12" s="2" t="s">
        <v>25</v>
      </c>
      <c r="B12" s="1" t="s">
        <v>46</v>
      </c>
      <c r="C12" s="1" t="s">
        <v>26</v>
      </c>
      <c r="D12" s="1" t="s">
        <v>47</v>
      </c>
      <c r="E12" s="1" t="b">
        <v>1</v>
      </c>
      <c r="F12" s="1">
        <v>0</v>
      </c>
      <c r="G12" s="1">
        <v>4</v>
      </c>
      <c r="H12" s="1">
        <v>0</v>
      </c>
    </row>
    <row r="13" spans="1:20" x14ac:dyDescent="0.25">
      <c r="A13" s="2" t="s">
        <v>28</v>
      </c>
      <c r="B13" s="1">
        <f>'Problem 4 a(1)'!$G$1:$G$118</f>
        <v>41821</v>
      </c>
    </row>
    <row r="14" spans="1:20" x14ac:dyDescent="0.25">
      <c r="A14" s="2" t="s">
        <v>29</v>
      </c>
    </row>
    <row r="15" spans="1:20" x14ac:dyDescent="0.25">
      <c r="A15" s="2" t="s">
        <v>30</v>
      </c>
      <c r="B15" s="1" t="s">
        <v>48</v>
      </c>
      <c r="C15" s="1" t="s">
        <v>31</v>
      </c>
      <c r="D15" s="1" t="s">
        <v>36</v>
      </c>
      <c r="E15" s="1" t="b">
        <v>1</v>
      </c>
      <c r="F15" s="1">
        <v>0</v>
      </c>
      <c r="G15" s="1">
        <v>4</v>
      </c>
      <c r="H15" s="1">
        <v>0</v>
      </c>
    </row>
    <row r="16" spans="1:20" x14ac:dyDescent="0.25">
      <c r="A16" s="2" t="s">
        <v>33</v>
      </c>
      <c r="B16" s="1">
        <f>'Problem 4 a(1)'!$H$1:$H$118</f>
        <v>7346</v>
      </c>
    </row>
    <row r="17" spans="1:1" x14ac:dyDescent="0.25">
      <c r="A17" s="2" t="s">
        <v>34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
  <sheetViews>
    <sheetView workbookViewId="0"/>
  </sheetViews>
  <sheetFormatPr defaultColWidth="30.7109375" defaultRowHeight="15" x14ac:dyDescent="0.25"/>
  <cols>
    <col min="1" max="1" width="30.7109375" style="2"/>
    <col min="2" max="16384" width="30.7109375" style="1"/>
  </cols>
  <sheetData>
    <row r="1" spans="1:20" x14ac:dyDescent="0.25">
      <c r="A1" s="2" t="s">
        <v>14</v>
      </c>
      <c r="B1" s="1" t="s">
        <v>0</v>
      </c>
      <c r="C1" s="1" t="s">
        <v>5</v>
      </c>
      <c r="D1" s="1">
        <v>8</v>
      </c>
      <c r="E1" s="1" t="s">
        <v>6</v>
      </c>
      <c r="F1" s="1">
        <v>0</v>
      </c>
      <c r="G1" s="1" t="s">
        <v>7</v>
      </c>
      <c r="H1" s="1">
        <v>1</v>
      </c>
      <c r="I1" s="1" t="s">
        <v>8</v>
      </c>
      <c r="J1" s="1">
        <v>1</v>
      </c>
      <c r="K1" s="1" t="s">
        <v>9</v>
      </c>
      <c r="L1" s="1">
        <v>0</v>
      </c>
      <c r="M1" s="1" t="s">
        <v>10</v>
      </c>
      <c r="N1" s="1">
        <v>0</v>
      </c>
      <c r="O1" s="1" t="s">
        <v>11</v>
      </c>
      <c r="P1" s="1">
        <v>1</v>
      </c>
      <c r="Q1" s="1" t="s">
        <v>12</v>
      </c>
      <c r="R1" s="1">
        <v>0</v>
      </c>
      <c r="S1" s="1" t="s">
        <v>13</v>
      </c>
      <c r="T1" s="1">
        <v>0</v>
      </c>
    </row>
    <row r="2" spans="1:20" x14ac:dyDescent="0.25">
      <c r="A2" s="2" t="s">
        <v>15</v>
      </c>
      <c r="B2" s="1" t="s">
        <v>38</v>
      </c>
    </row>
    <row r="3" spans="1:20" x14ac:dyDescent="0.25">
      <c r="A3" s="2" t="s">
        <v>16</v>
      </c>
      <c r="B3" s="1" t="b">
        <f>IF(B10&gt;256,"TripUpST110AndEarlier",TRUE)</f>
        <v>1</v>
      </c>
    </row>
    <row r="4" spans="1:20" x14ac:dyDescent="0.25">
      <c r="A4" s="2" t="s">
        <v>17</v>
      </c>
      <c r="B4" s="1" t="s">
        <v>18</v>
      </c>
    </row>
    <row r="5" spans="1:20" x14ac:dyDescent="0.25">
      <c r="A5" s="2" t="s">
        <v>19</v>
      </c>
      <c r="B5" s="1" t="b">
        <v>1</v>
      </c>
    </row>
    <row r="6" spans="1:20" x14ac:dyDescent="0.25">
      <c r="A6" s="2" t="s">
        <v>20</v>
      </c>
      <c r="B6" s="1" t="b">
        <v>0</v>
      </c>
    </row>
    <row r="7" spans="1:20" x14ac:dyDescent="0.25">
      <c r="A7" s="2" t="s">
        <v>21</v>
      </c>
      <c r="B7" s="1">
        <f>'Problem 4 a(1)'!$A$1:$B$118</f>
        <v>11227</v>
      </c>
    </row>
    <row r="8" spans="1:20" x14ac:dyDescent="0.25">
      <c r="A8" s="2" t="s">
        <v>22</v>
      </c>
      <c r="B8" s="1">
        <v>2</v>
      </c>
    </row>
    <row r="9" spans="1:20" x14ac:dyDescent="0.25">
      <c r="A9" s="2" t="s">
        <v>23</v>
      </c>
      <c r="B9" s="37">
        <f>1</f>
        <v>1</v>
      </c>
    </row>
    <row r="10" spans="1:20" x14ac:dyDescent="0.25">
      <c r="A10" s="2" t="s">
        <v>24</v>
      </c>
      <c r="B10" s="1">
        <v>2</v>
      </c>
    </row>
    <row r="12" spans="1:20" x14ac:dyDescent="0.25">
      <c r="A12" s="2" t="s">
        <v>25</v>
      </c>
      <c r="B12" s="1" t="s">
        <v>39</v>
      </c>
      <c r="C12" s="1" t="s">
        <v>26</v>
      </c>
      <c r="D12" s="1" t="s">
        <v>27</v>
      </c>
      <c r="E12" s="1" t="b">
        <v>1</v>
      </c>
      <c r="F12" s="1">
        <v>0</v>
      </c>
      <c r="G12" s="1">
        <v>4</v>
      </c>
      <c r="H12" s="1">
        <v>0</v>
      </c>
    </row>
    <row r="13" spans="1:20" x14ac:dyDescent="0.25">
      <c r="A13" s="2" t="s">
        <v>28</v>
      </c>
      <c r="B13" s="1">
        <f>'Problem 4 a(1)'!$A$1:$A$118</f>
        <v>41821</v>
      </c>
    </row>
    <row r="14" spans="1:20" x14ac:dyDescent="0.25">
      <c r="A14" s="2" t="s">
        <v>29</v>
      </c>
    </row>
    <row r="15" spans="1:20" x14ac:dyDescent="0.25">
      <c r="A15" s="2" t="s">
        <v>30</v>
      </c>
      <c r="B15" s="1" t="s">
        <v>40</v>
      </c>
      <c r="C15" s="1" t="s">
        <v>31</v>
      </c>
      <c r="D15" s="1" t="s">
        <v>32</v>
      </c>
      <c r="E15" s="1" t="b">
        <v>1</v>
      </c>
      <c r="F15" s="1">
        <v>0</v>
      </c>
      <c r="G15" s="1">
        <v>4</v>
      </c>
      <c r="H15" s="1">
        <v>0</v>
      </c>
    </row>
    <row r="16" spans="1:20" x14ac:dyDescent="0.25">
      <c r="A16" s="2" t="s">
        <v>33</v>
      </c>
      <c r="B16" s="1">
        <f>'Problem 4 a(1)'!$B$1:$B$118</f>
        <v>9375</v>
      </c>
    </row>
    <row r="17" spans="1:1" x14ac:dyDescent="0.25">
      <c r="A17" s="2" t="s">
        <v>34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
  <sheetViews>
    <sheetView workbookViewId="0"/>
  </sheetViews>
  <sheetFormatPr defaultColWidth="30.7109375" defaultRowHeight="15" x14ac:dyDescent="0.25"/>
  <cols>
    <col min="1" max="1" width="30.7109375" style="2"/>
    <col min="2" max="16384" width="30.7109375" style="1"/>
  </cols>
  <sheetData>
    <row r="1" spans="1:20" x14ac:dyDescent="0.25">
      <c r="A1" s="2" t="s">
        <v>14</v>
      </c>
      <c r="B1" s="1" t="s">
        <v>276</v>
      </c>
      <c r="C1" s="1" t="s">
        <v>5</v>
      </c>
      <c r="D1" s="1">
        <v>8</v>
      </c>
      <c r="E1" s="1" t="s">
        <v>6</v>
      </c>
      <c r="F1" s="1">
        <v>0</v>
      </c>
      <c r="G1" s="1" t="s">
        <v>7</v>
      </c>
      <c r="H1" s="1">
        <v>1</v>
      </c>
      <c r="I1" s="1" t="s">
        <v>8</v>
      </c>
      <c r="J1" s="1">
        <v>1</v>
      </c>
      <c r="K1" s="1" t="s">
        <v>9</v>
      </c>
      <c r="L1" s="1">
        <v>0</v>
      </c>
      <c r="M1" s="1" t="s">
        <v>10</v>
      </c>
      <c r="N1" s="1">
        <v>0</v>
      </c>
      <c r="O1" s="1" t="s">
        <v>11</v>
      </c>
      <c r="P1" s="1">
        <v>1</v>
      </c>
      <c r="Q1" s="1" t="s">
        <v>12</v>
      </c>
      <c r="R1" s="1">
        <v>0</v>
      </c>
      <c r="S1" s="1" t="s">
        <v>13</v>
      </c>
      <c r="T1" s="1">
        <v>0</v>
      </c>
    </row>
    <row r="2" spans="1:20" x14ac:dyDescent="0.25">
      <c r="A2" s="2" t="s">
        <v>15</v>
      </c>
      <c r="B2" s="1" t="s">
        <v>277</v>
      </c>
    </row>
    <row r="3" spans="1:20" x14ac:dyDescent="0.25">
      <c r="A3" s="2" t="s">
        <v>16</v>
      </c>
      <c r="B3" s="1" t="b">
        <f>IF(B10&gt;256,"TripUpST110AndEarlier",TRUE)</f>
        <v>1</v>
      </c>
    </row>
    <row r="4" spans="1:20" x14ac:dyDescent="0.25">
      <c r="A4" s="2" t="s">
        <v>17</v>
      </c>
      <c r="B4" s="1" t="s">
        <v>18</v>
      </c>
    </row>
    <row r="5" spans="1:20" x14ac:dyDescent="0.25">
      <c r="A5" s="2" t="s">
        <v>19</v>
      </c>
      <c r="B5" s="1" t="b">
        <v>1</v>
      </c>
    </row>
    <row r="6" spans="1:20" x14ac:dyDescent="0.25">
      <c r="A6" s="2" t="s">
        <v>20</v>
      </c>
      <c r="B6" s="1" t="b">
        <v>0</v>
      </c>
    </row>
    <row r="7" spans="1:20" x14ac:dyDescent="0.25">
      <c r="A7" s="2" t="s">
        <v>21</v>
      </c>
      <c r="B7" s="1">
        <f>'Ressiduals for each region'!$D$1:$D$118</f>
        <v>1365.9487179487187</v>
      </c>
    </row>
    <row r="8" spans="1:20" x14ac:dyDescent="0.25">
      <c r="A8" s="2" t="s">
        <v>22</v>
      </c>
      <c r="B8" s="1">
        <v>2</v>
      </c>
    </row>
    <row r="9" spans="1:20" x14ac:dyDescent="0.25">
      <c r="A9" s="2" t="s">
        <v>23</v>
      </c>
      <c r="B9" s="37">
        <f>1</f>
        <v>1</v>
      </c>
    </row>
    <row r="10" spans="1:20" x14ac:dyDescent="0.25">
      <c r="A10" s="2" t="s">
        <v>24</v>
      </c>
      <c r="B10" s="1">
        <v>1</v>
      </c>
    </row>
    <row r="12" spans="1:20" x14ac:dyDescent="0.25">
      <c r="A12" s="2" t="s">
        <v>25</v>
      </c>
      <c r="B12" s="1" t="s">
        <v>278</v>
      </c>
      <c r="C12" s="1" t="s">
        <v>26</v>
      </c>
      <c r="D12" s="1" t="s">
        <v>279</v>
      </c>
      <c r="E12" s="1" t="b">
        <v>1</v>
      </c>
      <c r="F12" s="1">
        <v>0</v>
      </c>
      <c r="G12" s="1">
        <v>4</v>
      </c>
      <c r="H12" s="1">
        <v>0</v>
      </c>
    </row>
    <row r="13" spans="1:20" x14ac:dyDescent="0.25">
      <c r="A13" s="2" t="s">
        <v>28</v>
      </c>
      <c r="B13" s="1">
        <f>'Ressiduals for each region'!$D$1:$D$118</f>
        <v>-677.05128205128131</v>
      </c>
    </row>
    <row r="14" spans="1:20" x14ac:dyDescent="0.25">
      <c r="A14" s="2" t="s">
        <v>29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
  <sheetViews>
    <sheetView workbookViewId="0"/>
  </sheetViews>
  <sheetFormatPr defaultColWidth="30.7109375" defaultRowHeight="15" x14ac:dyDescent="0.25"/>
  <cols>
    <col min="1" max="1" width="30.7109375" style="2"/>
    <col min="2" max="16384" width="30.7109375" style="1"/>
  </cols>
  <sheetData>
    <row r="1" spans="1:20" x14ac:dyDescent="0.25">
      <c r="A1" s="2" t="s">
        <v>14</v>
      </c>
      <c r="B1" s="1" t="s">
        <v>272</v>
      </c>
      <c r="C1" s="1" t="s">
        <v>5</v>
      </c>
      <c r="D1" s="1">
        <v>8</v>
      </c>
      <c r="E1" s="1" t="s">
        <v>6</v>
      </c>
      <c r="F1" s="1">
        <v>0</v>
      </c>
      <c r="G1" s="1" t="s">
        <v>7</v>
      </c>
      <c r="H1" s="1">
        <v>1</v>
      </c>
      <c r="I1" s="1" t="s">
        <v>8</v>
      </c>
      <c r="J1" s="1">
        <v>1</v>
      </c>
      <c r="K1" s="1" t="s">
        <v>9</v>
      </c>
      <c r="L1" s="1">
        <v>0</v>
      </c>
      <c r="M1" s="1" t="s">
        <v>10</v>
      </c>
      <c r="N1" s="1">
        <v>0</v>
      </c>
      <c r="O1" s="1" t="s">
        <v>11</v>
      </c>
      <c r="P1" s="1">
        <v>1</v>
      </c>
      <c r="Q1" s="1" t="s">
        <v>12</v>
      </c>
      <c r="R1" s="1">
        <v>0</v>
      </c>
      <c r="S1" s="1" t="s">
        <v>13</v>
      </c>
      <c r="T1" s="1">
        <v>0</v>
      </c>
    </row>
    <row r="2" spans="1:20" x14ac:dyDescent="0.25">
      <c r="A2" s="2" t="s">
        <v>15</v>
      </c>
      <c r="B2" s="1" t="s">
        <v>273</v>
      </c>
    </row>
    <row r="3" spans="1:20" x14ac:dyDescent="0.25">
      <c r="A3" s="2" t="s">
        <v>16</v>
      </c>
      <c r="B3" s="1" t="b">
        <f>IF(B10&gt;256,"TripUpST110AndEarlier",TRUE)</f>
        <v>1</v>
      </c>
    </row>
    <row r="4" spans="1:20" x14ac:dyDescent="0.25">
      <c r="A4" s="2" t="s">
        <v>17</v>
      </c>
      <c r="B4" s="1" t="s">
        <v>18</v>
      </c>
    </row>
    <row r="5" spans="1:20" x14ac:dyDescent="0.25">
      <c r="A5" s="2" t="s">
        <v>19</v>
      </c>
      <c r="B5" s="1" t="b">
        <v>1</v>
      </c>
    </row>
    <row r="6" spans="1:20" x14ac:dyDescent="0.25">
      <c r="A6" s="2" t="s">
        <v>20</v>
      </c>
      <c r="B6" s="1" t="b">
        <v>0</v>
      </c>
    </row>
    <row r="7" spans="1:20" x14ac:dyDescent="0.25">
      <c r="A7" s="2" t="s">
        <v>21</v>
      </c>
      <c r="B7" s="1">
        <f>'Ressiduals for each region'!$A$1:$A$118</f>
        <v>797.95726495726558</v>
      </c>
    </row>
    <row r="8" spans="1:20" x14ac:dyDescent="0.25">
      <c r="A8" s="2" t="s">
        <v>22</v>
      </c>
      <c r="B8" s="1">
        <v>2</v>
      </c>
    </row>
    <row r="9" spans="1:20" x14ac:dyDescent="0.25">
      <c r="A9" s="2" t="s">
        <v>23</v>
      </c>
      <c r="B9" s="37">
        <f>1</f>
        <v>1</v>
      </c>
    </row>
    <row r="10" spans="1:20" x14ac:dyDescent="0.25">
      <c r="A10" s="2" t="s">
        <v>24</v>
      </c>
      <c r="B10" s="1">
        <v>1</v>
      </c>
    </row>
    <row r="12" spans="1:20" x14ac:dyDescent="0.25">
      <c r="A12" s="2" t="s">
        <v>25</v>
      </c>
      <c r="B12" s="1" t="s">
        <v>274</v>
      </c>
      <c r="C12" s="1" t="s">
        <v>26</v>
      </c>
      <c r="D12" s="1" t="s">
        <v>275</v>
      </c>
      <c r="E12" s="1" t="b">
        <v>1</v>
      </c>
      <c r="F12" s="1">
        <v>0</v>
      </c>
      <c r="G12" s="1">
        <v>4</v>
      </c>
      <c r="H12" s="1">
        <v>0</v>
      </c>
    </row>
    <row r="13" spans="1:20" x14ac:dyDescent="0.25">
      <c r="A13" s="2" t="s">
        <v>28</v>
      </c>
      <c r="B13" s="1">
        <f>'Ressiduals for each region'!$A$1:$A$118</f>
        <v>-1948.0427350427344</v>
      </c>
    </row>
    <row r="14" spans="1:20" x14ac:dyDescent="0.25">
      <c r="A14" s="2" t="s">
        <v>29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
  <sheetViews>
    <sheetView workbookViewId="0"/>
  </sheetViews>
  <sheetFormatPr defaultColWidth="30.7109375" defaultRowHeight="15" x14ac:dyDescent="0.25"/>
  <cols>
    <col min="1" max="1" width="30.7109375" style="2"/>
    <col min="2" max="16384" width="30.7109375" style="1"/>
  </cols>
  <sheetData>
    <row r="1" spans="1:20" x14ac:dyDescent="0.25">
      <c r="A1" s="2" t="s">
        <v>14</v>
      </c>
      <c r="B1" s="1" t="s">
        <v>3</v>
      </c>
      <c r="C1" s="1" t="s">
        <v>5</v>
      </c>
      <c r="D1" s="1">
        <v>8</v>
      </c>
      <c r="E1" s="1" t="s">
        <v>6</v>
      </c>
      <c r="F1" s="1">
        <v>0</v>
      </c>
      <c r="G1" s="1" t="s">
        <v>7</v>
      </c>
      <c r="H1" s="1">
        <v>1</v>
      </c>
      <c r="I1" s="1" t="s">
        <v>8</v>
      </c>
      <c r="J1" s="1">
        <v>1</v>
      </c>
      <c r="K1" s="1" t="s">
        <v>9</v>
      </c>
      <c r="L1" s="1">
        <v>0</v>
      </c>
      <c r="M1" s="1" t="s">
        <v>10</v>
      </c>
      <c r="N1" s="1">
        <v>0</v>
      </c>
      <c r="O1" s="1" t="s">
        <v>11</v>
      </c>
      <c r="P1" s="1">
        <v>1</v>
      </c>
      <c r="Q1" s="1" t="s">
        <v>12</v>
      </c>
      <c r="R1" s="1">
        <v>0</v>
      </c>
      <c r="S1" s="1" t="s">
        <v>13</v>
      </c>
      <c r="T1" s="1">
        <v>0</v>
      </c>
    </row>
    <row r="2" spans="1:20" x14ac:dyDescent="0.25">
      <c r="A2" s="2" t="s">
        <v>15</v>
      </c>
      <c r="B2" s="1" t="s">
        <v>49</v>
      </c>
    </row>
    <row r="3" spans="1:20" x14ac:dyDescent="0.25">
      <c r="A3" s="2" t="s">
        <v>16</v>
      </c>
      <c r="B3" s="1" t="b">
        <f>IF(B10&gt;256,"TripUpST110AndEarlier",TRUE)</f>
        <v>1</v>
      </c>
    </row>
    <row r="4" spans="1:20" x14ac:dyDescent="0.25">
      <c r="A4" s="2" t="s">
        <v>17</v>
      </c>
      <c r="B4" s="1" t="s">
        <v>18</v>
      </c>
    </row>
    <row r="5" spans="1:20" x14ac:dyDescent="0.25">
      <c r="A5" s="2" t="s">
        <v>19</v>
      </c>
      <c r="B5" s="1" t="b">
        <v>1</v>
      </c>
    </row>
    <row r="6" spans="1:20" x14ac:dyDescent="0.25">
      <c r="A6" s="2" t="s">
        <v>20</v>
      </c>
      <c r="B6" s="1" t="b">
        <v>0</v>
      </c>
    </row>
    <row r="7" spans="1:20" x14ac:dyDescent="0.25">
      <c r="A7" s="2" t="s">
        <v>21</v>
      </c>
      <c r="B7" s="1" t="e">
        <f>'Problem 4 a(1)'!$J$1:$K$118</f>
        <v>#VALUE!</v>
      </c>
    </row>
    <row r="8" spans="1:20" x14ac:dyDescent="0.25">
      <c r="A8" s="2" t="s">
        <v>22</v>
      </c>
      <c r="B8" s="1">
        <v>2</v>
      </c>
    </row>
    <row r="9" spans="1:20" x14ac:dyDescent="0.25">
      <c r="A9" s="2" t="s">
        <v>23</v>
      </c>
      <c r="B9" s="37">
        <f>1</f>
        <v>1</v>
      </c>
    </row>
    <row r="10" spans="1:20" x14ac:dyDescent="0.25">
      <c r="A10" s="2" t="s">
        <v>24</v>
      </c>
      <c r="B10" s="1">
        <v>2</v>
      </c>
    </row>
    <row r="12" spans="1:20" x14ac:dyDescent="0.25">
      <c r="A12" s="2" t="s">
        <v>25</v>
      </c>
      <c r="B12" s="1" t="s">
        <v>50</v>
      </c>
      <c r="C12" s="1" t="s">
        <v>26</v>
      </c>
      <c r="D12" s="1" t="s">
        <v>51</v>
      </c>
      <c r="E12" s="1" t="b">
        <v>1</v>
      </c>
      <c r="F12" s="1">
        <v>0</v>
      </c>
      <c r="G12" s="1">
        <v>4</v>
      </c>
      <c r="H12" s="1">
        <v>0</v>
      </c>
    </row>
    <row r="13" spans="1:20" x14ac:dyDescent="0.25">
      <c r="A13" s="2" t="s">
        <v>28</v>
      </c>
      <c r="B13" s="1">
        <f>'Problem 4 a(1)'!$J$1:$J$118</f>
        <v>41821</v>
      </c>
    </row>
    <row r="14" spans="1:20" x14ac:dyDescent="0.25">
      <c r="A14" s="2" t="s">
        <v>29</v>
      </c>
    </row>
    <row r="15" spans="1:20" x14ac:dyDescent="0.25">
      <c r="A15" s="2" t="s">
        <v>30</v>
      </c>
      <c r="B15" s="1" t="s">
        <v>52</v>
      </c>
      <c r="C15" s="1" t="s">
        <v>31</v>
      </c>
      <c r="D15" s="1" t="s">
        <v>37</v>
      </c>
      <c r="E15" s="1" t="b">
        <v>1</v>
      </c>
      <c r="F15" s="1">
        <v>0</v>
      </c>
      <c r="G15" s="1">
        <v>4</v>
      </c>
      <c r="H15" s="1">
        <v>0</v>
      </c>
    </row>
    <row r="16" spans="1:20" x14ac:dyDescent="0.25">
      <c r="A16" s="2" t="s">
        <v>33</v>
      </c>
      <c r="B16" s="1">
        <f>'Problem 4 a(1)'!$K$1:$K$118</f>
        <v>7257</v>
      </c>
    </row>
    <row r="17" spans="1:1" x14ac:dyDescent="0.25">
      <c r="A17" s="2" t="s">
        <v>34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
  <sheetViews>
    <sheetView workbookViewId="0"/>
  </sheetViews>
  <sheetFormatPr defaultColWidth="30.7109375" defaultRowHeight="15" x14ac:dyDescent="0.25"/>
  <cols>
    <col min="1" max="1" width="30.7109375" style="2"/>
    <col min="2" max="16384" width="30.7109375" style="1"/>
  </cols>
  <sheetData>
    <row r="1" spans="1:20" x14ac:dyDescent="0.25">
      <c r="A1" s="2" t="s">
        <v>14</v>
      </c>
      <c r="B1" s="1" t="s">
        <v>1</v>
      </c>
      <c r="C1" s="1" t="s">
        <v>5</v>
      </c>
      <c r="D1" s="1">
        <v>8</v>
      </c>
      <c r="E1" s="1" t="s">
        <v>6</v>
      </c>
      <c r="F1" s="1">
        <v>0</v>
      </c>
      <c r="G1" s="1" t="s">
        <v>7</v>
      </c>
      <c r="H1" s="1">
        <v>1</v>
      </c>
      <c r="I1" s="1" t="s">
        <v>8</v>
      </c>
      <c r="J1" s="1">
        <v>1</v>
      </c>
      <c r="K1" s="1" t="s">
        <v>9</v>
      </c>
      <c r="L1" s="1">
        <v>0</v>
      </c>
      <c r="M1" s="1" t="s">
        <v>10</v>
      </c>
      <c r="N1" s="1">
        <v>0</v>
      </c>
      <c r="O1" s="1" t="s">
        <v>11</v>
      </c>
      <c r="P1" s="1">
        <v>1</v>
      </c>
      <c r="Q1" s="1" t="s">
        <v>12</v>
      </c>
      <c r="R1" s="1">
        <v>0</v>
      </c>
      <c r="S1" s="1" t="s">
        <v>13</v>
      </c>
      <c r="T1" s="1">
        <v>0</v>
      </c>
    </row>
    <row r="2" spans="1:20" x14ac:dyDescent="0.25">
      <c r="A2" s="2" t="s">
        <v>15</v>
      </c>
      <c r="B2" s="1" t="s">
        <v>41</v>
      </c>
    </row>
    <row r="3" spans="1:20" x14ac:dyDescent="0.25">
      <c r="A3" s="2" t="s">
        <v>16</v>
      </c>
      <c r="B3" s="1" t="b">
        <f>IF(B10&gt;256,"TripUpST110AndEarlier",TRUE)</f>
        <v>1</v>
      </c>
    </row>
    <row r="4" spans="1:20" x14ac:dyDescent="0.25">
      <c r="A4" s="2" t="s">
        <v>17</v>
      </c>
      <c r="B4" s="1" t="s">
        <v>18</v>
      </c>
    </row>
    <row r="5" spans="1:20" x14ac:dyDescent="0.25">
      <c r="A5" s="2" t="s">
        <v>19</v>
      </c>
      <c r="B5" s="1" t="b">
        <v>1</v>
      </c>
    </row>
    <row r="6" spans="1:20" x14ac:dyDescent="0.25">
      <c r="A6" s="2" t="s">
        <v>20</v>
      </c>
      <c r="B6" s="1" t="b">
        <v>0</v>
      </c>
    </row>
    <row r="7" spans="1:20" x14ac:dyDescent="0.25">
      <c r="A7" s="2" t="s">
        <v>21</v>
      </c>
      <c r="B7" s="1" t="e">
        <f>'Problem 4 a(1)'!$D$1:$E$118</f>
        <v>#VALUE!</v>
      </c>
    </row>
    <row r="8" spans="1:20" x14ac:dyDescent="0.25">
      <c r="A8" s="2" t="s">
        <v>22</v>
      </c>
      <c r="B8" s="1">
        <v>2</v>
      </c>
    </row>
    <row r="9" spans="1:20" x14ac:dyDescent="0.25">
      <c r="A9" s="2" t="s">
        <v>23</v>
      </c>
      <c r="B9" s="37">
        <f>1</f>
        <v>1</v>
      </c>
    </row>
    <row r="10" spans="1:20" x14ac:dyDescent="0.25">
      <c r="A10" s="2" t="s">
        <v>24</v>
      </c>
      <c r="B10" s="1">
        <v>2</v>
      </c>
    </row>
    <row r="12" spans="1:20" x14ac:dyDescent="0.25">
      <c r="A12" s="2" t="s">
        <v>25</v>
      </c>
      <c r="B12" s="1" t="s">
        <v>42</v>
      </c>
      <c r="C12" s="1" t="s">
        <v>26</v>
      </c>
      <c r="D12" s="1" t="s">
        <v>43</v>
      </c>
      <c r="E12" s="1" t="b">
        <v>1</v>
      </c>
      <c r="F12" s="1">
        <v>0</v>
      </c>
      <c r="G12" s="1">
        <v>4</v>
      </c>
      <c r="H12" s="1">
        <v>0</v>
      </c>
    </row>
    <row r="13" spans="1:20" x14ac:dyDescent="0.25">
      <c r="A13" s="2" t="s">
        <v>28</v>
      </c>
      <c r="B13" s="1">
        <f>'Problem 4 a(1)'!$D$1:$D$118</f>
        <v>41821</v>
      </c>
    </row>
    <row r="14" spans="1:20" x14ac:dyDescent="0.25">
      <c r="A14" s="2" t="s">
        <v>29</v>
      </c>
    </row>
    <row r="15" spans="1:20" x14ac:dyDescent="0.25">
      <c r="A15" s="2" t="s">
        <v>30</v>
      </c>
      <c r="B15" s="1" t="s">
        <v>44</v>
      </c>
      <c r="C15" s="1" t="s">
        <v>31</v>
      </c>
      <c r="D15" s="1" t="s">
        <v>35</v>
      </c>
      <c r="E15" s="1" t="b">
        <v>1</v>
      </c>
      <c r="F15" s="1">
        <v>0</v>
      </c>
      <c r="G15" s="1">
        <v>4</v>
      </c>
      <c r="H15" s="1">
        <v>0</v>
      </c>
    </row>
    <row r="16" spans="1:20" x14ac:dyDescent="0.25">
      <c r="A16" s="2" t="s">
        <v>33</v>
      </c>
      <c r="B16" s="1">
        <f>'Problem 4 a(1)'!$E$1:$E$118</f>
        <v>13179</v>
      </c>
    </row>
    <row r="17" spans="1:1" x14ac:dyDescent="0.25">
      <c r="A17" s="2" t="s">
        <v>34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
  <sheetViews>
    <sheetView workbookViewId="0"/>
  </sheetViews>
  <sheetFormatPr defaultColWidth="30.7109375" defaultRowHeight="15" x14ac:dyDescent="0.25"/>
  <cols>
    <col min="1" max="1" width="30.7109375" style="2"/>
    <col min="2" max="16384" width="30.7109375" style="1"/>
  </cols>
  <sheetData>
    <row r="1" spans="1:20" x14ac:dyDescent="0.25">
      <c r="A1" s="2" t="s">
        <v>14</v>
      </c>
      <c r="B1" s="1" t="s">
        <v>54</v>
      </c>
      <c r="C1" s="1" t="s">
        <v>5</v>
      </c>
      <c r="D1" s="1">
        <v>8</v>
      </c>
      <c r="E1" s="1" t="s">
        <v>6</v>
      </c>
      <c r="F1" s="1">
        <v>0</v>
      </c>
      <c r="G1" s="1" t="s">
        <v>7</v>
      </c>
      <c r="H1" s="1">
        <v>1</v>
      </c>
      <c r="I1" s="1" t="s">
        <v>8</v>
      </c>
      <c r="J1" s="1">
        <v>1</v>
      </c>
      <c r="K1" s="1" t="s">
        <v>9</v>
      </c>
      <c r="L1" s="1">
        <v>0</v>
      </c>
      <c r="M1" s="1" t="s">
        <v>10</v>
      </c>
      <c r="N1" s="1">
        <v>0</v>
      </c>
      <c r="O1" s="1" t="s">
        <v>11</v>
      </c>
      <c r="P1" s="1">
        <v>1</v>
      </c>
      <c r="Q1" s="1" t="s">
        <v>12</v>
      </c>
      <c r="R1" s="1">
        <v>0</v>
      </c>
      <c r="S1" s="1" t="s">
        <v>13</v>
      </c>
      <c r="T1" s="1">
        <v>0</v>
      </c>
    </row>
    <row r="2" spans="1:20" x14ac:dyDescent="0.25">
      <c r="A2" s="2" t="s">
        <v>15</v>
      </c>
      <c r="B2" s="1" t="s">
        <v>280</v>
      </c>
    </row>
    <row r="3" spans="1:20" x14ac:dyDescent="0.25">
      <c r="A3" s="2" t="s">
        <v>16</v>
      </c>
      <c r="B3" s="1" t="b">
        <f>IF(B10&gt;256,"TripUpST110AndEarlier",TRUE)</f>
        <v>1</v>
      </c>
    </row>
    <row r="4" spans="1:20" x14ac:dyDescent="0.25">
      <c r="A4" s="2" t="s">
        <v>17</v>
      </c>
      <c r="B4" s="1" t="s">
        <v>18</v>
      </c>
    </row>
    <row r="5" spans="1:20" x14ac:dyDescent="0.25">
      <c r="A5" s="2" t="s">
        <v>19</v>
      </c>
      <c r="B5" s="1" t="b">
        <v>1</v>
      </c>
    </row>
    <row r="6" spans="1:20" x14ac:dyDescent="0.25">
      <c r="A6" s="2" t="s">
        <v>20</v>
      </c>
      <c r="B6" s="1" t="b">
        <v>0</v>
      </c>
    </row>
    <row r="7" spans="1:20" x14ac:dyDescent="0.25">
      <c r="A7" s="2" t="s">
        <v>21</v>
      </c>
      <c r="B7" s="1">
        <f>'Ressiduals for each region'!$B$1:$B$118</f>
        <v>-176.98290598290623</v>
      </c>
    </row>
    <row r="8" spans="1:20" x14ac:dyDescent="0.25">
      <c r="A8" s="2" t="s">
        <v>22</v>
      </c>
      <c r="B8" s="1">
        <v>2</v>
      </c>
    </row>
    <row r="9" spans="1:20" x14ac:dyDescent="0.25">
      <c r="A9" s="2" t="s">
        <v>23</v>
      </c>
      <c r="B9" s="37">
        <f>1</f>
        <v>1</v>
      </c>
    </row>
    <row r="10" spans="1:20" x14ac:dyDescent="0.25">
      <c r="A10" s="2" t="s">
        <v>24</v>
      </c>
      <c r="B10" s="1">
        <v>1</v>
      </c>
    </row>
    <row r="12" spans="1:20" x14ac:dyDescent="0.25">
      <c r="A12" s="2" t="s">
        <v>25</v>
      </c>
      <c r="B12" s="1" t="s">
        <v>281</v>
      </c>
      <c r="C12" s="1" t="s">
        <v>26</v>
      </c>
      <c r="D12" s="1" t="s">
        <v>282</v>
      </c>
      <c r="E12" s="1" t="b">
        <v>1</v>
      </c>
      <c r="F12" s="1">
        <v>0</v>
      </c>
      <c r="G12" s="1">
        <v>4</v>
      </c>
      <c r="H12" s="1">
        <v>0</v>
      </c>
    </row>
    <row r="13" spans="1:20" x14ac:dyDescent="0.25">
      <c r="A13" s="2" t="s">
        <v>28</v>
      </c>
      <c r="B13" s="1">
        <f>'Ressiduals for each region'!$B$1:$B$118</f>
        <v>-3638.9829059829062</v>
      </c>
    </row>
    <row r="14" spans="1:20" x14ac:dyDescent="0.25">
      <c r="A14" s="2" t="s">
        <v>29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
  <sheetViews>
    <sheetView workbookViewId="0"/>
  </sheetViews>
  <sheetFormatPr defaultColWidth="30.7109375" defaultRowHeight="15" x14ac:dyDescent="0.25"/>
  <cols>
    <col min="1" max="1" width="30.7109375" style="2"/>
    <col min="2" max="16384" width="30.7109375" style="1"/>
  </cols>
  <sheetData>
    <row r="1" spans="1:20" x14ac:dyDescent="0.25">
      <c r="A1" s="2" t="s">
        <v>14</v>
      </c>
      <c r="B1" s="1" t="s">
        <v>55</v>
      </c>
      <c r="C1" s="1" t="s">
        <v>5</v>
      </c>
      <c r="D1" s="1">
        <v>8</v>
      </c>
      <c r="E1" s="1" t="s">
        <v>6</v>
      </c>
      <c r="F1" s="1">
        <v>0</v>
      </c>
      <c r="G1" s="1" t="s">
        <v>7</v>
      </c>
      <c r="H1" s="1">
        <v>1</v>
      </c>
      <c r="I1" s="1" t="s">
        <v>8</v>
      </c>
      <c r="J1" s="1">
        <v>1</v>
      </c>
      <c r="K1" s="1" t="s">
        <v>9</v>
      </c>
      <c r="L1" s="1">
        <v>0</v>
      </c>
      <c r="M1" s="1" t="s">
        <v>10</v>
      </c>
      <c r="N1" s="1">
        <v>0</v>
      </c>
      <c r="O1" s="1" t="s">
        <v>11</v>
      </c>
      <c r="P1" s="1">
        <v>1</v>
      </c>
      <c r="Q1" s="1" t="s">
        <v>12</v>
      </c>
      <c r="R1" s="1">
        <v>0</v>
      </c>
      <c r="S1" s="1" t="s">
        <v>13</v>
      </c>
      <c r="T1" s="1">
        <v>0</v>
      </c>
    </row>
    <row r="2" spans="1:20" x14ac:dyDescent="0.25">
      <c r="A2" s="2" t="s">
        <v>15</v>
      </c>
      <c r="B2" s="1" t="s">
        <v>283</v>
      </c>
    </row>
    <row r="3" spans="1:20" x14ac:dyDescent="0.25">
      <c r="A3" s="2" t="s">
        <v>16</v>
      </c>
      <c r="B3" s="1" t="b">
        <f>IF(B10&gt;256,"TripUpST110AndEarlier",TRUE)</f>
        <v>1</v>
      </c>
    </row>
    <row r="4" spans="1:20" x14ac:dyDescent="0.25">
      <c r="A4" s="2" t="s">
        <v>17</v>
      </c>
      <c r="B4" s="1" t="s">
        <v>18</v>
      </c>
    </row>
    <row r="5" spans="1:20" x14ac:dyDescent="0.25">
      <c r="A5" s="2" t="s">
        <v>19</v>
      </c>
      <c r="B5" s="1" t="b">
        <v>1</v>
      </c>
    </row>
    <row r="6" spans="1:20" x14ac:dyDescent="0.25">
      <c r="A6" s="2" t="s">
        <v>20</v>
      </c>
      <c r="B6" s="1" t="b">
        <v>0</v>
      </c>
    </row>
    <row r="7" spans="1:20" x14ac:dyDescent="0.25">
      <c r="A7" s="2" t="s">
        <v>21</v>
      </c>
      <c r="B7" s="1">
        <f>'Ressiduals for each region'!$C$1:$C$118</f>
        <v>1495.0170940170938</v>
      </c>
    </row>
    <row r="8" spans="1:20" x14ac:dyDescent="0.25">
      <c r="A8" s="2" t="s">
        <v>22</v>
      </c>
      <c r="B8" s="1">
        <v>2</v>
      </c>
    </row>
    <row r="9" spans="1:20" x14ac:dyDescent="0.25">
      <c r="A9" s="2" t="s">
        <v>23</v>
      </c>
      <c r="B9" s="37">
        <f>1</f>
        <v>1</v>
      </c>
    </row>
    <row r="10" spans="1:20" x14ac:dyDescent="0.25">
      <c r="A10" s="2" t="s">
        <v>24</v>
      </c>
      <c r="B10" s="1">
        <v>1</v>
      </c>
    </row>
    <row r="12" spans="1:20" x14ac:dyDescent="0.25">
      <c r="A12" s="2" t="s">
        <v>25</v>
      </c>
      <c r="B12" s="1" t="s">
        <v>284</v>
      </c>
      <c r="C12" s="1" t="s">
        <v>26</v>
      </c>
      <c r="D12" s="1" t="s">
        <v>285</v>
      </c>
      <c r="E12" s="1" t="b">
        <v>1</v>
      </c>
      <c r="F12" s="1">
        <v>0</v>
      </c>
      <c r="G12" s="1">
        <v>4</v>
      </c>
      <c r="H12" s="1">
        <v>0</v>
      </c>
    </row>
    <row r="13" spans="1:20" x14ac:dyDescent="0.25">
      <c r="A13" s="2" t="s">
        <v>28</v>
      </c>
      <c r="B13" s="1">
        <f>'Ressiduals for each region'!$C$1:$C$118</f>
        <v>-1521.9829059829062</v>
      </c>
    </row>
    <row r="14" spans="1:20" x14ac:dyDescent="0.25">
      <c r="A14" s="2" t="s">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0"/>
  <sheetViews>
    <sheetView workbookViewId="0">
      <selection activeCell="L30" sqref="L30"/>
    </sheetView>
  </sheetViews>
  <sheetFormatPr defaultRowHeight="15" x14ac:dyDescent="0.25"/>
  <cols>
    <col min="1" max="1" width="13.140625" bestFit="1" customWidth="1"/>
    <col min="2" max="2" width="12.5703125" bestFit="1" customWidth="1"/>
    <col min="3" max="4" width="14.28515625" bestFit="1" customWidth="1"/>
    <col min="5" max="5" width="13.85546875" bestFit="1" customWidth="1"/>
  </cols>
  <sheetData>
    <row r="1" spans="1:5" x14ac:dyDescent="0.25">
      <c r="A1" s="15" t="s">
        <v>57</v>
      </c>
      <c r="B1" s="15" t="s">
        <v>58</v>
      </c>
      <c r="C1" t="s">
        <v>59</v>
      </c>
      <c r="D1" t="s">
        <v>60</v>
      </c>
      <c r="E1" t="s">
        <v>61</v>
      </c>
    </row>
    <row r="2" spans="1:5" x14ac:dyDescent="0.25">
      <c r="A2" s="1">
        <v>2013</v>
      </c>
      <c r="B2">
        <v>47717</v>
      </c>
      <c r="C2">
        <v>67136</v>
      </c>
      <c r="D2">
        <v>43566</v>
      </c>
      <c r="E2">
        <v>40305</v>
      </c>
    </row>
    <row r="3" spans="1:5" x14ac:dyDescent="0.25">
      <c r="A3" s="14" t="s">
        <v>62</v>
      </c>
      <c r="B3">
        <v>7419</v>
      </c>
      <c r="C3">
        <v>12326</v>
      </c>
      <c r="D3">
        <v>6722</v>
      </c>
      <c r="E3">
        <v>8164</v>
      </c>
    </row>
    <row r="4" spans="1:5" x14ac:dyDescent="0.25">
      <c r="A4" s="14" t="s">
        <v>63</v>
      </c>
      <c r="B4">
        <v>8824</v>
      </c>
      <c r="C4">
        <v>13229</v>
      </c>
      <c r="D4">
        <v>7266</v>
      </c>
      <c r="E4">
        <v>6751</v>
      </c>
    </row>
    <row r="5" spans="1:5" x14ac:dyDescent="0.25">
      <c r="A5" s="14" t="s">
        <v>64</v>
      </c>
      <c r="B5">
        <v>11583</v>
      </c>
      <c r="C5">
        <v>13278</v>
      </c>
      <c r="D5">
        <v>8341</v>
      </c>
      <c r="E5">
        <v>8435</v>
      </c>
    </row>
    <row r="6" spans="1:5" x14ac:dyDescent="0.25">
      <c r="A6" s="14" t="s">
        <v>65</v>
      </c>
      <c r="B6">
        <v>7958</v>
      </c>
      <c r="C6">
        <v>13592</v>
      </c>
      <c r="D6">
        <v>10213</v>
      </c>
      <c r="E6">
        <v>8628</v>
      </c>
    </row>
    <row r="7" spans="1:5" x14ac:dyDescent="0.25">
      <c r="A7" s="14" t="s">
        <v>66</v>
      </c>
      <c r="B7">
        <v>11933</v>
      </c>
      <c r="C7">
        <v>14711</v>
      </c>
      <c r="D7">
        <v>11024</v>
      </c>
      <c r="E7">
        <v>8327</v>
      </c>
    </row>
    <row r="8" spans="1:5" x14ac:dyDescent="0.25">
      <c r="A8" s="1">
        <v>2014</v>
      </c>
      <c r="B8">
        <v>134226</v>
      </c>
      <c r="C8">
        <v>178291</v>
      </c>
      <c r="D8">
        <v>131048</v>
      </c>
      <c r="E8">
        <v>106025</v>
      </c>
    </row>
    <row r="9" spans="1:5" x14ac:dyDescent="0.25">
      <c r="A9" s="14" t="s">
        <v>67</v>
      </c>
      <c r="B9">
        <v>11227</v>
      </c>
      <c r="C9">
        <v>16204</v>
      </c>
      <c r="D9">
        <v>12501</v>
      </c>
      <c r="E9">
        <v>10286</v>
      </c>
    </row>
    <row r="10" spans="1:5" x14ac:dyDescent="0.25">
      <c r="A10" s="14" t="s">
        <v>68</v>
      </c>
      <c r="B10">
        <v>11258</v>
      </c>
      <c r="C10">
        <v>17507</v>
      </c>
      <c r="D10">
        <v>14247</v>
      </c>
      <c r="E10">
        <v>10368</v>
      </c>
    </row>
    <row r="11" spans="1:5" x14ac:dyDescent="0.25">
      <c r="A11" s="14" t="s">
        <v>69</v>
      </c>
      <c r="B11">
        <v>15904</v>
      </c>
      <c r="C11">
        <v>18537</v>
      </c>
      <c r="D11">
        <v>15045</v>
      </c>
      <c r="E11">
        <v>11926</v>
      </c>
    </row>
    <row r="12" spans="1:5" x14ac:dyDescent="0.25">
      <c r="A12" s="14" t="s">
        <v>70</v>
      </c>
      <c r="B12">
        <v>14470</v>
      </c>
      <c r="C12">
        <v>13933</v>
      </c>
      <c r="D12">
        <v>13563</v>
      </c>
      <c r="E12">
        <v>10230</v>
      </c>
    </row>
    <row r="13" spans="1:5" x14ac:dyDescent="0.25">
      <c r="A13" s="14" t="s">
        <v>71</v>
      </c>
      <c r="B13">
        <v>10916</v>
      </c>
      <c r="C13">
        <v>16680</v>
      </c>
      <c r="D13">
        <v>12887</v>
      </c>
      <c r="E13">
        <v>8359</v>
      </c>
    </row>
    <row r="14" spans="1:5" x14ac:dyDescent="0.25">
      <c r="A14" s="14" t="s">
        <v>72</v>
      </c>
      <c r="B14">
        <v>10391</v>
      </c>
      <c r="C14">
        <v>14793</v>
      </c>
      <c r="D14">
        <v>11118</v>
      </c>
      <c r="E14">
        <v>7776</v>
      </c>
    </row>
    <row r="15" spans="1:5" x14ac:dyDescent="0.25">
      <c r="A15" s="14" t="s">
        <v>73</v>
      </c>
      <c r="B15">
        <v>8481</v>
      </c>
      <c r="C15">
        <v>12742</v>
      </c>
      <c r="D15">
        <v>9484</v>
      </c>
      <c r="E15">
        <v>8243</v>
      </c>
    </row>
    <row r="16" spans="1:5" x14ac:dyDescent="0.25">
      <c r="A16" s="14" t="s">
        <v>62</v>
      </c>
      <c r="B16">
        <v>10120</v>
      </c>
      <c r="C16">
        <v>11850</v>
      </c>
      <c r="D16">
        <v>7312</v>
      </c>
      <c r="E16">
        <v>7212</v>
      </c>
    </row>
    <row r="17" spans="1:5" x14ac:dyDescent="0.25">
      <c r="A17" s="14" t="s">
        <v>63</v>
      </c>
      <c r="B17">
        <v>8910</v>
      </c>
      <c r="C17">
        <v>13061</v>
      </c>
      <c r="D17">
        <v>7790</v>
      </c>
      <c r="E17">
        <v>7208</v>
      </c>
    </row>
    <row r="18" spans="1:5" x14ac:dyDescent="0.25">
      <c r="A18" s="14" t="s">
        <v>64</v>
      </c>
      <c r="B18">
        <v>9375</v>
      </c>
      <c r="C18">
        <v>13179</v>
      </c>
      <c r="D18">
        <v>7346</v>
      </c>
      <c r="E18">
        <v>7257</v>
      </c>
    </row>
    <row r="19" spans="1:5" x14ac:dyDescent="0.25">
      <c r="A19" s="14" t="s">
        <v>65</v>
      </c>
      <c r="B19">
        <v>12366</v>
      </c>
      <c r="C19">
        <v>14340</v>
      </c>
      <c r="D19">
        <v>9951</v>
      </c>
      <c r="E19">
        <v>8513</v>
      </c>
    </row>
    <row r="20" spans="1:5" x14ac:dyDescent="0.25">
      <c r="A20" s="14" t="s">
        <v>66</v>
      </c>
      <c r="B20">
        <v>10808</v>
      </c>
      <c r="C20">
        <v>15465</v>
      </c>
      <c r="D20">
        <v>9804</v>
      </c>
      <c r="E20">
        <v>8647</v>
      </c>
    </row>
    <row r="21" spans="1:5" x14ac:dyDescent="0.25">
      <c r="A21" s="1">
        <v>2015</v>
      </c>
      <c r="B21">
        <v>130352</v>
      </c>
      <c r="C21">
        <v>178692</v>
      </c>
      <c r="D21">
        <v>130729</v>
      </c>
      <c r="E21">
        <v>106566</v>
      </c>
    </row>
    <row r="22" spans="1:5" x14ac:dyDescent="0.25">
      <c r="A22" s="14" t="s">
        <v>67</v>
      </c>
      <c r="B22">
        <v>11982</v>
      </c>
      <c r="C22">
        <v>16643</v>
      </c>
      <c r="D22">
        <v>11158</v>
      </c>
      <c r="E22">
        <v>8797</v>
      </c>
    </row>
    <row r="23" spans="1:5" x14ac:dyDescent="0.25">
      <c r="A23" s="14" t="s">
        <v>68</v>
      </c>
      <c r="B23">
        <v>13330</v>
      </c>
      <c r="C23">
        <v>17772</v>
      </c>
      <c r="D23">
        <v>13327</v>
      </c>
      <c r="E23">
        <v>10465</v>
      </c>
    </row>
    <row r="24" spans="1:5" x14ac:dyDescent="0.25">
      <c r="A24" s="14" t="s">
        <v>69</v>
      </c>
      <c r="B24">
        <v>12233</v>
      </c>
      <c r="C24">
        <v>16582</v>
      </c>
      <c r="D24">
        <v>15167</v>
      </c>
      <c r="E24">
        <v>11803</v>
      </c>
    </row>
    <row r="25" spans="1:5" x14ac:dyDescent="0.25">
      <c r="A25" s="14" t="s">
        <v>70</v>
      </c>
      <c r="B25">
        <v>12302</v>
      </c>
      <c r="C25">
        <v>15786</v>
      </c>
      <c r="D25">
        <v>14777</v>
      </c>
      <c r="E25">
        <v>10281</v>
      </c>
    </row>
    <row r="26" spans="1:5" x14ac:dyDescent="0.25">
      <c r="A26" s="14" t="s">
        <v>71</v>
      </c>
      <c r="B26">
        <v>7227</v>
      </c>
      <c r="C26">
        <v>15861</v>
      </c>
      <c r="D26">
        <v>12486</v>
      </c>
      <c r="E26">
        <v>10386</v>
      </c>
    </row>
    <row r="27" spans="1:5" x14ac:dyDescent="0.25">
      <c r="A27" s="14" t="s">
        <v>72</v>
      </c>
      <c r="B27">
        <v>12660</v>
      </c>
      <c r="C27">
        <v>15179</v>
      </c>
      <c r="D27">
        <v>12014</v>
      </c>
      <c r="E27">
        <v>8028</v>
      </c>
    </row>
    <row r="28" spans="1:5" x14ac:dyDescent="0.25">
      <c r="A28" s="14" t="s">
        <v>73</v>
      </c>
      <c r="B28">
        <v>9800</v>
      </c>
      <c r="C28">
        <v>13520</v>
      </c>
      <c r="D28">
        <v>9619</v>
      </c>
      <c r="E28">
        <v>7788</v>
      </c>
    </row>
    <row r="29" spans="1:5" x14ac:dyDescent="0.25">
      <c r="A29" s="14" t="s">
        <v>62</v>
      </c>
      <c r="B29">
        <v>12004</v>
      </c>
      <c r="C29">
        <v>12332</v>
      </c>
      <c r="D29">
        <v>7657</v>
      </c>
      <c r="E29">
        <v>7109</v>
      </c>
    </row>
    <row r="30" spans="1:5" x14ac:dyDescent="0.25">
      <c r="A30" s="14" t="s">
        <v>63</v>
      </c>
      <c r="B30">
        <v>10006</v>
      </c>
      <c r="C30">
        <v>12433</v>
      </c>
      <c r="D30">
        <v>7914</v>
      </c>
      <c r="E30">
        <v>7597</v>
      </c>
    </row>
    <row r="31" spans="1:5" x14ac:dyDescent="0.25">
      <c r="A31" s="14" t="s">
        <v>64</v>
      </c>
      <c r="B31">
        <v>8394</v>
      </c>
      <c r="C31">
        <v>12867</v>
      </c>
      <c r="D31">
        <v>7622</v>
      </c>
      <c r="E31">
        <v>8260</v>
      </c>
    </row>
    <row r="32" spans="1:5" x14ac:dyDescent="0.25">
      <c r="A32" s="14" t="s">
        <v>65</v>
      </c>
      <c r="B32">
        <v>9953</v>
      </c>
      <c r="C32">
        <v>13505</v>
      </c>
      <c r="D32">
        <v>9501</v>
      </c>
      <c r="E32">
        <v>8672</v>
      </c>
    </row>
    <row r="33" spans="1:5" x14ac:dyDescent="0.25">
      <c r="A33" s="14" t="s">
        <v>66</v>
      </c>
      <c r="B33">
        <v>10461</v>
      </c>
      <c r="C33">
        <v>16212</v>
      </c>
      <c r="D33">
        <v>9487</v>
      </c>
      <c r="E33">
        <v>7380</v>
      </c>
    </row>
    <row r="34" spans="1:5" x14ac:dyDescent="0.25">
      <c r="A34" s="1">
        <v>2016</v>
      </c>
      <c r="B34">
        <v>122205</v>
      </c>
      <c r="C34">
        <v>185324</v>
      </c>
      <c r="D34">
        <v>134481</v>
      </c>
      <c r="E34">
        <v>107999</v>
      </c>
    </row>
    <row r="35" spans="1:5" x14ac:dyDescent="0.25">
      <c r="A35" s="14" t="s">
        <v>67</v>
      </c>
      <c r="B35">
        <v>10893</v>
      </c>
      <c r="C35">
        <v>17088</v>
      </c>
      <c r="D35">
        <v>12667</v>
      </c>
      <c r="E35">
        <v>9645</v>
      </c>
    </row>
    <row r="36" spans="1:5" x14ac:dyDescent="0.25">
      <c r="A36" s="14" t="s">
        <v>68</v>
      </c>
      <c r="B36">
        <v>9212</v>
      </c>
      <c r="C36">
        <v>17147</v>
      </c>
      <c r="D36">
        <v>13970</v>
      </c>
      <c r="E36">
        <v>10674</v>
      </c>
    </row>
    <row r="37" spans="1:5" x14ac:dyDescent="0.25">
      <c r="A37" s="14" t="s">
        <v>69</v>
      </c>
      <c r="B37">
        <v>13209</v>
      </c>
      <c r="C37">
        <v>19881</v>
      </c>
      <c r="D37">
        <v>15183</v>
      </c>
      <c r="E37">
        <v>10131</v>
      </c>
    </row>
    <row r="38" spans="1:5" x14ac:dyDescent="0.25">
      <c r="A38" s="14" t="s">
        <v>70</v>
      </c>
      <c r="B38">
        <v>10294</v>
      </c>
      <c r="C38">
        <v>14570</v>
      </c>
      <c r="D38">
        <v>14585</v>
      </c>
      <c r="E38">
        <v>9684</v>
      </c>
    </row>
    <row r="39" spans="1:5" x14ac:dyDescent="0.25">
      <c r="A39" s="14" t="s">
        <v>71</v>
      </c>
      <c r="B39">
        <v>11540</v>
      </c>
      <c r="C39">
        <v>15410</v>
      </c>
      <c r="D39">
        <v>13024</v>
      </c>
      <c r="E39">
        <v>9870</v>
      </c>
    </row>
    <row r="40" spans="1:5" x14ac:dyDescent="0.25">
      <c r="A40" s="14" t="s">
        <v>72</v>
      </c>
      <c r="B40">
        <v>10219</v>
      </c>
      <c r="C40">
        <v>14320</v>
      </c>
      <c r="D40">
        <v>11841</v>
      </c>
      <c r="E40">
        <v>8504</v>
      </c>
    </row>
    <row r="41" spans="1:5" x14ac:dyDescent="0.25">
      <c r="A41" s="14" t="s">
        <v>73</v>
      </c>
      <c r="B41">
        <v>10230</v>
      </c>
      <c r="C41">
        <v>14438</v>
      </c>
      <c r="D41">
        <v>9120</v>
      </c>
      <c r="E41">
        <v>8544</v>
      </c>
    </row>
    <row r="42" spans="1:5" x14ac:dyDescent="0.25">
      <c r="A42" s="14" t="s">
        <v>62</v>
      </c>
      <c r="B42">
        <v>9985</v>
      </c>
      <c r="C42">
        <v>14051</v>
      </c>
      <c r="D42">
        <v>7158</v>
      </c>
      <c r="E42">
        <v>7496</v>
      </c>
    </row>
    <row r="43" spans="1:5" x14ac:dyDescent="0.25">
      <c r="A43" s="14" t="s">
        <v>63</v>
      </c>
      <c r="B43">
        <v>6832</v>
      </c>
      <c r="C43">
        <v>14050</v>
      </c>
      <c r="D43">
        <v>8923</v>
      </c>
      <c r="E43">
        <v>7528</v>
      </c>
    </row>
    <row r="44" spans="1:5" x14ac:dyDescent="0.25">
      <c r="A44" s="14" t="s">
        <v>64</v>
      </c>
      <c r="B44">
        <v>9050</v>
      </c>
      <c r="C44">
        <v>14626</v>
      </c>
      <c r="D44">
        <v>9262</v>
      </c>
      <c r="E44">
        <v>8295</v>
      </c>
    </row>
    <row r="45" spans="1:5" x14ac:dyDescent="0.25">
      <c r="A45" s="14" t="s">
        <v>65</v>
      </c>
      <c r="B45">
        <v>10082</v>
      </c>
      <c r="C45">
        <v>14553</v>
      </c>
      <c r="D45">
        <v>8734</v>
      </c>
      <c r="E45">
        <v>7942</v>
      </c>
    </row>
    <row r="46" spans="1:5" x14ac:dyDescent="0.25">
      <c r="A46" s="14" t="s">
        <v>66</v>
      </c>
      <c r="B46">
        <v>10659</v>
      </c>
      <c r="C46">
        <v>15190</v>
      </c>
      <c r="D46">
        <v>10014</v>
      </c>
      <c r="E46">
        <v>9686</v>
      </c>
    </row>
    <row r="47" spans="1:5" x14ac:dyDescent="0.25">
      <c r="A47" s="1">
        <v>2017</v>
      </c>
      <c r="B47">
        <v>127657</v>
      </c>
      <c r="C47">
        <v>188610</v>
      </c>
      <c r="D47">
        <v>136151</v>
      </c>
      <c r="E47">
        <v>108644</v>
      </c>
    </row>
    <row r="48" spans="1:5" x14ac:dyDescent="0.25">
      <c r="A48" s="14" t="s">
        <v>67</v>
      </c>
      <c r="B48">
        <v>11458</v>
      </c>
      <c r="C48">
        <v>17059</v>
      </c>
      <c r="D48">
        <v>13052</v>
      </c>
      <c r="E48">
        <v>10214</v>
      </c>
    </row>
    <row r="49" spans="1:5" x14ac:dyDescent="0.25">
      <c r="A49" s="14" t="s">
        <v>68</v>
      </c>
      <c r="B49">
        <v>10867</v>
      </c>
      <c r="C49">
        <v>18541</v>
      </c>
      <c r="D49">
        <v>14418</v>
      </c>
      <c r="E49">
        <v>11050</v>
      </c>
    </row>
    <row r="50" spans="1:5" x14ac:dyDescent="0.25">
      <c r="A50" s="14" t="s">
        <v>69</v>
      </c>
      <c r="B50">
        <v>12409</v>
      </c>
      <c r="C50">
        <v>18567</v>
      </c>
      <c r="D50">
        <v>16075</v>
      </c>
      <c r="E50">
        <v>10320</v>
      </c>
    </row>
    <row r="51" spans="1:5" x14ac:dyDescent="0.25">
      <c r="A51" s="14" t="s">
        <v>70</v>
      </c>
      <c r="B51">
        <v>11869</v>
      </c>
      <c r="C51">
        <v>16684</v>
      </c>
      <c r="D51">
        <v>14566</v>
      </c>
      <c r="E51">
        <v>8270</v>
      </c>
    </row>
    <row r="52" spans="1:5" x14ac:dyDescent="0.25">
      <c r="A52" s="14" t="s">
        <v>71</v>
      </c>
      <c r="B52">
        <v>8729</v>
      </c>
      <c r="C52">
        <v>14523</v>
      </c>
      <c r="D52">
        <v>11815</v>
      </c>
      <c r="E52">
        <v>9556</v>
      </c>
    </row>
    <row r="53" spans="1:5" x14ac:dyDescent="0.25">
      <c r="A53" s="14" t="s">
        <v>72</v>
      </c>
      <c r="B53">
        <v>10665</v>
      </c>
      <c r="C53">
        <v>13316</v>
      </c>
      <c r="D53">
        <v>12019</v>
      </c>
      <c r="E53">
        <v>10349</v>
      </c>
    </row>
    <row r="54" spans="1:5" x14ac:dyDescent="0.25">
      <c r="A54" s="14" t="s">
        <v>73</v>
      </c>
      <c r="B54">
        <v>8003</v>
      </c>
      <c r="C54">
        <v>14466</v>
      </c>
      <c r="D54">
        <v>9754</v>
      </c>
      <c r="E54">
        <v>7938</v>
      </c>
    </row>
    <row r="55" spans="1:5" x14ac:dyDescent="0.25">
      <c r="A55" s="14" t="s">
        <v>62</v>
      </c>
      <c r="B55">
        <v>9224</v>
      </c>
      <c r="C55">
        <v>15045</v>
      </c>
      <c r="D55">
        <v>6934</v>
      </c>
      <c r="E55">
        <v>6467</v>
      </c>
    </row>
    <row r="56" spans="1:5" x14ac:dyDescent="0.25">
      <c r="A56" s="14" t="s">
        <v>63</v>
      </c>
      <c r="B56">
        <v>9140</v>
      </c>
      <c r="C56">
        <v>15028</v>
      </c>
      <c r="D56">
        <v>7675</v>
      </c>
      <c r="E56">
        <v>7837</v>
      </c>
    </row>
    <row r="57" spans="1:5" x14ac:dyDescent="0.25">
      <c r="A57" s="14" t="s">
        <v>64</v>
      </c>
      <c r="B57">
        <v>11616</v>
      </c>
      <c r="C57">
        <v>15187</v>
      </c>
      <c r="D57">
        <v>8528</v>
      </c>
      <c r="E57">
        <v>8325</v>
      </c>
    </row>
    <row r="58" spans="1:5" x14ac:dyDescent="0.25">
      <c r="A58" s="14" t="s">
        <v>65</v>
      </c>
      <c r="B58">
        <v>9428</v>
      </c>
      <c r="C58">
        <v>14271</v>
      </c>
      <c r="D58">
        <v>10118</v>
      </c>
      <c r="E58">
        <v>8532</v>
      </c>
    </row>
    <row r="59" spans="1:5" x14ac:dyDescent="0.25">
      <c r="A59" s="14" t="s">
        <v>66</v>
      </c>
      <c r="B59">
        <v>14249</v>
      </c>
      <c r="C59">
        <v>15923</v>
      </c>
      <c r="D59">
        <v>11197</v>
      </c>
      <c r="E59">
        <v>9786</v>
      </c>
    </row>
    <row r="60" spans="1:5" x14ac:dyDescent="0.25">
      <c r="A60" s="1">
        <v>2018</v>
      </c>
      <c r="B60">
        <v>121709</v>
      </c>
      <c r="C60">
        <v>192733</v>
      </c>
      <c r="D60">
        <v>131228</v>
      </c>
      <c r="E60">
        <v>108806</v>
      </c>
    </row>
    <row r="61" spans="1:5" x14ac:dyDescent="0.25">
      <c r="A61" s="14" t="s">
        <v>67</v>
      </c>
      <c r="B61">
        <v>9511</v>
      </c>
      <c r="C61">
        <v>16632</v>
      </c>
      <c r="D61">
        <v>12917</v>
      </c>
      <c r="E61">
        <v>9492</v>
      </c>
    </row>
    <row r="62" spans="1:5" x14ac:dyDescent="0.25">
      <c r="A62" s="14" t="s">
        <v>68</v>
      </c>
      <c r="B62">
        <v>12094</v>
      </c>
      <c r="C62">
        <v>18432</v>
      </c>
      <c r="D62">
        <v>13052</v>
      </c>
      <c r="E62">
        <v>10284</v>
      </c>
    </row>
    <row r="63" spans="1:5" x14ac:dyDescent="0.25">
      <c r="A63" s="14" t="s">
        <v>69</v>
      </c>
      <c r="B63">
        <v>13273</v>
      </c>
      <c r="C63">
        <v>19743</v>
      </c>
      <c r="D63">
        <v>14445</v>
      </c>
      <c r="E63">
        <v>9606</v>
      </c>
    </row>
    <row r="64" spans="1:5" x14ac:dyDescent="0.25">
      <c r="A64" s="14" t="s">
        <v>70</v>
      </c>
      <c r="B64">
        <v>11184</v>
      </c>
      <c r="C64">
        <v>15632</v>
      </c>
      <c r="D64">
        <v>14451</v>
      </c>
      <c r="E64">
        <v>10037</v>
      </c>
    </row>
    <row r="65" spans="1:5" x14ac:dyDescent="0.25">
      <c r="A65" s="14" t="s">
        <v>71</v>
      </c>
      <c r="B65">
        <v>10793</v>
      </c>
      <c r="C65">
        <v>16404</v>
      </c>
      <c r="D65">
        <v>12037</v>
      </c>
      <c r="E65">
        <v>10208</v>
      </c>
    </row>
    <row r="66" spans="1:5" x14ac:dyDescent="0.25">
      <c r="A66" s="14" t="s">
        <v>72</v>
      </c>
      <c r="B66">
        <v>8693</v>
      </c>
      <c r="C66">
        <v>15572</v>
      </c>
      <c r="D66">
        <v>10517</v>
      </c>
      <c r="E66">
        <v>8585</v>
      </c>
    </row>
    <row r="67" spans="1:5" x14ac:dyDescent="0.25">
      <c r="A67" s="14" t="s">
        <v>73</v>
      </c>
      <c r="B67">
        <v>8479</v>
      </c>
      <c r="C67">
        <v>14310</v>
      </c>
      <c r="D67">
        <v>10013</v>
      </c>
      <c r="E67">
        <v>10054</v>
      </c>
    </row>
    <row r="68" spans="1:5" x14ac:dyDescent="0.25">
      <c r="A68" s="14" t="s">
        <v>62</v>
      </c>
      <c r="B68">
        <v>8120</v>
      </c>
      <c r="C68">
        <v>16102</v>
      </c>
      <c r="D68">
        <v>7375</v>
      </c>
      <c r="E68">
        <v>7521</v>
      </c>
    </row>
    <row r="69" spans="1:5" x14ac:dyDescent="0.25">
      <c r="A69" s="14" t="s">
        <v>63</v>
      </c>
      <c r="B69">
        <v>9239</v>
      </c>
      <c r="C69">
        <v>14942</v>
      </c>
      <c r="D69">
        <v>8185</v>
      </c>
      <c r="E69">
        <v>7092</v>
      </c>
    </row>
    <row r="70" spans="1:5" x14ac:dyDescent="0.25">
      <c r="A70" s="14" t="s">
        <v>64</v>
      </c>
      <c r="B70">
        <v>9266</v>
      </c>
      <c r="C70">
        <v>14242</v>
      </c>
      <c r="D70">
        <v>8498</v>
      </c>
      <c r="E70">
        <v>8594</v>
      </c>
    </row>
    <row r="71" spans="1:5" x14ac:dyDescent="0.25">
      <c r="A71" s="14" t="s">
        <v>65</v>
      </c>
      <c r="B71">
        <v>8652</v>
      </c>
      <c r="C71">
        <v>15039</v>
      </c>
      <c r="D71">
        <v>9690</v>
      </c>
      <c r="E71">
        <v>8393</v>
      </c>
    </row>
    <row r="72" spans="1:5" x14ac:dyDescent="0.25">
      <c r="A72" s="14" t="s">
        <v>66</v>
      </c>
      <c r="B72">
        <v>12405</v>
      </c>
      <c r="C72">
        <v>15683</v>
      </c>
      <c r="D72">
        <v>10048</v>
      </c>
      <c r="E72">
        <v>8940</v>
      </c>
    </row>
    <row r="73" spans="1:5" x14ac:dyDescent="0.25">
      <c r="A73" s="1">
        <v>2019</v>
      </c>
      <c r="B73">
        <v>125058</v>
      </c>
      <c r="C73">
        <v>199657</v>
      </c>
      <c r="D73">
        <v>131142</v>
      </c>
      <c r="E73">
        <v>107254</v>
      </c>
    </row>
    <row r="74" spans="1:5" x14ac:dyDescent="0.25">
      <c r="A74" s="14" t="s">
        <v>67</v>
      </c>
      <c r="B74">
        <v>8964</v>
      </c>
      <c r="C74">
        <v>19459</v>
      </c>
      <c r="D74">
        <v>12811</v>
      </c>
      <c r="E74">
        <v>9710</v>
      </c>
    </row>
    <row r="75" spans="1:5" x14ac:dyDescent="0.25">
      <c r="A75" s="14" t="s">
        <v>68</v>
      </c>
      <c r="B75">
        <v>11521</v>
      </c>
      <c r="C75">
        <v>18687</v>
      </c>
      <c r="D75">
        <v>11745</v>
      </c>
      <c r="E75">
        <v>9392</v>
      </c>
    </row>
    <row r="76" spans="1:5" x14ac:dyDescent="0.25">
      <c r="A76" s="14" t="s">
        <v>69</v>
      </c>
      <c r="B76">
        <v>12368</v>
      </c>
      <c r="C76">
        <v>20459</v>
      </c>
      <c r="D76">
        <v>16120</v>
      </c>
      <c r="E76">
        <v>11138</v>
      </c>
    </row>
    <row r="77" spans="1:5" x14ac:dyDescent="0.25">
      <c r="A77" s="14" t="s">
        <v>70</v>
      </c>
      <c r="B77">
        <v>12729</v>
      </c>
      <c r="C77">
        <v>17137</v>
      </c>
      <c r="D77">
        <v>13229</v>
      </c>
      <c r="E77">
        <v>10664</v>
      </c>
    </row>
    <row r="78" spans="1:5" x14ac:dyDescent="0.25">
      <c r="A78" s="14" t="s">
        <v>71</v>
      </c>
      <c r="B78">
        <v>10956</v>
      </c>
      <c r="C78">
        <v>16594</v>
      </c>
      <c r="D78">
        <v>12419</v>
      </c>
      <c r="E78">
        <v>9681</v>
      </c>
    </row>
    <row r="79" spans="1:5" x14ac:dyDescent="0.25">
      <c r="A79" s="14" t="s">
        <v>72</v>
      </c>
      <c r="B79">
        <v>12069</v>
      </c>
      <c r="C79">
        <v>16274</v>
      </c>
      <c r="D79">
        <v>11209</v>
      </c>
      <c r="E79">
        <v>8698</v>
      </c>
    </row>
    <row r="80" spans="1:5" x14ac:dyDescent="0.25">
      <c r="A80" s="14" t="s">
        <v>73</v>
      </c>
      <c r="B80">
        <v>9902</v>
      </c>
      <c r="C80">
        <v>15103</v>
      </c>
      <c r="D80">
        <v>10227</v>
      </c>
      <c r="E80">
        <v>8581</v>
      </c>
    </row>
    <row r="81" spans="1:5" x14ac:dyDescent="0.25">
      <c r="A81" s="14" t="s">
        <v>62</v>
      </c>
      <c r="B81">
        <v>10091</v>
      </c>
      <c r="C81">
        <v>15413</v>
      </c>
      <c r="D81">
        <v>7275</v>
      </c>
      <c r="E81">
        <v>6310</v>
      </c>
    </row>
    <row r="82" spans="1:5" x14ac:dyDescent="0.25">
      <c r="A82" s="14" t="s">
        <v>63</v>
      </c>
      <c r="B82">
        <v>9769</v>
      </c>
      <c r="C82">
        <v>14860</v>
      </c>
      <c r="D82">
        <v>8200</v>
      </c>
      <c r="E82">
        <v>7357</v>
      </c>
    </row>
    <row r="83" spans="1:5" x14ac:dyDescent="0.25">
      <c r="A83" s="14" t="s">
        <v>64</v>
      </c>
      <c r="B83">
        <v>8578</v>
      </c>
      <c r="C83">
        <v>14334</v>
      </c>
      <c r="D83">
        <v>7470</v>
      </c>
      <c r="E83">
        <v>8353</v>
      </c>
    </row>
    <row r="84" spans="1:5" x14ac:dyDescent="0.25">
      <c r="A84" s="14" t="s">
        <v>65</v>
      </c>
      <c r="B84">
        <v>9763</v>
      </c>
      <c r="C84">
        <v>14398</v>
      </c>
      <c r="D84">
        <v>10347</v>
      </c>
      <c r="E84">
        <v>8292</v>
      </c>
    </row>
    <row r="85" spans="1:5" x14ac:dyDescent="0.25">
      <c r="A85" s="14" t="s">
        <v>66</v>
      </c>
      <c r="B85">
        <v>8348</v>
      </c>
      <c r="C85">
        <v>16939</v>
      </c>
      <c r="D85">
        <v>10090</v>
      </c>
      <c r="E85">
        <v>9078</v>
      </c>
    </row>
    <row r="86" spans="1:5" x14ac:dyDescent="0.25">
      <c r="A86" s="1">
        <v>2020</v>
      </c>
      <c r="B86">
        <v>118284</v>
      </c>
      <c r="C86">
        <v>210106</v>
      </c>
      <c r="D86">
        <v>131761</v>
      </c>
      <c r="E86">
        <v>108032</v>
      </c>
    </row>
    <row r="87" spans="1:5" x14ac:dyDescent="0.25">
      <c r="A87" s="14" t="s">
        <v>67</v>
      </c>
      <c r="B87">
        <v>9237</v>
      </c>
      <c r="C87">
        <v>19489</v>
      </c>
      <c r="D87">
        <v>12014</v>
      </c>
      <c r="E87">
        <v>10353</v>
      </c>
    </row>
    <row r="88" spans="1:5" x14ac:dyDescent="0.25">
      <c r="A88" s="14" t="s">
        <v>68</v>
      </c>
      <c r="B88">
        <v>11204</v>
      </c>
      <c r="C88">
        <v>20016</v>
      </c>
      <c r="D88">
        <v>13217</v>
      </c>
      <c r="E88">
        <v>9228</v>
      </c>
    </row>
    <row r="89" spans="1:5" x14ac:dyDescent="0.25">
      <c r="A89" s="14" t="s">
        <v>69</v>
      </c>
      <c r="B89">
        <v>10737</v>
      </c>
      <c r="C89">
        <v>22099</v>
      </c>
      <c r="D89">
        <v>15777</v>
      </c>
      <c r="E89">
        <v>9420</v>
      </c>
    </row>
    <row r="90" spans="1:5" x14ac:dyDescent="0.25">
      <c r="A90" s="14" t="s">
        <v>70</v>
      </c>
      <c r="B90">
        <v>12276</v>
      </c>
      <c r="C90">
        <v>16689</v>
      </c>
      <c r="D90">
        <v>14014</v>
      </c>
      <c r="E90">
        <v>10636</v>
      </c>
    </row>
    <row r="91" spans="1:5" x14ac:dyDescent="0.25">
      <c r="A91" s="14" t="s">
        <v>71</v>
      </c>
      <c r="B91">
        <v>9230</v>
      </c>
      <c r="C91">
        <v>16804</v>
      </c>
      <c r="D91">
        <v>11875</v>
      </c>
      <c r="E91">
        <v>9953</v>
      </c>
    </row>
    <row r="92" spans="1:5" x14ac:dyDescent="0.25">
      <c r="A92" s="14" t="s">
        <v>72</v>
      </c>
      <c r="B92">
        <v>9405</v>
      </c>
      <c r="C92">
        <v>16543</v>
      </c>
      <c r="D92">
        <v>11140</v>
      </c>
      <c r="E92">
        <v>9177</v>
      </c>
    </row>
    <row r="93" spans="1:5" x14ac:dyDescent="0.25">
      <c r="A93" s="14" t="s">
        <v>73</v>
      </c>
      <c r="B93">
        <v>10378</v>
      </c>
      <c r="C93">
        <v>16045</v>
      </c>
      <c r="D93">
        <v>9117</v>
      </c>
      <c r="E93">
        <v>7192</v>
      </c>
    </row>
    <row r="94" spans="1:5" x14ac:dyDescent="0.25">
      <c r="A94" s="14" t="s">
        <v>62</v>
      </c>
      <c r="B94">
        <v>8827</v>
      </c>
      <c r="C94">
        <v>16896</v>
      </c>
      <c r="D94">
        <v>7315</v>
      </c>
      <c r="E94">
        <v>6624</v>
      </c>
    </row>
    <row r="95" spans="1:5" x14ac:dyDescent="0.25">
      <c r="A95" s="14" t="s">
        <v>63</v>
      </c>
      <c r="B95">
        <v>8559</v>
      </c>
      <c r="C95">
        <v>16546</v>
      </c>
      <c r="D95">
        <v>8128</v>
      </c>
      <c r="E95">
        <v>9084</v>
      </c>
    </row>
    <row r="96" spans="1:5" x14ac:dyDescent="0.25">
      <c r="A96" s="14" t="s">
        <v>64</v>
      </c>
      <c r="B96">
        <v>9143</v>
      </c>
      <c r="C96">
        <v>15039</v>
      </c>
      <c r="D96">
        <v>9076</v>
      </c>
      <c r="E96">
        <v>7771</v>
      </c>
    </row>
    <row r="97" spans="1:5" x14ac:dyDescent="0.25">
      <c r="A97" s="14" t="s">
        <v>65</v>
      </c>
      <c r="B97">
        <v>9989</v>
      </c>
      <c r="C97">
        <v>16872</v>
      </c>
      <c r="D97">
        <v>9826</v>
      </c>
      <c r="E97">
        <v>9400</v>
      </c>
    </row>
    <row r="98" spans="1:5" x14ac:dyDescent="0.25">
      <c r="A98" s="14" t="s">
        <v>66</v>
      </c>
      <c r="B98">
        <v>9299</v>
      </c>
      <c r="C98">
        <v>17068</v>
      </c>
      <c r="D98">
        <v>10262</v>
      </c>
      <c r="E98">
        <v>9194</v>
      </c>
    </row>
    <row r="99" spans="1:5" x14ac:dyDescent="0.25">
      <c r="A99" s="1">
        <v>2021</v>
      </c>
      <c r="B99">
        <v>118266</v>
      </c>
      <c r="C99">
        <v>213169</v>
      </c>
      <c r="D99">
        <v>134410</v>
      </c>
      <c r="E99">
        <v>107231</v>
      </c>
    </row>
    <row r="100" spans="1:5" x14ac:dyDescent="0.25">
      <c r="A100" s="14" t="s">
        <v>67</v>
      </c>
      <c r="B100">
        <v>10524</v>
      </c>
      <c r="C100">
        <v>17368</v>
      </c>
      <c r="D100">
        <v>13074</v>
      </c>
      <c r="E100">
        <v>10002</v>
      </c>
    </row>
    <row r="101" spans="1:5" x14ac:dyDescent="0.25">
      <c r="A101" s="14" t="s">
        <v>68</v>
      </c>
      <c r="B101">
        <v>12887</v>
      </c>
      <c r="C101">
        <v>20287</v>
      </c>
      <c r="D101">
        <v>14261</v>
      </c>
      <c r="E101">
        <v>10538</v>
      </c>
    </row>
    <row r="102" spans="1:5" x14ac:dyDescent="0.25">
      <c r="A102" s="14" t="s">
        <v>69</v>
      </c>
      <c r="B102">
        <v>11145</v>
      </c>
      <c r="C102">
        <v>22133</v>
      </c>
      <c r="D102">
        <v>14601</v>
      </c>
      <c r="E102">
        <v>8717</v>
      </c>
    </row>
    <row r="103" spans="1:5" x14ac:dyDescent="0.25">
      <c r="A103" s="14" t="s">
        <v>70</v>
      </c>
      <c r="B103">
        <v>11882</v>
      </c>
      <c r="C103">
        <v>18534</v>
      </c>
      <c r="D103">
        <v>14353</v>
      </c>
      <c r="E103">
        <v>11071</v>
      </c>
    </row>
    <row r="104" spans="1:5" x14ac:dyDescent="0.25">
      <c r="A104" s="14" t="s">
        <v>71</v>
      </c>
      <c r="B104">
        <v>9448</v>
      </c>
      <c r="C104">
        <v>18978</v>
      </c>
      <c r="D104">
        <v>13868</v>
      </c>
      <c r="E104">
        <v>9441</v>
      </c>
    </row>
    <row r="105" spans="1:5" x14ac:dyDescent="0.25">
      <c r="A105" s="14" t="s">
        <v>72</v>
      </c>
      <c r="B105">
        <v>7857</v>
      </c>
      <c r="C105">
        <v>15800</v>
      </c>
      <c r="D105">
        <v>11311</v>
      </c>
      <c r="E105">
        <v>8548</v>
      </c>
    </row>
    <row r="106" spans="1:5" x14ac:dyDescent="0.25">
      <c r="A106" s="14" t="s">
        <v>73</v>
      </c>
      <c r="B106">
        <v>8482</v>
      </c>
      <c r="C106">
        <v>16379</v>
      </c>
      <c r="D106">
        <v>9305</v>
      </c>
      <c r="E106">
        <v>8566</v>
      </c>
    </row>
    <row r="107" spans="1:5" x14ac:dyDescent="0.25">
      <c r="A107" s="14" t="s">
        <v>62</v>
      </c>
      <c r="B107">
        <v>9064</v>
      </c>
      <c r="C107">
        <v>15686</v>
      </c>
      <c r="D107">
        <v>7075</v>
      </c>
      <c r="E107">
        <v>7876</v>
      </c>
    </row>
    <row r="108" spans="1:5" x14ac:dyDescent="0.25">
      <c r="A108" s="14" t="s">
        <v>63</v>
      </c>
      <c r="B108">
        <v>7591</v>
      </c>
      <c r="C108">
        <v>17447</v>
      </c>
      <c r="D108">
        <v>7826</v>
      </c>
      <c r="E108">
        <v>7534</v>
      </c>
    </row>
    <row r="109" spans="1:5" x14ac:dyDescent="0.25">
      <c r="A109" s="14" t="s">
        <v>64</v>
      </c>
      <c r="B109">
        <v>8801</v>
      </c>
      <c r="C109">
        <v>15853</v>
      </c>
      <c r="D109">
        <v>8147</v>
      </c>
      <c r="E109">
        <v>7125</v>
      </c>
    </row>
    <row r="110" spans="1:5" x14ac:dyDescent="0.25">
      <c r="A110" s="14" t="s">
        <v>65</v>
      </c>
      <c r="B110">
        <v>10634</v>
      </c>
      <c r="C110">
        <v>16267</v>
      </c>
      <c r="D110">
        <v>9648</v>
      </c>
      <c r="E110">
        <v>8743</v>
      </c>
    </row>
    <row r="111" spans="1:5" x14ac:dyDescent="0.25">
      <c r="A111" s="14" t="s">
        <v>66</v>
      </c>
      <c r="B111">
        <v>9951</v>
      </c>
      <c r="C111">
        <v>18437</v>
      </c>
      <c r="D111">
        <v>10941</v>
      </c>
      <c r="E111">
        <v>9070</v>
      </c>
    </row>
    <row r="112" spans="1:5" x14ac:dyDescent="0.25">
      <c r="A112" s="1">
        <v>2022</v>
      </c>
      <c r="B112">
        <v>126854</v>
      </c>
      <c r="C112">
        <v>219264</v>
      </c>
      <c r="D112">
        <v>129340</v>
      </c>
      <c r="E112">
        <v>102557</v>
      </c>
    </row>
    <row r="113" spans="1:5" x14ac:dyDescent="0.25">
      <c r="A113" s="14" t="s">
        <v>67</v>
      </c>
      <c r="B113">
        <v>11214</v>
      </c>
      <c r="C113">
        <v>19665</v>
      </c>
      <c r="D113">
        <v>12023</v>
      </c>
      <c r="E113">
        <v>9132</v>
      </c>
    </row>
    <row r="114" spans="1:5" x14ac:dyDescent="0.25">
      <c r="A114" s="14" t="s">
        <v>68</v>
      </c>
      <c r="B114">
        <v>10990</v>
      </c>
      <c r="C114">
        <v>22022</v>
      </c>
      <c r="D114">
        <v>13805</v>
      </c>
      <c r="E114">
        <v>10237</v>
      </c>
    </row>
    <row r="115" spans="1:5" x14ac:dyDescent="0.25">
      <c r="A115" s="14" t="s">
        <v>69</v>
      </c>
      <c r="B115">
        <v>11975</v>
      </c>
      <c r="C115">
        <v>21775</v>
      </c>
      <c r="D115">
        <v>14622</v>
      </c>
      <c r="E115">
        <v>9414</v>
      </c>
    </row>
    <row r="116" spans="1:5" x14ac:dyDescent="0.25">
      <c r="A116" s="14" t="s">
        <v>70</v>
      </c>
      <c r="B116">
        <v>12137</v>
      </c>
      <c r="C116">
        <v>18675</v>
      </c>
      <c r="D116">
        <v>13921</v>
      </c>
      <c r="E116">
        <v>9033</v>
      </c>
    </row>
    <row r="117" spans="1:5" x14ac:dyDescent="0.25">
      <c r="A117" s="14" t="s">
        <v>71</v>
      </c>
      <c r="B117">
        <v>10892</v>
      </c>
      <c r="C117">
        <v>18869</v>
      </c>
      <c r="D117">
        <v>12680</v>
      </c>
      <c r="E117">
        <v>8375</v>
      </c>
    </row>
    <row r="118" spans="1:5" x14ac:dyDescent="0.25">
      <c r="A118" s="14" t="s">
        <v>72</v>
      </c>
      <c r="B118">
        <v>11249</v>
      </c>
      <c r="C118">
        <v>17166</v>
      </c>
      <c r="D118">
        <v>11076</v>
      </c>
      <c r="E118">
        <v>8906</v>
      </c>
    </row>
    <row r="119" spans="1:5" x14ac:dyDescent="0.25">
      <c r="A119" s="14" t="s">
        <v>73</v>
      </c>
      <c r="B119">
        <v>7531</v>
      </c>
      <c r="C119">
        <v>16354</v>
      </c>
      <c r="D119">
        <v>8288</v>
      </c>
      <c r="E119">
        <v>7122</v>
      </c>
    </row>
    <row r="120" spans="1:5" x14ac:dyDescent="0.25">
      <c r="A120" s="14" t="s">
        <v>62</v>
      </c>
      <c r="B120">
        <v>7992</v>
      </c>
      <c r="C120">
        <v>16719</v>
      </c>
      <c r="D120">
        <v>7061</v>
      </c>
      <c r="E120">
        <v>7193</v>
      </c>
    </row>
    <row r="121" spans="1:5" x14ac:dyDescent="0.25">
      <c r="A121" s="14" t="s">
        <v>63</v>
      </c>
      <c r="B121">
        <v>9230</v>
      </c>
      <c r="C121">
        <v>16232</v>
      </c>
      <c r="D121">
        <v>7365</v>
      </c>
      <c r="E121">
        <v>7619</v>
      </c>
    </row>
    <row r="122" spans="1:5" x14ac:dyDescent="0.25">
      <c r="A122" s="14" t="s">
        <v>64</v>
      </c>
      <c r="B122">
        <v>10123</v>
      </c>
      <c r="C122">
        <v>15923</v>
      </c>
      <c r="D122">
        <v>7969</v>
      </c>
      <c r="E122">
        <v>7793</v>
      </c>
    </row>
    <row r="123" spans="1:5" x14ac:dyDescent="0.25">
      <c r="A123" s="14" t="s">
        <v>65</v>
      </c>
      <c r="B123">
        <v>11419</v>
      </c>
      <c r="C123">
        <v>17682</v>
      </c>
      <c r="D123">
        <v>10018</v>
      </c>
      <c r="E123">
        <v>7434</v>
      </c>
    </row>
    <row r="124" spans="1:5" x14ac:dyDescent="0.25">
      <c r="A124" s="14" t="s">
        <v>66</v>
      </c>
      <c r="B124">
        <v>12102</v>
      </c>
      <c r="C124">
        <v>18182</v>
      </c>
      <c r="D124">
        <v>10512</v>
      </c>
      <c r="E124">
        <v>10299</v>
      </c>
    </row>
    <row r="125" spans="1:5" x14ac:dyDescent="0.25">
      <c r="A125" s="1">
        <v>2023</v>
      </c>
      <c r="B125">
        <v>47870</v>
      </c>
      <c r="C125">
        <v>83593</v>
      </c>
      <c r="D125">
        <v>53844</v>
      </c>
      <c r="E125">
        <v>40227</v>
      </c>
    </row>
    <row r="126" spans="1:5" x14ac:dyDescent="0.25">
      <c r="A126" s="14" t="s">
        <v>67</v>
      </c>
      <c r="B126">
        <v>10903</v>
      </c>
      <c r="C126">
        <v>19671</v>
      </c>
      <c r="D126">
        <v>11937</v>
      </c>
      <c r="E126">
        <v>9082</v>
      </c>
    </row>
    <row r="127" spans="1:5" x14ac:dyDescent="0.25">
      <c r="A127" s="14" t="s">
        <v>68</v>
      </c>
      <c r="B127">
        <v>12513</v>
      </c>
      <c r="C127">
        <v>21998</v>
      </c>
      <c r="D127">
        <v>13453</v>
      </c>
      <c r="E127">
        <v>9805</v>
      </c>
    </row>
    <row r="128" spans="1:5" x14ac:dyDescent="0.25">
      <c r="A128" s="14" t="s">
        <v>69</v>
      </c>
      <c r="B128">
        <v>10696</v>
      </c>
      <c r="C128">
        <v>23076</v>
      </c>
      <c r="D128">
        <v>14793</v>
      </c>
      <c r="E128">
        <v>10482</v>
      </c>
    </row>
    <row r="129" spans="1:5" x14ac:dyDescent="0.25">
      <c r="A129" s="14" t="s">
        <v>70</v>
      </c>
      <c r="B129">
        <v>13758</v>
      </c>
      <c r="C129">
        <v>18848</v>
      </c>
      <c r="D129">
        <v>13661</v>
      </c>
      <c r="E129">
        <v>10858</v>
      </c>
    </row>
    <row r="130" spans="1:5" x14ac:dyDescent="0.25">
      <c r="A130" s="1" t="s">
        <v>74</v>
      </c>
      <c r="B130">
        <v>1220198</v>
      </c>
      <c r="C130">
        <v>1916575</v>
      </c>
      <c r="D130">
        <v>1287700</v>
      </c>
      <c r="E130">
        <v>1043646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70"/>
  <sheetViews>
    <sheetView showGridLines="0" workbookViewId="0">
      <selection activeCell="E7" sqref="E7"/>
    </sheetView>
  </sheetViews>
  <sheetFormatPr defaultColWidth="12.7109375" defaultRowHeight="15" x14ac:dyDescent="0.25"/>
  <cols>
    <col min="1" max="1" width="25.5703125" bestFit="1" customWidth="1"/>
    <col min="2" max="8" width="12.7109375" customWidth="1"/>
  </cols>
  <sheetData>
    <row r="1" spans="1:3" s="16" customFormat="1" ht="18.75" x14ac:dyDescent="0.3">
      <c r="A1" s="22" t="s">
        <v>75</v>
      </c>
      <c r="B1" s="20"/>
    </row>
    <row r="2" spans="1:3" s="16" customFormat="1" ht="11.25" x14ac:dyDescent="0.2">
      <c r="A2" s="18" t="s">
        <v>76</v>
      </c>
      <c r="B2" s="20" t="s">
        <v>77</v>
      </c>
    </row>
    <row r="3" spans="1:3" s="16" customFormat="1" ht="11.25" x14ac:dyDescent="0.2">
      <c r="A3" s="18" t="s">
        <v>78</v>
      </c>
      <c r="B3" s="20" t="s">
        <v>79</v>
      </c>
    </row>
    <row r="4" spans="1:3" s="16" customFormat="1" ht="11.25" x14ac:dyDescent="0.2">
      <c r="A4" s="18" t="s">
        <v>80</v>
      </c>
      <c r="B4" s="23">
        <v>45067</v>
      </c>
    </row>
    <row r="5" spans="1:3" s="17" customFormat="1" ht="11.25" x14ac:dyDescent="0.2">
      <c r="A5" s="19" t="s">
        <v>81</v>
      </c>
      <c r="B5" s="21" t="s">
        <v>82</v>
      </c>
    </row>
    <row r="7" spans="1:3" ht="15" customHeight="1" x14ac:dyDescent="0.25">
      <c r="A7" s="28" t="s">
        <v>300</v>
      </c>
      <c r="B7" s="25"/>
    </row>
    <row r="8" spans="1:3" ht="15" customHeight="1" thickBot="1" x14ac:dyDescent="0.3">
      <c r="A8" s="39" t="s">
        <v>83</v>
      </c>
      <c r="B8" s="38"/>
    </row>
    <row r="9" spans="1:3" ht="15" customHeight="1" thickTop="1" x14ac:dyDescent="0.25">
      <c r="A9" s="27" t="s">
        <v>87</v>
      </c>
      <c r="B9" s="24">
        <v>4</v>
      </c>
    </row>
    <row r="10" spans="1:3" ht="15" customHeight="1" x14ac:dyDescent="0.25"/>
    <row r="11" spans="1:3" ht="15" customHeight="1" x14ac:dyDescent="0.25">
      <c r="A11" s="28"/>
      <c r="B11" s="25"/>
      <c r="C11" s="25" t="s">
        <v>220</v>
      </c>
    </row>
    <row r="12" spans="1:3" ht="15" customHeight="1" thickBot="1" x14ac:dyDescent="0.3">
      <c r="A12" s="39" t="s">
        <v>85</v>
      </c>
      <c r="B12" s="38"/>
      <c r="C12" s="38" t="s">
        <v>225</v>
      </c>
    </row>
    <row r="13" spans="1:3" ht="15" customHeight="1" thickTop="1" x14ac:dyDescent="0.25">
      <c r="A13" s="27" t="s">
        <v>88</v>
      </c>
      <c r="B13" s="30">
        <f>_xll.StatMeanAbs(H150:H262)</f>
        <v>591.56509531624636</v>
      </c>
      <c r="C13" s="30">
        <f>_xll.StatMeanAbs(F150:F262)</f>
        <v>587.30281035707196</v>
      </c>
    </row>
    <row r="14" spans="1:3" ht="15" customHeight="1" x14ac:dyDescent="0.25">
      <c r="A14" s="27" t="s">
        <v>89</v>
      </c>
      <c r="B14" s="30">
        <f>SQRT(SUMSQ(H150:H262)/_xll.StatCount(H150:H262))</f>
        <v>779.99320725402549</v>
      </c>
      <c r="C14" s="30">
        <f>SQRT(SUMSQ(F150:F262)/_xll.StatCount(F150:F262))</f>
        <v>768.75740826385572</v>
      </c>
    </row>
    <row r="15" spans="1:3" ht="15" customHeight="1" x14ac:dyDescent="0.25">
      <c r="A15" s="27" t="s">
        <v>90</v>
      </c>
      <c r="B15" s="33">
        <f>_xll.StatPairMeanAbsQuotient(H150:H262,B150:B262)</f>
        <v>6.662454072435503E-2</v>
      </c>
      <c r="C15" s="33">
        <f>_xll.StatPairMeanAbsQuotient(F150:F262,D150:D262)</f>
        <v>6.6624540724355016E-2</v>
      </c>
    </row>
    <row r="16" spans="1:3"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spans="1:8" ht="15" customHeight="1" x14ac:dyDescent="0.25"/>
    <row r="130" spans="1:8" ht="15" customHeight="1" x14ac:dyDescent="0.25"/>
    <row r="131" spans="1:8" ht="15" customHeight="1" x14ac:dyDescent="0.25"/>
    <row r="132" spans="1:8" ht="15" customHeight="1" x14ac:dyDescent="0.25"/>
    <row r="133" spans="1:8" ht="15" customHeight="1" x14ac:dyDescent="0.25"/>
    <row r="134" spans="1:8" ht="15" customHeight="1" x14ac:dyDescent="0.25"/>
    <row r="135" spans="1:8" ht="15" customHeight="1" x14ac:dyDescent="0.25"/>
    <row r="136" spans="1:8" ht="15" customHeight="1" x14ac:dyDescent="0.25"/>
    <row r="137" spans="1:8" ht="15" customHeight="1" x14ac:dyDescent="0.25"/>
    <row r="138" spans="1:8" ht="15" customHeight="1" x14ac:dyDescent="0.25"/>
    <row r="139" spans="1:8" ht="15" customHeight="1" x14ac:dyDescent="0.25"/>
    <row r="140" spans="1:8" ht="15" customHeight="1" x14ac:dyDescent="0.25"/>
    <row r="141" spans="1:8" ht="15" customHeight="1" x14ac:dyDescent="0.25"/>
    <row r="142" spans="1:8" ht="15" customHeight="1" x14ac:dyDescent="0.25"/>
    <row r="143" spans="1:8" ht="15" customHeight="1" x14ac:dyDescent="0.25"/>
    <row r="144" spans="1:8" ht="15" customHeight="1" x14ac:dyDescent="0.25">
      <c r="A144" s="28"/>
      <c r="B144" s="25"/>
      <c r="C144" s="25" t="s">
        <v>222</v>
      </c>
      <c r="D144" s="25" t="s">
        <v>220</v>
      </c>
      <c r="E144" s="25" t="s">
        <v>221</v>
      </c>
      <c r="F144" s="25" t="s">
        <v>220</v>
      </c>
      <c r="G144" s="25" t="s">
        <v>222</v>
      </c>
      <c r="H144" s="25" t="s">
        <v>222</v>
      </c>
    </row>
    <row r="145" spans="1:8" ht="15" customHeight="1" thickBot="1" x14ac:dyDescent="0.3">
      <c r="A145" s="39" t="s">
        <v>86</v>
      </c>
      <c r="B145" s="38" t="s">
        <v>3</v>
      </c>
      <c r="C145" s="38" t="s">
        <v>223</v>
      </c>
      <c r="D145" s="38" t="s">
        <v>3</v>
      </c>
      <c r="E145" s="38" t="s">
        <v>77</v>
      </c>
      <c r="F145" s="38" t="s">
        <v>224</v>
      </c>
      <c r="G145" s="38" t="s">
        <v>77</v>
      </c>
      <c r="H145" s="38" t="s">
        <v>224</v>
      </c>
    </row>
    <row r="146" spans="1:8" ht="15" customHeight="1" thickTop="1" x14ac:dyDescent="0.25">
      <c r="A146" s="27" t="s">
        <v>91</v>
      </c>
      <c r="B146" s="30">
        <f xml:space="preserve"> 8164</f>
        <v>8164</v>
      </c>
      <c r="C146" s="30">
        <v>0.79667756022487357</v>
      </c>
      <c r="D146" s="30">
        <f>B146/C146</f>
        <v>10247.558620448146</v>
      </c>
      <c r="E146" s="30"/>
      <c r="F146" s="30"/>
      <c r="G146" s="30"/>
      <c r="H146" s="30"/>
    </row>
    <row r="147" spans="1:8" ht="15" customHeight="1" x14ac:dyDescent="0.25">
      <c r="A147" s="27" t="s">
        <v>92</v>
      </c>
      <c r="B147" s="30">
        <f xml:space="preserve"> 6751</f>
        <v>6751</v>
      </c>
      <c r="C147" s="30">
        <v>0.86010781790386404</v>
      </c>
      <c r="D147" s="30">
        <f t="shared" ref="D147:D210" si="0">B147/C147</f>
        <v>7849.0159715704067</v>
      </c>
      <c r="E147" s="30"/>
      <c r="F147" s="30"/>
      <c r="G147" s="30"/>
      <c r="H147" s="30"/>
    </row>
    <row r="148" spans="1:8" ht="15" customHeight="1" x14ac:dyDescent="0.25">
      <c r="A148" s="27" t="s">
        <v>93</v>
      </c>
      <c r="B148" s="30">
        <f xml:space="preserve"> 8435</f>
        <v>8435</v>
      </c>
      <c r="C148" s="30">
        <v>0.89662146022058675</v>
      </c>
      <c r="D148" s="30">
        <f t="shared" si="0"/>
        <v>9407.5374884790526</v>
      </c>
      <c r="E148" s="30"/>
      <c r="F148" s="30"/>
      <c r="G148" s="30"/>
      <c r="H148" s="30"/>
    </row>
    <row r="149" spans="1:8" ht="15" customHeight="1" x14ac:dyDescent="0.25">
      <c r="A149" s="27" t="s">
        <v>94</v>
      </c>
      <c r="B149" s="30">
        <f xml:space="preserve"> 8628</f>
        <v>8628</v>
      </c>
      <c r="C149" s="30">
        <v>0.96082308230047397</v>
      </c>
      <c r="D149" s="30">
        <f t="shared" si="0"/>
        <v>8979.8009216662467</v>
      </c>
      <c r="E149" s="30"/>
      <c r="F149" s="30"/>
      <c r="G149" s="30"/>
      <c r="H149" s="30"/>
    </row>
    <row r="150" spans="1:8" ht="15" customHeight="1" x14ac:dyDescent="0.25">
      <c r="A150" s="27" t="s">
        <v>95</v>
      </c>
      <c r="B150" s="30">
        <f xml:space="preserve"> 8327</f>
        <v>8327</v>
      </c>
      <c r="C150" s="30">
        <v>1.0057061731177082</v>
      </c>
      <c r="D150" s="30">
        <f t="shared" si="0"/>
        <v>8279.7542886568372</v>
      </c>
      <c r="E150" s="30">
        <f>_xll.StatMean(D146:D149)</f>
        <v>9120.9782505409621</v>
      </c>
      <c r="F150" s="30">
        <f>D150-E150</f>
        <v>-841.22396188412495</v>
      </c>
      <c r="G150" s="30">
        <f t="shared" ref="G150:G181" si="1">E150*C150</f>
        <v>9173.0241314413997</v>
      </c>
      <c r="H150" s="30">
        <f>B150-G150</f>
        <v>-846.02413144139973</v>
      </c>
    </row>
    <row r="151" spans="1:8" ht="15" customHeight="1" x14ac:dyDescent="0.25">
      <c r="A151" s="27" t="s">
        <v>96</v>
      </c>
      <c r="B151" s="30">
        <f xml:space="preserve"> 10286</f>
        <v>10286</v>
      </c>
      <c r="C151" s="30">
        <v>1.083937309437295</v>
      </c>
      <c r="D151" s="30">
        <f t="shared" si="0"/>
        <v>9489.4786907369908</v>
      </c>
      <c r="E151" s="30">
        <f>_xll.StatMean(D147:D150)</f>
        <v>8629.0271675931363</v>
      </c>
      <c r="F151" s="30">
        <f t="shared" ref="F151:F214" si="2">D151-E151</f>
        <v>860.4515231438545</v>
      </c>
      <c r="G151" s="30">
        <f t="shared" si="1"/>
        <v>9353.3244911022266</v>
      </c>
      <c r="H151" s="30">
        <f t="shared" ref="H151:H214" si="3">B151-G151</f>
        <v>932.6755088977734</v>
      </c>
    </row>
    <row r="152" spans="1:8" ht="15" customHeight="1" x14ac:dyDescent="0.25">
      <c r="A152" s="27" t="s">
        <v>97</v>
      </c>
      <c r="B152" s="30">
        <f xml:space="preserve"> 10368</f>
        <v>10368</v>
      </c>
      <c r="C152" s="30">
        <v>1.1499841763423702</v>
      </c>
      <c r="D152" s="30">
        <f t="shared" si="0"/>
        <v>9015.7762283098291</v>
      </c>
      <c r="E152" s="30">
        <f>_xll.StatMean(D148:D151)</f>
        <v>9039.1428473847809</v>
      </c>
      <c r="F152" s="30">
        <f t="shared" si="2"/>
        <v>-23.366619074951814</v>
      </c>
      <c r="G152" s="30">
        <f t="shared" si="1"/>
        <v>10394.871242190813</v>
      </c>
      <c r="H152" s="30">
        <f t="shared" si="3"/>
        <v>-26.871242190813064</v>
      </c>
    </row>
    <row r="153" spans="1:8" ht="15" customHeight="1" x14ac:dyDescent="0.25">
      <c r="A153" s="27" t="s">
        <v>98</v>
      </c>
      <c r="B153" s="30">
        <f xml:space="preserve"> 11926</f>
        <v>11926</v>
      </c>
      <c r="C153" s="30">
        <v>1.1534390964451762</v>
      </c>
      <c r="D153" s="30">
        <f t="shared" si="0"/>
        <v>10339.514272366137</v>
      </c>
      <c r="E153" s="30">
        <f>_xll.StatMean(D149:D152)</f>
        <v>8941.202532342475</v>
      </c>
      <c r="F153" s="30">
        <f t="shared" si="2"/>
        <v>1398.3117400236624</v>
      </c>
      <c r="G153" s="30">
        <f t="shared" si="1"/>
        <v>10313.132570038426</v>
      </c>
      <c r="H153" s="30">
        <f t="shared" si="3"/>
        <v>1612.8674299615741</v>
      </c>
    </row>
    <row r="154" spans="1:8" ht="15" customHeight="1" x14ac:dyDescent="0.25">
      <c r="A154" s="27" t="s">
        <v>99</v>
      </c>
      <c r="B154" s="30">
        <f xml:space="preserve"> 10230</f>
        <v>10230</v>
      </c>
      <c r="C154" s="30">
        <v>1.1204231588868279</v>
      </c>
      <c r="D154" s="30">
        <f t="shared" si="0"/>
        <v>9130.4788899256546</v>
      </c>
      <c r="E154" s="30">
        <f>_xll.StatMean(D150:D153)</f>
        <v>9281.1308700174486</v>
      </c>
      <c r="F154" s="30">
        <f t="shared" si="2"/>
        <v>-150.65198009179403</v>
      </c>
      <c r="G154" s="30">
        <f t="shared" si="1"/>
        <v>10398.793967427002</v>
      </c>
      <c r="H154" s="30">
        <f t="shared" si="3"/>
        <v>-168.79396742700192</v>
      </c>
    </row>
    <row r="155" spans="1:8" ht="15" customHeight="1" x14ac:dyDescent="0.25">
      <c r="A155" s="27" t="s">
        <v>100</v>
      </c>
      <c r="B155" s="30">
        <f xml:space="preserve"> 8359</f>
        <v>8359</v>
      </c>
      <c r="C155" s="30">
        <v>1.0701050497972113</v>
      </c>
      <c r="D155" s="30">
        <f t="shared" si="0"/>
        <v>7811.3826316248669</v>
      </c>
      <c r="E155" s="30">
        <f>_xll.StatMean(D151:D154)</f>
        <v>9493.8120203346534</v>
      </c>
      <c r="F155" s="30">
        <f t="shared" si="2"/>
        <v>-1682.4293887097865</v>
      </c>
      <c r="G155" s="30">
        <f t="shared" si="1"/>
        <v>10159.376184785579</v>
      </c>
      <c r="H155" s="30">
        <f t="shared" si="3"/>
        <v>-1800.3761847855785</v>
      </c>
    </row>
    <row r="156" spans="1:8" ht="15" customHeight="1" x14ac:dyDescent="0.25">
      <c r="A156" s="27" t="s">
        <v>101</v>
      </c>
      <c r="B156" s="30">
        <f xml:space="preserve"> 7776</f>
        <v>7776</v>
      </c>
      <c r="C156" s="30">
        <v>0.97993531184881255</v>
      </c>
      <c r="D156" s="30">
        <f t="shared" si="0"/>
        <v>7935.2176679185795</v>
      </c>
      <c r="E156" s="30">
        <f>_xll.StatMean(D152:D155)</f>
        <v>9074.288005556622</v>
      </c>
      <c r="F156" s="30">
        <f t="shared" si="2"/>
        <v>-1139.0703376380425</v>
      </c>
      <c r="G156" s="30">
        <f t="shared" si="1"/>
        <v>8892.2152465310683</v>
      </c>
      <c r="H156" s="30">
        <f t="shared" si="3"/>
        <v>-1116.2152465310683</v>
      </c>
    </row>
    <row r="157" spans="1:8" ht="15" customHeight="1" x14ac:dyDescent="0.25">
      <c r="A157" s="27" t="s">
        <v>102</v>
      </c>
      <c r="B157" s="30">
        <f xml:space="preserve"> 8243</f>
        <v>8243</v>
      </c>
      <c r="C157" s="30">
        <v>0.92224046659864112</v>
      </c>
      <c r="D157" s="30">
        <f t="shared" si="0"/>
        <v>8938.0159497895384</v>
      </c>
      <c r="E157" s="30">
        <f>_xll.StatMean(D153:D156)</f>
        <v>8804.1483654588101</v>
      </c>
      <c r="F157" s="30">
        <f t="shared" si="2"/>
        <v>133.86758433072828</v>
      </c>
      <c r="G157" s="30">
        <f t="shared" si="1"/>
        <v>8119.5418965643967</v>
      </c>
      <c r="H157" s="30">
        <f t="shared" si="3"/>
        <v>123.45810343560333</v>
      </c>
    </row>
    <row r="158" spans="1:8" ht="15" customHeight="1" x14ac:dyDescent="0.25">
      <c r="A158" s="27" t="s">
        <v>103</v>
      </c>
      <c r="B158" s="30">
        <f xml:space="preserve"> 7212</f>
        <v>7212</v>
      </c>
      <c r="C158" s="30">
        <v>0.79667756022487357</v>
      </c>
      <c r="D158" s="30">
        <f t="shared" si="0"/>
        <v>9052.5958807780535</v>
      </c>
      <c r="E158" s="30">
        <f>_xll.StatMean(D154:D157)</f>
        <v>8453.7737848146589</v>
      </c>
      <c r="F158" s="30">
        <f t="shared" si="2"/>
        <v>598.82209596339453</v>
      </c>
      <c r="G158" s="30">
        <f t="shared" si="1"/>
        <v>6734.9318735791376</v>
      </c>
      <c r="H158" s="30">
        <f t="shared" si="3"/>
        <v>477.06812642086243</v>
      </c>
    </row>
    <row r="159" spans="1:8" ht="15" customHeight="1" x14ac:dyDescent="0.25">
      <c r="A159" s="27" t="s">
        <v>104</v>
      </c>
      <c r="B159" s="30">
        <f xml:space="preserve"> 7208</f>
        <v>7208</v>
      </c>
      <c r="C159" s="30">
        <v>0.86010781790386404</v>
      </c>
      <c r="D159" s="30">
        <f t="shared" si="0"/>
        <v>8380.344707906901</v>
      </c>
      <c r="E159" s="30">
        <f>_xll.StatMean(D155:D158)</f>
        <v>8434.3030325277596</v>
      </c>
      <c r="F159" s="30">
        <f t="shared" si="2"/>
        <v>-53.958324620858548</v>
      </c>
      <c r="G159" s="30">
        <f t="shared" si="1"/>
        <v>7254.4099768473943</v>
      </c>
      <c r="H159" s="30">
        <f t="shared" si="3"/>
        <v>-46.409976847394319</v>
      </c>
    </row>
    <row r="160" spans="1:8" ht="15" customHeight="1" x14ac:dyDescent="0.25">
      <c r="A160" s="27" t="s">
        <v>105</v>
      </c>
      <c r="B160" s="30">
        <f xml:space="preserve"> 7257</f>
        <v>7257</v>
      </c>
      <c r="C160" s="30">
        <v>0.89662146022058675</v>
      </c>
      <c r="D160" s="30">
        <f t="shared" si="0"/>
        <v>8093.7166038995247</v>
      </c>
      <c r="E160" s="30">
        <f>_xll.StatMean(D156:D159)</f>
        <v>8576.5435515982681</v>
      </c>
      <c r="F160" s="30">
        <f t="shared" si="2"/>
        <v>-482.82694769874342</v>
      </c>
      <c r="G160" s="30">
        <f t="shared" si="1"/>
        <v>7689.9130028794962</v>
      </c>
      <c r="H160" s="30">
        <f t="shared" si="3"/>
        <v>-432.91300287949616</v>
      </c>
    </row>
    <row r="161" spans="1:8" ht="15" customHeight="1" x14ac:dyDescent="0.25">
      <c r="A161" s="27" t="s">
        <v>106</v>
      </c>
      <c r="B161" s="30">
        <f xml:space="preserve"> 8513</f>
        <v>8513</v>
      </c>
      <c r="C161" s="30">
        <v>0.96082308230047397</v>
      </c>
      <c r="D161" s="30">
        <f t="shared" si="0"/>
        <v>8860.1118736839071</v>
      </c>
      <c r="E161" s="30">
        <f>_xll.StatMean(D157:D160)</f>
        <v>8616.1682855935051</v>
      </c>
      <c r="F161" s="30">
        <f t="shared" si="2"/>
        <v>243.94358809040205</v>
      </c>
      <c r="G161" s="30">
        <f t="shared" si="1"/>
        <v>8278.6133697835412</v>
      </c>
      <c r="H161" s="30">
        <f t="shared" si="3"/>
        <v>234.3866302164588</v>
      </c>
    </row>
    <row r="162" spans="1:8" ht="15" customHeight="1" x14ac:dyDescent="0.25">
      <c r="A162" s="27" t="s">
        <v>107</v>
      </c>
      <c r="B162" s="30">
        <f xml:space="preserve"> 8647</f>
        <v>8647</v>
      </c>
      <c r="C162" s="30">
        <v>1.0057061731177082</v>
      </c>
      <c r="D162" s="30">
        <f t="shared" si="0"/>
        <v>8597.9386734737218</v>
      </c>
      <c r="E162" s="30">
        <f>_xll.StatMean(D158:D161)</f>
        <v>8596.6922665670972</v>
      </c>
      <c r="F162" s="30">
        <f t="shared" si="2"/>
        <v>1.2464069066245429</v>
      </c>
      <c r="G162" s="30">
        <f t="shared" si="1"/>
        <v>8645.7464808797922</v>
      </c>
      <c r="H162" s="30">
        <f t="shared" si="3"/>
        <v>1.253519120207784</v>
      </c>
    </row>
    <row r="163" spans="1:8" ht="15" customHeight="1" x14ac:dyDescent="0.25">
      <c r="A163" s="27" t="s">
        <v>108</v>
      </c>
      <c r="B163" s="30">
        <f xml:space="preserve"> 8797</f>
        <v>8797</v>
      </c>
      <c r="C163" s="30">
        <v>1.083937309437295</v>
      </c>
      <c r="D163" s="30">
        <f t="shared" si="0"/>
        <v>8115.7830101510126</v>
      </c>
      <c r="E163" s="30">
        <f>_xll.StatMean(D159:D162)</f>
        <v>8483.0279647410134</v>
      </c>
      <c r="F163" s="30">
        <f t="shared" si="2"/>
        <v>-367.24495459000082</v>
      </c>
      <c r="G163" s="30">
        <f t="shared" si="1"/>
        <v>9195.0705079827076</v>
      </c>
      <c r="H163" s="30">
        <f t="shared" si="3"/>
        <v>-398.07050798270757</v>
      </c>
    </row>
    <row r="164" spans="1:8" ht="15" customHeight="1" x14ac:dyDescent="0.25">
      <c r="A164" s="27" t="s">
        <v>109</v>
      </c>
      <c r="B164" s="30">
        <f xml:space="preserve"> 10465</f>
        <v>10465</v>
      </c>
      <c r="C164" s="30">
        <v>1.1499841763423702</v>
      </c>
      <c r="D164" s="30">
        <f t="shared" si="0"/>
        <v>9100.1252150137316</v>
      </c>
      <c r="E164" s="30">
        <f>_xll.StatMean(D160:D163)</f>
        <v>8416.8875403020411</v>
      </c>
      <c r="F164" s="30">
        <f t="shared" si="2"/>
        <v>683.23767471169049</v>
      </c>
      <c r="G164" s="30">
        <f t="shared" si="1"/>
        <v>9679.2874854006004</v>
      </c>
      <c r="H164" s="30">
        <f t="shared" si="3"/>
        <v>785.71251459939958</v>
      </c>
    </row>
    <row r="165" spans="1:8" ht="15" customHeight="1" x14ac:dyDescent="0.25">
      <c r="A165" s="27" t="s">
        <v>110</v>
      </c>
      <c r="B165" s="30">
        <f xml:space="preserve"> 11803</f>
        <v>11803</v>
      </c>
      <c r="C165" s="30">
        <v>1.1534390964451762</v>
      </c>
      <c r="D165" s="30">
        <f t="shared" si="0"/>
        <v>10232.876652418037</v>
      </c>
      <c r="E165" s="30">
        <f>_xll.StatMean(D161:D164)</f>
        <v>8668.4896930805935</v>
      </c>
      <c r="F165" s="30">
        <f t="shared" si="2"/>
        <v>1564.3869593374438</v>
      </c>
      <c r="G165" s="30">
        <f t="shared" si="1"/>
        <v>9998.5749191312025</v>
      </c>
      <c r="H165" s="30">
        <f t="shared" si="3"/>
        <v>1804.4250808687975</v>
      </c>
    </row>
    <row r="166" spans="1:8" ht="15" customHeight="1" x14ac:dyDescent="0.25">
      <c r="A166" s="27" t="s">
        <v>111</v>
      </c>
      <c r="B166" s="30">
        <f xml:space="preserve"> 10281</f>
        <v>10281</v>
      </c>
      <c r="C166" s="30">
        <v>1.1204231588868279</v>
      </c>
      <c r="D166" s="30">
        <f t="shared" si="0"/>
        <v>9175.9974063856953</v>
      </c>
      <c r="E166" s="30">
        <f>_xll.StatMean(D162:D165)</f>
        <v>9011.680887764127</v>
      </c>
      <c r="F166" s="30">
        <f t="shared" si="2"/>
        <v>164.31651862156832</v>
      </c>
      <c r="G166" s="30">
        <f t="shared" si="1"/>
        <v>10096.895967148736</v>
      </c>
      <c r="H166" s="30">
        <f t="shared" si="3"/>
        <v>184.10403285126449</v>
      </c>
    </row>
    <row r="167" spans="1:8" ht="15" customHeight="1" x14ac:dyDescent="0.25">
      <c r="A167" s="27" t="s">
        <v>112</v>
      </c>
      <c r="B167" s="30">
        <f xml:space="preserve"> 10386</f>
        <v>10386</v>
      </c>
      <c r="C167" s="30">
        <v>1.0701050497972113</v>
      </c>
      <c r="D167" s="30">
        <f t="shared" si="0"/>
        <v>9705.5891867515093</v>
      </c>
      <c r="E167" s="30">
        <f>_xll.StatMean(D163:D166)</f>
        <v>9156.1955709921185</v>
      </c>
      <c r="F167" s="30">
        <f t="shared" si="2"/>
        <v>549.39361575939074</v>
      </c>
      <c r="G167" s="30">
        <f t="shared" si="1"/>
        <v>9798.0911174495268</v>
      </c>
      <c r="H167" s="30">
        <f t="shared" si="3"/>
        <v>587.90888255047321</v>
      </c>
    </row>
    <row r="168" spans="1:8" ht="15" customHeight="1" x14ac:dyDescent="0.25">
      <c r="A168" s="27" t="s">
        <v>113</v>
      </c>
      <c r="B168" s="30">
        <f xml:space="preserve"> 8028</f>
        <v>8028</v>
      </c>
      <c r="C168" s="30">
        <v>0.97993531184881255</v>
      </c>
      <c r="D168" s="30">
        <f t="shared" si="0"/>
        <v>8192.3774997492746</v>
      </c>
      <c r="E168" s="30">
        <f>_xll.StatMean(D164:D167)</f>
        <v>9553.6471151422429</v>
      </c>
      <c r="F168" s="30">
        <f t="shared" si="2"/>
        <v>-1361.2696153929683</v>
      </c>
      <c r="G168" s="30">
        <f t="shared" si="1"/>
        <v>9361.9561650704218</v>
      </c>
      <c r="H168" s="30">
        <f t="shared" si="3"/>
        <v>-1333.9561650704218</v>
      </c>
    </row>
    <row r="169" spans="1:8" ht="15" customHeight="1" x14ac:dyDescent="0.25">
      <c r="A169" s="27" t="s">
        <v>114</v>
      </c>
      <c r="B169" s="30">
        <f xml:space="preserve"> 7788</f>
        <v>7788</v>
      </c>
      <c r="C169" s="30">
        <v>0.92224046659864112</v>
      </c>
      <c r="D169" s="30">
        <f t="shared" si="0"/>
        <v>8444.6522160573732</v>
      </c>
      <c r="E169" s="30">
        <f>_xll.StatMean(D165:D168)</f>
        <v>9326.7101863261287</v>
      </c>
      <c r="F169" s="30">
        <f t="shared" si="2"/>
        <v>-882.05797026875553</v>
      </c>
      <c r="G169" s="30">
        <f t="shared" si="1"/>
        <v>8601.4695540677076</v>
      </c>
      <c r="H169" s="30">
        <f t="shared" si="3"/>
        <v>-813.46955406770758</v>
      </c>
    </row>
    <row r="170" spans="1:8" ht="15" customHeight="1" x14ac:dyDescent="0.25">
      <c r="A170" s="27" t="s">
        <v>115</v>
      </c>
      <c r="B170" s="30">
        <f xml:space="preserve"> 7109</f>
        <v>7109</v>
      </c>
      <c r="C170" s="30">
        <v>0.79667756022487357</v>
      </c>
      <c r="D170" s="30">
        <f t="shared" si="0"/>
        <v>8923.3089457087044</v>
      </c>
      <c r="E170" s="30">
        <f>_xll.StatMean(D166:D169)</f>
        <v>8879.6540772359622</v>
      </c>
      <c r="F170" s="30">
        <f t="shared" si="2"/>
        <v>43.654868472742237</v>
      </c>
      <c r="G170" s="30">
        <f t="shared" si="1"/>
        <v>7074.221145893197</v>
      </c>
      <c r="H170" s="30">
        <f t="shared" si="3"/>
        <v>34.77885410680301</v>
      </c>
    </row>
    <row r="171" spans="1:8" ht="15" customHeight="1" x14ac:dyDescent="0.25">
      <c r="A171" s="27" t="s">
        <v>116</v>
      </c>
      <c r="B171" s="30">
        <f xml:space="preserve"> 7597</f>
        <v>7597</v>
      </c>
      <c r="C171" s="30">
        <v>0.86010781790386404</v>
      </c>
      <c r="D171" s="30">
        <f t="shared" si="0"/>
        <v>8832.6135885084259</v>
      </c>
      <c r="E171" s="30">
        <f>_xll.StatMean(D167:D170)</f>
        <v>8816.4819620667149</v>
      </c>
      <c r="F171" s="30">
        <f t="shared" si="2"/>
        <v>16.131626441710978</v>
      </c>
      <c r="G171" s="30">
        <f t="shared" si="1"/>
        <v>7583.1250619819803</v>
      </c>
      <c r="H171" s="30">
        <f t="shared" si="3"/>
        <v>13.874938018019748</v>
      </c>
    </row>
    <row r="172" spans="1:8" ht="15" customHeight="1" x14ac:dyDescent="0.25">
      <c r="A172" s="27" t="s">
        <v>117</v>
      </c>
      <c r="B172" s="30">
        <f xml:space="preserve"> 8260</f>
        <v>8260</v>
      </c>
      <c r="C172" s="30">
        <v>0.89662146022058675</v>
      </c>
      <c r="D172" s="30">
        <f t="shared" si="0"/>
        <v>9212.3603621620605</v>
      </c>
      <c r="E172" s="30">
        <f>_xll.StatMean(D168:D171)</f>
        <v>8598.238062505945</v>
      </c>
      <c r="F172" s="30">
        <f t="shared" si="2"/>
        <v>614.1222996561155</v>
      </c>
      <c r="G172" s="30">
        <f t="shared" si="1"/>
        <v>7709.3647669283091</v>
      </c>
      <c r="H172" s="30">
        <f t="shared" si="3"/>
        <v>550.63523307169089</v>
      </c>
    </row>
    <row r="173" spans="1:8" ht="15" customHeight="1" x14ac:dyDescent="0.25">
      <c r="A173" s="27" t="s">
        <v>118</v>
      </c>
      <c r="B173" s="30">
        <f xml:space="preserve"> 8672</f>
        <v>8672</v>
      </c>
      <c r="C173" s="30">
        <v>0.96082308230047397</v>
      </c>
      <c r="D173" s="30">
        <f t="shared" si="0"/>
        <v>9025.5949921986194</v>
      </c>
      <c r="E173" s="30">
        <f>_xll.StatMean(D169:D172)</f>
        <v>8853.233778109141</v>
      </c>
      <c r="F173" s="30">
        <f t="shared" si="2"/>
        <v>172.36121408947838</v>
      </c>
      <c r="G173" s="30">
        <f t="shared" si="1"/>
        <v>8506.3913670094953</v>
      </c>
      <c r="H173" s="30">
        <f t="shared" si="3"/>
        <v>165.6086329905047</v>
      </c>
    </row>
    <row r="174" spans="1:8" ht="15" customHeight="1" x14ac:dyDescent="0.25">
      <c r="A174" s="27" t="s">
        <v>119</v>
      </c>
      <c r="B174" s="30">
        <f xml:space="preserve"> 7380</f>
        <v>7380</v>
      </c>
      <c r="C174" s="30">
        <v>1.0057061731177082</v>
      </c>
      <c r="D174" s="30">
        <f t="shared" si="0"/>
        <v>7338.1273748393733</v>
      </c>
      <c r="E174" s="30">
        <f>_xll.StatMean(D170:D173)</f>
        <v>8998.4694721444521</v>
      </c>
      <c r="F174" s="30">
        <f t="shared" si="2"/>
        <v>-1660.3420973050788</v>
      </c>
      <c r="G174" s="30">
        <f t="shared" si="1"/>
        <v>9049.8162967469198</v>
      </c>
      <c r="H174" s="30">
        <f t="shared" si="3"/>
        <v>-1669.8162967469198</v>
      </c>
    </row>
    <row r="175" spans="1:8" ht="15" customHeight="1" x14ac:dyDescent="0.25">
      <c r="A175" s="27" t="s">
        <v>120</v>
      </c>
      <c r="B175" s="30">
        <f xml:space="preserve"> 9645</f>
        <v>9645</v>
      </c>
      <c r="C175" s="30">
        <v>1.083937309437295</v>
      </c>
      <c r="D175" s="30">
        <f t="shared" si="0"/>
        <v>8898.1160774021282</v>
      </c>
      <c r="E175" s="30">
        <f>_xll.StatMean(D171:D174)</f>
        <v>8602.1740794271191</v>
      </c>
      <c r="F175" s="30">
        <f t="shared" si="2"/>
        <v>295.94199797500914</v>
      </c>
      <c r="G175" s="30">
        <f t="shared" si="1"/>
        <v>9324.2174269654715</v>
      </c>
      <c r="H175" s="30">
        <f t="shared" si="3"/>
        <v>320.78257303452847</v>
      </c>
    </row>
    <row r="176" spans="1:8" ht="15" customHeight="1" x14ac:dyDescent="0.25">
      <c r="A176" s="27" t="s">
        <v>121</v>
      </c>
      <c r="B176" s="30">
        <f xml:space="preserve"> 10674</f>
        <v>10674</v>
      </c>
      <c r="C176" s="30">
        <v>1.1499841763423702</v>
      </c>
      <c r="D176" s="30">
        <f t="shared" si="0"/>
        <v>9281.8668461592515</v>
      </c>
      <c r="E176" s="30">
        <f>_xll.StatMean(D172:D175)</f>
        <v>8618.5497016505451</v>
      </c>
      <c r="F176" s="30">
        <f t="shared" si="2"/>
        <v>663.31714450870641</v>
      </c>
      <c r="G176" s="30">
        <f t="shared" si="1"/>
        <v>9911.195779918382</v>
      </c>
      <c r="H176" s="30">
        <f t="shared" si="3"/>
        <v>762.80422008161804</v>
      </c>
    </row>
    <row r="177" spans="1:8" ht="15" customHeight="1" x14ac:dyDescent="0.25">
      <c r="A177" s="27" t="s">
        <v>122</v>
      </c>
      <c r="B177" s="30">
        <f xml:space="preserve"> 10131</f>
        <v>10131</v>
      </c>
      <c r="C177" s="30">
        <v>1.1534390964451762</v>
      </c>
      <c r="D177" s="30">
        <f t="shared" si="0"/>
        <v>8783.2985991398073</v>
      </c>
      <c r="E177" s="30">
        <f>_xll.StatMean(D173:D176)</f>
        <v>8635.9263226498442</v>
      </c>
      <c r="F177" s="30">
        <f t="shared" si="2"/>
        <v>147.37227648996304</v>
      </c>
      <c r="G177" s="30">
        <f t="shared" si="1"/>
        <v>9961.0150545643501</v>
      </c>
      <c r="H177" s="30">
        <f t="shared" si="3"/>
        <v>169.98494543564993</v>
      </c>
    </row>
    <row r="178" spans="1:8" ht="15" customHeight="1" x14ac:dyDescent="0.25">
      <c r="A178" s="27" t="s">
        <v>123</v>
      </c>
      <c r="B178" s="30">
        <f xml:space="preserve"> 9684</f>
        <v>9684</v>
      </c>
      <c r="C178" s="30">
        <v>1.1204231588868279</v>
      </c>
      <c r="D178" s="30">
        <f t="shared" si="0"/>
        <v>8643.1630078240505</v>
      </c>
      <c r="E178" s="30">
        <f>_xll.StatMean(D174:D177)</f>
        <v>8575.3522243851403</v>
      </c>
      <c r="F178" s="30">
        <f t="shared" si="2"/>
        <v>67.810783438910221</v>
      </c>
      <c r="G178" s="30">
        <f t="shared" si="1"/>
        <v>9608.0232278127842</v>
      </c>
      <c r="H178" s="30">
        <f t="shared" si="3"/>
        <v>75.976772187215829</v>
      </c>
    </row>
    <row r="179" spans="1:8" ht="15" customHeight="1" x14ac:dyDescent="0.25">
      <c r="A179" s="27" t="s">
        <v>124</v>
      </c>
      <c r="B179" s="30">
        <f xml:space="preserve"> 9870</f>
        <v>9870</v>
      </c>
      <c r="C179" s="30">
        <v>1.0701050497972113</v>
      </c>
      <c r="D179" s="30">
        <f t="shared" si="0"/>
        <v>9223.393536803138</v>
      </c>
      <c r="E179" s="30">
        <f>_xll.StatMean(D175:D178)</f>
        <v>8901.6111326313094</v>
      </c>
      <c r="F179" s="30">
        <f t="shared" si="2"/>
        <v>321.7824041718286</v>
      </c>
      <c r="G179" s="30">
        <f t="shared" si="1"/>
        <v>9525.6590243598384</v>
      </c>
      <c r="H179" s="30">
        <f t="shared" si="3"/>
        <v>344.34097564016156</v>
      </c>
    </row>
    <row r="180" spans="1:8" ht="15" customHeight="1" x14ac:dyDescent="0.25">
      <c r="A180" s="27" t="s">
        <v>125</v>
      </c>
      <c r="B180" s="30">
        <f xml:space="preserve"> 8504</f>
        <v>8504</v>
      </c>
      <c r="C180" s="30">
        <v>0.97993531184881255</v>
      </c>
      <c r="D180" s="30">
        <f t="shared" si="0"/>
        <v>8678.1238487628088</v>
      </c>
      <c r="E180" s="30">
        <f>_xll.StatMean(D176:D179)</f>
        <v>8982.9304974815623</v>
      </c>
      <c r="F180" s="30">
        <f t="shared" si="2"/>
        <v>-304.80664871875342</v>
      </c>
      <c r="G180" s="30">
        <f t="shared" si="1"/>
        <v>8802.6907983658039</v>
      </c>
      <c r="H180" s="30">
        <f t="shared" si="3"/>
        <v>-298.69079836580386</v>
      </c>
    </row>
    <row r="181" spans="1:8" ht="15" customHeight="1" x14ac:dyDescent="0.25">
      <c r="A181" s="27" t="s">
        <v>126</v>
      </c>
      <c r="B181" s="30">
        <f xml:space="preserve"> 8544</f>
        <v>8544</v>
      </c>
      <c r="C181" s="30">
        <v>0.92224046659864112</v>
      </c>
      <c r="D181" s="30">
        <f t="shared" si="0"/>
        <v>9264.3950351815856</v>
      </c>
      <c r="E181" s="30">
        <f>_xll.StatMean(D177:D180)</f>
        <v>8831.9947481324507</v>
      </c>
      <c r="F181" s="30">
        <f t="shared" si="2"/>
        <v>432.40028704913493</v>
      </c>
      <c r="G181" s="30">
        <f t="shared" si="1"/>
        <v>8145.2229575144192</v>
      </c>
      <c r="H181" s="30">
        <f t="shared" si="3"/>
        <v>398.77704248558075</v>
      </c>
    </row>
    <row r="182" spans="1:8" ht="15" customHeight="1" x14ac:dyDescent="0.25">
      <c r="A182" s="27" t="s">
        <v>127</v>
      </c>
      <c r="B182" s="30">
        <f xml:space="preserve"> 7496</f>
        <v>7496</v>
      </c>
      <c r="C182" s="30">
        <v>0.79667756022487357</v>
      </c>
      <c r="D182" s="30">
        <f t="shared" si="0"/>
        <v>9409.0763619401405</v>
      </c>
      <c r="E182" s="30">
        <f>_xll.StatMean(D178:D181)</f>
        <v>8952.2688571428953</v>
      </c>
      <c r="F182" s="30">
        <f t="shared" si="2"/>
        <v>456.8075047972452</v>
      </c>
      <c r="G182" s="30">
        <f t="shared" ref="G182:G213" si="4">E182*C182</f>
        <v>7132.0717115857187</v>
      </c>
      <c r="H182" s="30">
        <f t="shared" si="3"/>
        <v>363.92828841428127</v>
      </c>
    </row>
    <row r="183" spans="1:8" ht="15" customHeight="1" x14ac:dyDescent="0.25">
      <c r="A183" s="27" t="s">
        <v>128</v>
      </c>
      <c r="B183" s="30">
        <f xml:space="preserve"> 7528</f>
        <v>7528</v>
      </c>
      <c r="C183" s="30">
        <v>0.86010781790386404</v>
      </c>
      <c r="D183" s="30">
        <f t="shared" si="0"/>
        <v>8752.3910878361767</v>
      </c>
      <c r="E183" s="30">
        <f>_xll.StatMean(D179:D182)</f>
        <v>9143.7471956719182</v>
      </c>
      <c r="F183" s="30">
        <f t="shared" si="2"/>
        <v>-391.35610783574157</v>
      </c>
      <c r="G183" s="30">
        <f t="shared" si="4"/>
        <v>7864.6084479339497</v>
      </c>
      <c r="H183" s="30">
        <f t="shared" si="3"/>
        <v>-336.60844793394972</v>
      </c>
    </row>
    <row r="184" spans="1:8" ht="15" customHeight="1" x14ac:dyDescent="0.25">
      <c r="A184" s="27" t="s">
        <v>129</v>
      </c>
      <c r="B184" s="30">
        <f xml:space="preserve"> 8295</f>
        <v>8295</v>
      </c>
      <c r="C184" s="30">
        <v>0.89662146022058675</v>
      </c>
      <c r="D184" s="30">
        <f t="shared" si="0"/>
        <v>9251.3957874254593</v>
      </c>
      <c r="E184" s="30">
        <f>_xll.StatMean(D180:D183)</f>
        <v>9025.9965834301784</v>
      </c>
      <c r="F184" s="30">
        <f t="shared" si="2"/>
        <v>225.39920399528091</v>
      </c>
      <c r="G184" s="30">
        <f t="shared" si="4"/>
        <v>8092.9022365811934</v>
      </c>
      <c r="H184" s="30">
        <f t="shared" si="3"/>
        <v>202.09776341880661</v>
      </c>
    </row>
    <row r="185" spans="1:8" ht="15" customHeight="1" x14ac:dyDescent="0.25">
      <c r="A185" s="27" t="s">
        <v>130</v>
      </c>
      <c r="B185" s="30">
        <f xml:space="preserve"> 7942</f>
        <v>7942</v>
      </c>
      <c r="C185" s="30">
        <v>0.96082308230047397</v>
      </c>
      <c r="D185" s="30">
        <f t="shared" si="0"/>
        <v>8265.8297310933394</v>
      </c>
      <c r="E185" s="30">
        <f>_xll.StatMean(D181:D184)</f>
        <v>9169.3145680958405</v>
      </c>
      <c r="F185" s="30">
        <f t="shared" si="2"/>
        <v>-903.48483700250108</v>
      </c>
      <c r="G185" s="30">
        <f t="shared" si="4"/>
        <v>8810.0890859004849</v>
      </c>
      <c r="H185" s="30">
        <f t="shared" si="3"/>
        <v>-868.08908590048486</v>
      </c>
    </row>
    <row r="186" spans="1:8" ht="15" customHeight="1" x14ac:dyDescent="0.25">
      <c r="A186" s="27" t="s">
        <v>131</v>
      </c>
      <c r="B186" s="30">
        <f xml:space="preserve"> 9686</f>
        <v>9686</v>
      </c>
      <c r="C186" s="30">
        <v>1.0057061731177082</v>
      </c>
      <c r="D186" s="30">
        <f t="shared" si="0"/>
        <v>9631.0435979260383</v>
      </c>
      <c r="E186" s="30">
        <f>_xll.StatMean(D182:D185)</f>
        <v>8919.673242073779</v>
      </c>
      <c r="F186" s="30">
        <f t="shared" si="2"/>
        <v>711.37035585225931</v>
      </c>
      <c r="G186" s="30">
        <f t="shared" si="4"/>
        <v>8970.5704417464403</v>
      </c>
      <c r="H186" s="30">
        <f t="shared" si="3"/>
        <v>715.42955825355966</v>
      </c>
    </row>
    <row r="187" spans="1:8" ht="15" customHeight="1" x14ac:dyDescent="0.25">
      <c r="A187" s="27" t="s">
        <v>132</v>
      </c>
      <c r="B187" s="30">
        <f xml:space="preserve"> 10214</f>
        <v>10214</v>
      </c>
      <c r="C187" s="30">
        <v>1.083937309437295</v>
      </c>
      <c r="D187" s="30">
        <f t="shared" si="0"/>
        <v>9423.054185026991</v>
      </c>
      <c r="E187" s="30">
        <f>_xll.StatMean(D183:D186)</f>
        <v>8975.165051070253</v>
      </c>
      <c r="F187" s="30">
        <f t="shared" si="2"/>
        <v>447.88913395673808</v>
      </c>
      <c r="G187" s="30">
        <f t="shared" si="4"/>
        <v>9728.5162572127319</v>
      </c>
      <c r="H187" s="30">
        <f t="shared" si="3"/>
        <v>485.48374278726806</v>
      </c>
    </row>
    <row r="188" spans="1:8" ht="15" customHeight="1" x14ac:dyDescent="0.25">
      <c r="A188" s="27" t="s">
        <v>133</v>
      </c>
      <c r="B188" s="30">
        <f xml:space="preserve"> 11050</f>
        <v>11050</v>
      </c>
      <c r="C188" s="30">
        <v>1.1499841763423702</v>
      </c>
      <c r="D188" s="30">
        <f t="shared" si="0"/>
        <v>9608.8278667846862</v>
      </c>
      <c r="E188" s="30">
        <f>_xll.StatMean(D184:D187)</f>
        <v>9142.830825367957</v>
      </c>
      <c r="F188" s="30">
        <f t="shared" si="2"/>
        <v>465.99704141672919</v>
      </c>
      <c r="G188" s="30">
        <f t="shared" si="4"/>
        <v>10514.110776148402</v>
      </c>
      <c r="H188" s="30">
        <f t="shared" si="3"/>
        <v>535.88922385159822</v>
      </c>
    </row>
    <row r="189" spans="1:8" ht="15" customHeight="1" x14ac:dyDescent="0.25">
      <c r="A189" s="27" t="s">
        <v>134</v>
      </c>
      <c r="B189" s="30">
        <f xml:space="preserve"> 10320</f>
        <v>10320</v>
      </c>
      <c r="C189" s="30">
        <v>1.1534390964451762</v>
      </c>
      <c r="D189" s="30">
        <f t="shared" si="0"/>
        <v>8947.1564054015198</v>
      </c>
      <c r="E189" s="30">
        <f>_xll.StatMean(D185:D188)</f>
        <v>9232.1888452077637</v>
      </c>
      <c r="F189" s="30">
        <f t="shared" si="2"/>
        <v>-285.03243980624393</v>
      </c>
      <c r="G189" s="30">
        <f t="shared" si="4"/>
        <v>10648.767559827678</v>
      </c>
      <c r="H189" s="30">
        <f t="shared" si="3"/>
        <v>-328.76755982767827</v>
      </c>
    </row>
    <row r="190" spans="1:8" ht="15" customHeight="1" x14ac:dyDescent="0.25">
      <c r="A190" s="27" t="s">
        <v>135</v>
      </c>
      <c r="B190" s="30">
        <f xml:space="preserve"> 8270</f>
        <v>8270</v>
      </c>
      <c r="C190" s="30">
        <v>1.1204231588868279</v>
      </c>
      <c r="D190" s="30">
        <f t="shared" si="0"/>
        <v>7381.1398259711796</v>
      </c>
      <c r="E190" s="30">
        <f>_xll.StatMean(D186:D189)</f>
        <v>9402.5205137848097</v>
      </c>
      <c r="F190" s="30">
        <f t="shared" si="2"/>
        <v>-2021.3806878136302</v>
      </c>
      <c r="G190" s="30">
        <f t="shared" si="4"/>
        <v>10534.801735552976</v>
      </c>
      <c r="H190" s="30">
        <f t="shared" si="3"/>
        <v>-2264.8017355529755</v>
      </c>
    </row>
    <row r="191" spans="1:8" ht="15" customHeight="1" x14ac:dyDescent="0.25">
      <c r="A191" s="27" t="s">
        <v>136</v>
      </c>
      <c r="B191" s="30">
        <f xml:space="preserve"> 9556</f>
        <v>9556</v>
      </c>
      <c r="C191" s="30">
        <v>1.0701050497972113</v>
      </c>
      <c r="D191" s="30">
        <f t="shared" si="0"/>
        <v>8929.9644009818439</v>
      </c>
      <c r="E191" s="30">
        <f>_xll.StatMean(D187:D190)</f>
        <v>8840.0445707960935</v>
      </c>
      <c r="F191" s="30">
        <f t="shared" si="2"/>
        <v>89.91983018575047</v>
      </c>
      <c r="G191" s="30">
        <f t="shared" si="4"/>
        <v>9459.7763356413216</v>
      </c>
      <c r="H191" s="30">
        <f t="shared" si="3"/>
        <v>96.223664358678434</v>
      </c>
    </row>
    <row r="192" spans="1:8" ht="15" customHeight="1" x14ac:dyDescent="0.25">
      <c r="A192" s="27" t="s">
        <v>137</v>
      </c>
      <c r="B192" s="30">
        <f xml:space="preserve"> 10349</f>
        <v>10349</v>
      </c>
      <c r="C192" s="30">
        <v>0.97993531184881255</v>
      </c>
      <c r="D192" s="30">
        <f t="shared" si="0"/>
        <v>10560.901188951822</v>
      </c>
      <c r="E192" s="30">
        <f>_xll.StatMean(D188:D191)</f>
        <v>8716.7721247848076</v>
      </c>
      <c r="F192" s="30">
        <f t="shared" si="2"/>
        <v>1844.1290641670148</v>
      </c>
      <c r="G192" s="30">
        <f t="shared" si="4"/>
        <v>8541.8728104160364</v>
      </c>
      <c r="H192" s="30">
        <f t="shared" si="3"/>
        <v>1807.1271895839636</v>
      </c>
    </row>
    <row r="193" spans="1:8" ht="15" customHeight="1" x14ac:dyDescent="0.25">
      <c r="A193" s="27" t="s">
        <v>138</v>
      </c>
      <c r="B193" s="30">
        <f xml:space="preserve"> 7938</f>
        <v>7938</v>
      </c>
      <c r="C193" s="30">
        <v>0.92224046659864112</v>
      </c>
      <c r="D193" s="30">
        <f t="shared" si="0"/>
        <v>8607.299600804241</v>
      </c>
      <c r="E193" s="30">
        <f>_xll.StatMean(D189:D192)</f>
        <v>8954.7904553265907</v>
      </c>
      <c r="F193" s="30">
        <f t="shared" si="2"/>
        <v>-347.49085452234976</v>
      </c>
      <c r="G193" s="30">
        <f t="shared" si="4"/>
        <v>8258.4701278134526</v>
      </c>
      <c r="H193" s="30">
        <f t="shared" si="3"/>
        <v>-320.47012781345256</v>
      </c>
    </row>
    <row r="194" spans="1:8" ht="15" customHeight="1" x14ac:dyDescent="0.25">
      <c r="A194" s="27" t="s">
        <v>139</v>
      </c>
      <c r="B194" s="30">
        <f xml:space="preserve"> 6467</f>
        <v>6467</v>
      </c>
      <c r="C194" s="30">
        <v>0.79667756022487357</v>
      </c>
      <c r="D194" s="30">
        <f t="shared" si="0"/>
        <v>8117.4622242084961</v>
      </c>
      <c r="E194" s="30">
        <f>_xll.StatMean(D190:D193)</f>
        <v>8869.826254177271</v>
      </c>
      <c r="F194" s="30">
        <f t="shared" si="2"/>
        <v>-752.36402996877496</v>
      </c>
      <c r="G194" s="30">
        <f t="shared" si="4"/>
        <v>7066.3915397964774</v>
      </c>
      <c r="H194" s="30">
        <f t="shared" si="3"/>
        <v>-599.39153979647745</v>
      </c>
    </row>
    <row r="195" spans="1:8" ht="15" customHeight="1" x14ac:dyDescent="0.25">
      <c r="A195" s="27" t="s">
        <v>140</v>
      </c>
      <c r="B195" s="30">
        <f xml:space="preserve"> 7837</f>
        <v>7837</v>
      </c>
      <c r="C195" s="30">
        <v>0.86010781790386404</v>
      </c>
      <c r="D195" s="30">
        <f t="shared" si="0"/>
        <v>9111.6483734553822</v>
      </c>
      <c r="E195" s="30">
        <f>_xll.StatMean(D191:D194)</f>
        <v>9053.9068537366002</v>
      </c>
      <c r="F195" s="30">
        <f t="shared" si="2"/>
        <v>57.741519718782001</v>
      </c>
      <c r="G195" s="30">
        <f t="shared" si="4"/>
        <v>7787.3360674722262</v>
      </c>
      <c r="H195" s="30">
        <f t="shared" si="3"/>
        <v>49.663932527773795</v>
      </c>
    </row>
    <row r="196" spans="1:8" ht="15" customHeight="1" x14ac:dyDescent="0.25">
      <c r="A196" s="27" t="s">
        <v>141</v>
      </c>
      <c r="B196" s="30">
        <f xml:space="preserve"> 8325</f>
        <v>8325</v>
      </c>
      <c r="C196" s="30">
        <v>0.89662146022058675</v>
      </c>
      <c r="D196" s="30">
        <f t="shared" si="0"/>
        <v>9284.8547233655154</v>
      </c>
      <c r="E196" s="30">
        <f>_xll.StatMean(D192:D195)</f>
        <v>9099.3278468549852</v>
      </c>
      <c r="F196" s="30">
        <f t="shared" si="2"/>
        <v>185.5268765105302</v>
      </c>
      <c r="G196" s="30">
        <f t="shared" si="4"/>
        <v>8158.6526210729644</v>
      </c>
      <c r="H196" s="30">
        <f t="shared" si="3"/>
        <v>166.34737892703561</v>
      </c>
    </row>
    <row r="197" spans="1:8" ht="15" customHeight="1" x14ac:dyDescent="0.25">
      <c r="A197" s="27" t="s">
        <v>142</v>
      </c>
      <c r="B197" s="30">
        <f xml:space="preserve"> 8532</f>
        <v>8532</v>
      </c>
      <c r="C197" s="30">
        <v>0.96082308230047397</v>
      </c>
      <c r="D197" s="30">
        <f t="shared" si="0"/>
        <v>8879.8865859592515</v>
      </c>
      <c r="E197" s="30">
        <f>_xll.StatMean(D193:D196)</f>
        <v>8780.3162304584075</v>
      </c>
      <c r="F197" s="30">
        <f t="shared" si="2"/>
        <v>99.570355500844016</v>
      </c>
      <c r="G197" s="30">
        <f t="shared" si="4"/>
        <v>8436.3305041219264</v>
      </c>
      <c r="H197" s="30">
        <f t="shared" si="3"/>
        <v>95.669495878073576</v>
      </c>
    </row>
    <row r="198" spans="1:8" ht="15" customHeight="1" x14ac:dyDescent="0.25">
      <c r="A198" s="27" t="s">
        <v>143</v>
      </c>
      <c r="B198" s="30">
        <f xml:space="preserve"> 9786</f>
        <v>9786</v>
      </c>
      <c r="C198" s="30">
        <v>1.0057061731177082</v>
      </c>
      <c r="D198" s="30">
        <f t="shared" si="0"/>
        <v>9730.4762181813148</v>
      </c>
      <c r="E198" s="30">
        <f>_xll.StatMean(D194:D197)</f>
        <v>8848.4629767471615</v>
      </c>
      <c r="F198" s="30">
        <f t="shared" si="2"/>
        <v>882.01324143415331</v>
      </c>
      <c r="G198" s="30">
        <f t="shared" si="4"/>
        <v>8898.9538383181116</v>
      </c>
      <c r="H198" s="30">
        <f t="shared" si="3"/>
        <v>887.04616168188841</v>
      </c>
    </row>
    <row r="199" spans="1:8" ht="15" customHeight="1" x14ac:dyDescent="0.25">
      <c r="A199" s="27" t="s">
        <v>144</v>
      </c>
      <c r="B199" s="30">
        <f xml:space="preserve"> 9492</f>
        <v>9492</v>
      </c>
      <c r="C199" s="30">
        <v>1.083937309437295</v>
      </c>
      <c r="D199" s="30">
        <f t="shared" si="0"/>
        <v>8756.9640027683763</v>
      </c>
      <c r="E199" s="30">
        <f>_xll.StatMean(D195:D198)</f>
        <v>9251.716475240366</v>
      </c>
      <c r="F199" s="30">
        <f t="shared" si="2"/>
        <v>-494.75247247198968</v>
      </c>
      <c r="G199" s="30">
        <f t="shared" si="4"/>
        <v>10028.280663848736</v>
      </c>
      <c r="H199" s="30">
        <f t="shared" si="3"/>
        <v>-536.28066384873637</v>
      </c>
    </row>
    <row r="200" spans="1:8" ht="15" customHeight="1" x14ac:dyDescent="0.25">
      <c r="A200" s="27" t="s">
        <v>145</v>
      </c>
      <c r="B200" s="30">
        <f xml:space="preserve"> 10284</f>
        <v>10284</v>
      </c>
      <c r="C200" s="30">
        <v>1.1499841763423702</v>
      </c>
      <c r="D200" s="30">
        <f t="shared" si="0"/>
        <v>8942.7317449786151</v>
      </c>
      <c r="E200" s="30">
        <f>_xll.StatMean(D196:D199)</f>
        <v>9163.0453825686145</v>
      </c>
      <c r="F200" s="30">
        <f t="shared" si="2"/>
        <v>-220.31363758999942</v>
      </c>
      <c r="G200" s="30">
        <f t="shared" si="4"/>
        <v>10537.357197060926</v>
      </c>
      <c r="H200" s="30">
        <f t="shared" si="3"/>
        <v>-253.35719706092641</v>
      </c>
    </row>
    <row r="201" spans="1:8" ht="15" customHeight="1" x14ac:dyDescent="0.25">
      <c r="A201" s="27" t="s">
        <v>146</v>
      </c>
      <c r="B201" s="30">
        <f xml:space="preserve"> 9606</f>
        <v>9606</v>
      </c>
      <c r="C201" s="30">
        <v>1.1534390964451762</v>
      </c>
      <c r="D201" s="30">
        <f t="shared" si="0"/>
        <v>8328.1380261906015</v>
      </c>
      <c r="E201" s="30">
        <f>_xll.StatMean(D197:D200)</f>
        <v>9077.5146379718899</v>
      </c>
      <c r="F201" s="30">
        <f t="shared" si="2"/>
        <v>-749.37661178128837</v>
      </c>
      <c r="G201" s="30">
        <f t="shared" si="4"/>
        <v>10470.360281990157</v>
      </c>
      <c r="H201" s="30">
        <f t="shared" si="3"/>
        <v>-864.36028199015709</v>
      </c>
    </row>
    <row r="202" spans="1:8" ht="15" customHeight="1" x14ac:dyDescent="0.25">
      <c r="A202" s="27" t="s">
        <v>147</v>
      </c>
      <c r="B202" s="30">
        <f xml:space="preserve"> 10037</f>
        <v>10037</v>
      </c>
      <c r="C202" s="30">
        <v>1.1204231588868279</v>
      </c>
      <c r="D202" s="30">
        <f t="shared" si="0"/>
        <v>8958.2225433219755</v>
      </c>
      <c r="E202" s="30">
        <f>_xll.StatMean(D198:D201)</f>
        <v>8939.5774980297265</v>
      </c>
      <c r="F202" s="30">
        <f t="shared" si="2"/>
        <v>18.645045292249051</v>
      </c>
      <c r="G202" s="30">
        <f t="shared" si="4"/>
        <v>10016.109659456071</v>
      </c>
      <c r="H202" s="30">
        <f t="shared" si="3"/>
        <v>20.890340543928687</v>
      </c>
    </row>
    <row r="203" spans="1:8" ht="15" customHeight="1" x14ac:dyDescent="0.25">
      <c r="A203" s="27" t="s">
        <v>148</v>
      </c>
      <c r="B203" s="30">
        <f xml:space="preserve"> 10208</f>
        <v>10208</v>
      </c>
      <c r="C203" s="30">
        <v>1.0701050497972113</v>
      </c>
      <c r="D203" s="30">
        <f t="shared" si="0"/>
        <v>9539.2503772731961</v>
      </c>
      <c r="E203" s="30">
        <f>_xll.StatMean(D199:D202)</f>
        <v>8746.514079314893</v>
      </c>
      <c r="F203" s="30">
        <f t="shared" si="2"/>
        <v>792.73629795830311</v>
      </c>
      <c r="G203" s="30">
        <f t="shared" si="4"/>
        <v>9359.6888843972738</v>
      </c>
      <c r="H203" s="30">
        <f t="shared" si="3"/>
        <v>848.3111156027262</v>
      </c>
    </row>
    <row r="204" spans="1:8" ht="15" customHeight="1" x14ac:dyDescent="0.25">
      <c r="A204" s="27" t="s">
        <v>149</v>
      </c>
      <c r="B204" s="30">
        <f xml:space="preserve"> 8585</f>
        <v>8585</v>
      </c>
      <c r="C204" s="30">
        <v>0.97993531184881255</v>
      </c>
      <c r="D204" s="30">
        <f t="shared" si="0"/>
        <v>8760.7823661369603</v>
      </c>
      <c r="E204" s="30">
        <f>_xll.StatMean(D200:D203)</f>
        <v>8942.0856729410971</v>
      </c>
      <c r="F204" s="30">
        <f t="shared" si="2"/>
        <v>-181.30330680413681</v>
      </c>
      <c r="G204" s="30">
        <f t="shared" si="4"/>
        <v>8762.6655124923327</v>
      </c>
      <c r="H204" s="30">
        <f t="shared" si="3"/>
        <v>-177.66551249233271</v>
      </c>
    </row>
    <row r="205" spans="1:8" ht="15" customHeight="1" x14ac:dyDescent="0.25">
      <c r="A205" s="27" t="s">
        <v>150</v>
      </c>
      <c r="B205" s="30">
        <f xml:space="preserve"> 10054</f>
        <v>10054</v>
      </c>
      <c r="C205" s="30">
        <v>0.92224046659864112</v>
      </c>
      <c r="D205" s="30">
        <f t="shared" si="0"/>
        <v>10901.712041633387</v>
      </c>
      <c r="E205" s="30">
        <f>_xll.StatMean(D201:D204)</f>
        <v>8896.5983282306843</v>
      </c>
      <c r="F205" s="30">
        <f t="shared" si="2"/>
        <v>2005.1137134027031</v>
      </c>
      <c r="G205" s="30">
        <f t="shared" si="4"/>
        <v>8204.8029933681573</v>
      </c>
      <c r="H205" s="30">
        <f t="shared" si="3"/>
        <v>1849.1970066318427</v>
      </c>
    </row>
    <row r="206" spans="1:8" ht="15" customHeight="1" x14ac:dyDescent="0.25">
      <c r="A206" s="27" t="s">
        <v>151</v>
      </c>
      <c r="B206" s="30">
        <f xml:space="preserve"> 7521</f>
        <v>7521</v>
      </c>
      <c r="C206" s="30">
        <v>0.79667756022487357</v>
      </c>
      <c r="D206" s="30">
        <f t="shared" si="0"/>
        <v>9440.4566859860988</v>
      </c>
      <c r="E206" s="30">
        <f>_xll.StatMean(D202:D205)</f>
        <v>9539.9918320913803</v>
      </c>
      <c r="F206" s="30">
        <f t="shared" si="2"/>
        <v>-99.535146105281456</v>
      </c>
      <c r="G206" s="30">
        <f t="shared" si="4"/>
        <v>7600.2974173557823</v>
      </c>
      <c r="H206" s="30">
        <f t="shared" si="3"/>
        <v>-79.297417355782272</v>
      </c>
    </row>
    <row r="207" spans="1:8" ht="15" customHeight="1" x14ac:dyDescent="0.25">
      <c r="A207" s="27" t="s">
        <v>152</v>
      </c>
      <c r="B207" s="30">
        <f xml:space="preserve"> 7092</f>
        <v>7092</v>
      </c>
      <c r="C207" s="30">
        <v>0.86010781790386404</v>
      </c>
      <c r="D207" s="30">
        <f t="shared" si="0"/>
        <v>8245.4778951825392</v>
      </c>
      <c r="E207" s="30">
        <f>_xll.StatMean(D203:D206)</f>
        <v>9660.5503677574106</v>
      </c>
      <c r="F207" s="30">
        <f t="shared" si="2"/>
        <v>-1415.0724725748714</v>
      </c>
      <c r="G207" s="30">
        <f t="shared" si="4"/>
        <v>8309.1148965621978</v>
      </c>
      <c r="H207" s="30">
        <f t="shared" si="3"/>
        <v>-1217.1148965621978</v>
      </c>
    </row>
    <row r="208" spans="1:8" ht="15" customHeight="1" x14ac:dyDescent="0.25">
      <c r="A208" s="27" t="s">
        <v>153</v>
      </c>
      <c r="B208" s="30">
        <f xml:space="preserve"> 8594</f>
        <v>8594</v>
      </c>
      <c r="C208" s="30">
        <v>0.89662146022058675</v>
      </c>
      <c r="D208" s="30">
        <f t="shared" si="0"/>
        <v>9584.8698489613489</v>
      </c>
      <c r="E208" s="30">
        <f>_xll.StatMean(D204:D207)</f>
        <v>9337.1072472347478</v>
      </c>
      <c r="F208" s="30">
        <f t="shared" si="2"/>
        <v>247.76260172660113</v>
      </c>
      <c r="G208" s="30">
        <f t="shared" si="4"/>
        <v>8371.8507342518424</v>
      </c>
      <c r="H208" s="30">
        <f t="shared" si="3"/>
        <v>222.14926574815763</v>
      </c>
    </row>
    <row r="209" spans="1:8" ht="15" customHeight="1" x14ac:dyDescent="0.25">
      <c r="A209" s="27" t="s">
        <v>154</v>
      </c>
      <c r="B209" s="30">
        <f xml:space="preserve"> 8393</f>
        <v>8393</v>
      </c>
      <c r="C209" s="30">
        <v>0.96082308230047397</v>
      </c>
      <c r="D209" s="30">
        <f t="shared" si="0"/>
        <v>8735.2189540501622</v>
      </c>
      <c r="E209" s="30">
        <f>_xll.StatMean(D205:D208)</f>
        <v>9543.1291179408436</v>
      </c>
      <c r="F209" s="30">
        <f t="shared" si="2"/>
        <v>-807.91016389068136</v>
      </c>
      <c r="G209" s="30">
        <f t="shared" si="4"/>
        <v>9169.2587338913254</v>
      </c>
      <c r="H209" s="30">
        <f t="shared" si="3"/>
        <v>-776.25873389132539</v>
      </c>
    </row>
    <row r="210" spans="1:8" ht="15" customHeight="1" x14ac:dyDescent="0.25">
      <c r="A210" s="27" t="s">
        <v>155</v>
      </c>
      <c r="B210" s="30">
        <f xml:space="preserve"> 8940</f>
        <v>8940</v>
      </c>
      <c r="C210" s="30">
        <v>1.0057061731177082</v>
      </c>
      <c r="D210" s="30">
        <f t="shared" si="0"/>
        <v>8889.2762508216802</v>
      </c>
      <c r="E210" s="30">
        <f>_xll.StatMean(D206:D209)</f>
        <v>9001.5058460450364</v>
      </c>
      <c r="F210" s="30">
        <f t="shared" si="2"/>
        <v>-112.22959522335623</v>
      </c>
      <c r="G210" s="30">
        <f t="shared" si="4"/>
        <v>9052.8699967226312</v>
      </c>
      <c r="H210" s="30">
        <f t="shared" si="3"/>
        <v>-112.86999672263119</v>
      </c>
    </row>
    <row r="211" spans="1:8" ht="15" customHeight="1" x14ac:dyDescent="0.25">
      <c r="A211" s="27" t="s">
        <v>156</v>
      </c>
      <c r="B211" s="30">
        <f xml:space="preserve"> 9710</f>
        <v>9710</v>
      </c>
      <c r="C211" s="30">
        <v>1.083937309437295</v>
      </c>
      <c r="D211" s="30">
        <f t="shared" ref="D211:D262" si="5">B211/C211</f>
        <v>8958.0826450569893</v>
      </c>
      <c r="E211" s="30">
        <f>_xll.StatMean(D207:D210)</f>
        <v>8863.7107372539322</v>
      </c>
      <c r="F211" s="30">
        <f t="shared" si="2"/>
        <v>94.371907803057184</v>
      </c>
      <c r="G211" s="30">
        <f t="shared" si="4"/>
        <v>9607.7067681694898</v>
      </c>
      <c r="H211" s="30">
        <f t="shared" si="3"/>
        <v>102.29323183051019</v>
      </c>
    </row>
    <row r="212" spans="1:8" ht="15" customHeight="1" x14ac:dyDescent="0.25">
      <c r="A212" s="27" t="s">
        <v>157</v>
      </c>
      <c r="B212" s="30">
        <f xml:space="preserve"> 9392</f>
        <v>9392</v>
      </c>
      <c r="C212" s="30">
        <v>1.1499841763423702</v>
      </c>
      <c r="D212" s="30">
        <f t="shared" si="5"/>
        <v>8167.0688981757257</v>
      </c>
      <c r="E212" s="30">
        <f>_xll.StatMean(D208:D211)</f>
        <v>9041.8619247225452</v>
      </c>
      <c r="F212" s="30">
        <f t="shared" si="2"/>
        <v>-874.79302654681942</v>
      </c>
      <c r="G212" s="30">
        <f t="shared" si="4"/>
        <v>10397.998138103494</v>
      </c>
      <c r="H212" s="30">
        <f t="shared" si="3"/>
        <v>-1005.9981381034941</v>
      </c>
    </row>
    <row r="213" spans="1:8" ht="15" customHeight="1" x14ac:dyDescent="0.25">
      <c r="A213" s="27" t="s">
        <v>158</v>
      </c>
      <c r="B213" s="30">
        <f xml:space="preserve"> 11138</f>
        <v>11138</v>
      </c>
      <c r="C213" s="30">
        <v>1.1534390964451762</v>
      </c>
      <c r="D213" s="30">
        <f t="shared" si="5"/>
        <v>9656.3399266823781</v>
      </c>
      <c r="E213" s="30">
        <f>_xll.StatMean(D209:D212)</f>
        <v>8687.4116870261387</v>
      </c>
      <c r="F213" s="30">
        <f t="shared" si="2"/>
        <v>968.92823965623938</v>
      </c>
      <c r="G213" s="30">
        <f t="shared" si="4"/>
        <v>10020.400286730694</v>
      </c>
      <c r="H213" s="30">
        <f t="shared" si="3"/>
        <v>1117.5997132693064</v>
      </c>
    </row>
    <row r="214" spans="1:8" ht="15" customHeight="1" x14ac:dyDescent="0.25">
      <c r="A214" s="27" t="s">
        <v>159</v>
      </c>
      <c r="B214" s="30">
        <f xml:space="preserve"> 10664</f>
        <v>10664</v>
      </c>
      <c r="C214" s="30">
        <v>1.1204231588868279</v>
      </c>
      <c r="D214" s="30">
        <f t="shared" si="5"/>
        <v>9517.8325398012894</v>
      </c>
      <c r="E214" s="30">
        <f>_xll.StatMean(D210:D213)</f>
        <v>8917.6919301841936</v>
      </c>
      <c r="F214" s="30">
        <f t="shared" si="2"/>
        <v>600.14060961709583</v>
      </c>
      <c r="G214" s="30">
        <f t="shared" ref="G214:G245" si="6">E214*C214</f>
        <v>9991.5885623965478</v>
      </c>
      <c r="H214" s="30">
        <f t="shared" si="3"/>
        <v>672.41143760345221</v>
      </c>
    </row>
    <row r="215" spans="1:8" ht="15" customHeight="1" x14ac:dyDescent="0.25">
      <c r="A215" s="27" t="s">
        <v>160</v>
      </c>
      <c r="B215" s="30">
        <f xml:space="preserve"> 9681</f>
        <v>9681</v>
      </c>
      <c r="C215" s="30">
        <v>1.0701050497972113</v>
      </c>
      <c r="D215" s="30">
        <f t="shared" si="5"/>
        <v>9046.775362694143</v>
      </c>
      <c r="E215" s="30">
        <f>_xll.StatMean(D211:D214)</f>
        <v>9074.831002429095</v>
      </c>
      <c r="F215" s="30">
        <f t="shared" ref="F215:F262" si="7">D215-E215</f>
        <v>-28.05563973495191</v>
      </c>
      <c r="G215" s="30">
        <f t="shared" si="6"/>
        <v>9711.0224817556646</v>
      </c>
      <c r="H215" s="30">
        <f t="shared" ref="H215:H262" si="8">B215-G215</f>
        <v>-30.022481755664558</v>
      </c>
    </row>
    <row r="216" spans="1:8" ht="15" customHeight="1" x14ac:dyDescent="0.25">
      <c r="A216" s="27" t="s">
        <v>161</v>
      </c>
      <c r="B216" s="30">
        <f xml:space="preserve"> 8698</f>
        <v>8698</v>
      </c>
      <c r="C216" s="30">
        <v>0.97993531184881255</v>
      </c>
      <c r="D216" s="30">
        <f t="shared" si="5"/>
        <v>8876.0961002515178</v>
      </c>
      <c r="E216" s="30">
        <f>_xll.StatMean(D212:D215)</f>
        <v>9097.0041818383834</v>
      </c>
      <c r="F216" s="30">
        <f t="shared" si="7"/>
        <v>-220.90808158686559</v>
      </c>
      <c r="G216" s="30">
        <f t="shared" si="6"/>
        <v>8914.4756298197481</v>
      </c>
      <c r="H216" s="30">
        <f t="shared" si="8"/>
        <v>-216.47562981974806</v>
      </c>
    </row>
    <row r="217" spans="1:8" ht="15" customHeight="1" x14ac:dyDescent="0.25">
      <c r="A217" s="27" t="s">
        <v>162</v>
      </c>
      <c r="B217" s="30">
        <f xml:space="preserve"> 8581</f>
        <v>8581</v>
      </c>
      <c r="C217" s="30">
        <v>0.92224046659864112</v>
      </c>
      <c r="D217" s="30">
        <f t="shared" si="5"/>
        <v>9304.5147234191463</v>
      </c>
      <c r="E217" s="30">
        <f>_xll.StatMean(D213:D216)</f>
        <v>9274.2609823573312</v>
      </c>
      <c r="F217" s="30">
        <f t="shared" si="7"/>
        <v>30.253741061815163</v>
      </c>
      <c r="G217" s="30">
        <f t="shared" si="6"/>
        <v>8553.0987757267976</v>
      </c>
      <c r="H217" s="30">
        <f t="shared" si="8"/>
        <v>27.901224273202388</v>
      </c>
    </row>
    <row r="218" spans="1:8" ht="15" customHeight="1" x14ac:dyDescent="0.25">
      <c r="A218" s="27" t="s">
        <v>163</v>
      </c>
      <c r="B218" s="30">
        <f xml:space="preserve"> 6310</f>
        <v>6310</v>
      </c>
      <c r="C218" s="30">
        <v>0.79667756022487357</v>
      </c>
      <c r="D218" s="30">
        <f t="shared" si="5"/>
        <v>7920.3937891998776</v>
      </c>
      <c r="E218" s="30">
        <f>_xll.StatMean(D214:D217)</f>
        <v>9186.3046815415237</v>
      </c>
      <c r="F218" s="30">
        <f t="shared" si="7"/>
        <v>-1265.9108923416461</v>
      </c>
      <c r="G218" s="30">
        <f t="shared" si="6"/>
        <v>7318.522801172835</v>
      </c>
      <c r="H218" s="30">
        <f t="shared" si="8"/>
        <v>-1008.522801172835</v>
      </c>
    </row>
    <row r="219" spans="1:8" ht="15" customHeight="1" x14ac:dyDescent="0.25">
      <c r="A219" s="27" t="s">
        <v>164</v>
      </c>
      <c r="B219" s="30">
        <f xml:space="preserve"> 7357</f>
        <v>7357</v>
      </c>
      <c r="C219" s="30">
        <v>0.86010781790386404</v>
      </c>
      <c r="D219" s="30">
        <f t="shared" si="5"/>
        <v>8553.5788035614696</v>
      </c>
      <c r="E219" s="30">
        <f>_xll.StatMean(D215:D218)</f>
        <v>8786.9449938911712</v>
      </c>
      <c r="F219" s="30">
        <f t="shared" si="7"/>
        <v>-233.36619032970157</v>
      </c>
      <c r="G219" s="30">
        <f t="shared" si="6"/>
        <v>7557.7200847370168</v>
      </c>
      <c r="H219" s="30">
        <f t="shared" si="8"/>
        <v>-200.7200847370168</v>
      </c>
    </row>
    <row r="220" spans="1:8" ht="15" customHeight="1" x14ac:dyDescent="0.25">
      <c r="A220" s="27" t="s">
        <v>165</v>
      </c>
      <c r="B220" s="30">
        <f xml:space="preserve"> 8353</f>
        <v>8353</v>
      </c>
      <c r="C220" s="30">
        <v>0.89662146022058675</v>
      </c>
      <c r="D220" s="30">
        <f t="shared" si="5"/>
        <v>9316.0830635762341</v>
      </c>
      <c r="E220" s="30">
        <f>_xll.StatMean(D216:D219)</f>
        <v>8663.6458541080028</v>
      </c>
      <c r="F220" s="30">
        <f t="shared" si="7"/>
        <v>652.43720946823123</v>
      </c>
      <c r="G220" s="30">
        <f t="shared" si="6"/>
        <v>7768.0107965443503</v>
      </c>
      <c r="H220" s="30">
        <f t="shared" si="8"/>
        <v>584.98920345564966</v>
      </c>
    </row>
    <row r="221" spans="1:8" ht="15" customHeight="1" x14ac:dyDescent="0.25">
      <c r="A221" s="27" t="s">
        <v>166</v>
      </c>
      <c r="B221" s="30">
        <f xml:space="preserve"> 8292</f>
        <v>8292</v>
      </c>
      <c r="C221" s="30">
        <v>0.96082308230047397</v>
      </c>
      <c r="D221" s="30">
        <f t="shared" si="5"/>
        <v>8630.1007466917617</v>
      </c>
      <c r="E221" s="30">
        <f>_xll.StatMean(D217:D220)</f>
        <v>8773.6425949391814</v>
      </c>
      <c r="F221" s="30">
        <f t="shared" si="7"/>
        <v>-143.54184824741969</v>
      </c>
      <c r="G221" s="30">
        <f t="shared" si="6"/>
        <v>8429.9183210721931</v>
      </c>
      <c r="H221" s="30">
        <f t="shared" si="8"/>
        <v>-137.91832107219307</v>
      </c>
    </row>
    <row r="222" spans="1:8" ht="15" customHeight="1" x14ac:dyDescent="0.25">
      <c r="A222" s="27" t="s">
        <v>167</v>
      </c>
      <c r="B222" s="30">
        <f xml:space="preserve"> 9078</f>
        <v>9078</v>
      </c>
      <c r="C222" s="30">
        <v>1.0057061731177082</v>
      </c>
      <c r="D222" s="30">
        <f t="shared" si="5"/>
        <v>9026.4932667739613</v>
      </c>
      <c r="E222" s="30">
        <f>_xll.StatMean(D218:D221)</f>
        <v>8605.0391007573344</v>
      </c>
      <c r="F222" s="30">
        <f t="shared" si="7"/>
        <v>421.45416601662691</v>
      </c>
      <c r="G222" s="30">
        <f t="shared" si="6"/>
        <v>8654.1409435509031</v>
      </c>
      <c r="H222" s="30">
        <f t="shared" si="8"/>
        <v>423.8590564490969</v>
      </c>
    </row>
    <row r="223" spans="1:8" ht="15" customHeight="1" x14ac:dyDescent="0.25">
      <c r="A223" s="27" t="s">
        <v>168</v>
      </c>
      <c r="B223" s="30">
        <f xml:space="preserve"> 10353</f>
        <v>10353</v>
      </c>
      <c r="C223" s="30">
        <v>1.083937309437295</v>
      </c>
      <c r="D223" s="30">
        <f t="shared" si="5"/>
        <v>9551.290383550464</v>
      </c>
      <c r="E223" s="30">
        <f>_xll.StatMean(D219:D222)</f>
        <v>8881.5639701508571</v>
      </c>
      <c r="F223" s="30">
        <f t="shared" si="7"/>
        <v>669.72641339960683</v>
      </c>
      <c r="G223" s="30">
        <f t="shared" si="6"/>
        <v>9627.0585534005404</v>
      </c>
      <c r="H223" s="30">
        <f t="shared" si="8"/>
        <v>725.9414465994596</v>
      </c>
    </row>
    <row r="224" spans="1:8" ht="15" customHeight="1" x14ac:dyDescent="0.25">
      <c r="A224" s="27" t="s">
        <v>169</v>
      </c>
      <c r="B224" s="30">
        <f xml:space="preserve"> 9228</f>
        <v>9228</v>
      </c>
      <c r="C224" s="30">
        <v>1.1499841763423702</v>
      </c>
      <c r="D224" s="30">
        <f t="shared" si="5"/>
        <v>8024.4582402433552</v>
      </c>
      <c r="E224" s="30">
        <f>_xll.StatMean(D220:D223)</f>
        <v>9130.9918651481057</v>
      </c>
      <c r="F224" s="30">
        <f t="shared" si="7"/>
        <v>-1106.5336249047505</v>
      </c>
      <c r="G224" s="30">
        <f t="shared" si="6"/>
        <v>10500.496159231227</v>
      </c>
      <c r="H224" s="30">
        <f t="shared" si="8"/>
        <v>-1272.4961592312266</v>
      </c>
    </row>
    <row r="225" spans="1:8" ht="15" customHeight="1" x14ac:dyDescent="0.25">
      <c r="A225" s="27" t="s">
        <v>170</v>
      </c>
      <c r="B225" s="30">
        <f xml:space="preserve"> 9420</f>
        <v>9420</v>
      </c>
      <c r="C225" s="30">
        <v>1.1534390964451762</v>
      </c>
      <c r="D225" s="30">
        <f t="shared" si="5"/>
        <v>8166.8811374885972</v>
      </c>
      <c r="E225" s="30">
        <f>_xll.StatMean(D221:D224)</f>
        <v>8808.0856593148856</v>
      </c>
      <c r="F225" s="30">
        <f t="shared" si="7"/>
        <v>-641.20452182628833</v>
      </c>
      <c r="G225" s="30">
        <f t="shared" si="6"/>
        <v>10159.590364291875</v>
      </c>
      <c r="H225" s="30">
        <f t="shared" si="8"/>
        <v>-739.59036429187472</v>
      </c>
    </row>
    <row r="226" spans="1:8" ht="15" customHeight="1" x14ac:dyDescent="0.25">
      <c r="A226" s="27" t="s">
        <v>171</v>
      </c>
      <c r="B226" s="30">
        <f xml:space="preserve"> 10636</f>
        <v>10636</v>
      </c>
      <c r="C226" s="30">
        <v>1.1204231588868279</v>
      </c>
      <c r="D226" s="30">
        <f t="shared" si="5"/>
        <v>9492.8419817447957</v>
      </c>
      <c r="E226" s="30">
        <f>_xll.StatMean(D222:D225)</f>
        <v>8692.280757014094</v>
      </c>
      <c r="F226" s="30">
        <f t="shared" si="7"/>
        <v>800.56122473070172</v>
      </c>
      <c r="G226" s="30">
        <f t="shared" si="6"/>
        <v>9739.0326637049184</v>
      </c>
      <c r="H226" s="30">
        <f t="shared" si="8"/>
        <v>896.96733629508162</v>
      </c>
    </row>
    <row r="227" spans="1:8" ht="15" customHeight="1" x14ac:dyDescent="0.25">
      <c r="A227" s="27" t="s">
        <v>172</v>
      </c>
      <c r="B227" s="30">
        <f xml:space="preserve"> 9953</f>
        <v>9953</v>
      </c>
      <c r="C227" s="30">
        <v>1.0701050497972113</v>
      </c>
      <c r="D227" s="30">
        <f t="shared" si="5"/>
        <v>9300.9560153801049</v>
      </c>
      <c r="E227" s="30">
        <f>_xll.StatMean(D223:D226)</f>
        <v>8808.8679357568035</v>
      </c>
      <c r="F227" s="30">
        <f t="shared" si="7"/>
        <v>492.08807962330138</v>
      </c>
      <c r="G227" s="30">
        <f t="shared" si="6"/>
        <v>9426.4140610500926</v>
      </c>
      <c r="H227" s="30">
        <f t="shared" si="8"/>
        <v>526.58593894990736</v>
      </c>
    </row>
    <row r="228" spans="1:8" ht="15" customHeight="1" x14ac:dyDescent="0.25">
      <c r="A228" s="27" t="s">
        <v>173</v>
      </c>
      <c r="B228" s="30">
        <f xml:space="preserve"> 9177</f>
        <v>9177</v>
      </c>
      <c r="C228" s="30">
        <v>0.97993531184881255</v>
      </c>
      <c r="D228" s="30">
        <f t="shared" si="5"/>
        <v>9364.903875834465</v>
      </c>
      <c r="E228" s="30">
        <f>_xll.StatMean(D224:D227)</f>
        <v>8746.2843437142128</v>
      </c>
      <c r="F228" s="30">
        <f t="shared" si="7"/>
        <v>618.61953212025219</v>
      </c>
      <c r="G228" s="30">
        <f t="shared" si="6"/>
        <v>8570.7928758759736</v>
      </c>
      <c r="H228" s="30">
        <f t="shared" si="8"/>
        <v>606.20712412402645</v>
      </c>
    </row>
    <row r="229" spans="1:8" ht="15" customHeight="1" x14ac:dyDescent="0.25">
      <c r="A229" s="27" t="s">
        <v>174</v>
      </c>
      <c r="B229" s="30">
        <f xml:space="preserve"> 7192</f>
        <v>7192</v>
      </c>
      <c r="C229" s="30">
        <v>0.92224046659864112</v>
      </c>
      <c r="D229" s="30">
        <f t="shared" si="5"/>
        <v>7798.399940663151</v>
      </c>
      <c r="E229" s="30">
        <f>_xll.StatMean(D225:D228)</f>
        <v>9081.3957526119921</v>
      </c>
      <c r="F229" s="30">
        <f t="shared" si="7"/>
        <v>-1282.995811948841</v>
      </c>
      <c r="G229" s="30">
        <f t="shared" si="6"/>
        <v>8375.2306562558006</v>
      </c>
      <c r="H229" s="30">
        <f t="shared" si="8"/>
        <v>-1183.2306562558006</v>
      </c>
    </row>
    <row r="230" spans="1:8" ht="15" customHeight="1" x14ac:dyDescent="0.25">
      <c r="A230" s="27" t="s">
        <v>175</v>
      </c>
      <c r="B230" s="30">
        <f xml:space="preserve"> 6624</f>
        <v>6624</v>
      </c>
      <c r="C230" s="30">
        <v>0.79667756022487357</v>
      </c>
      <c r="D230" s="30">
        <f t="shared" si="5"/>
        <v>8314.5306592171146</v>
      </c>
      <c r="E230" s="30">
        <f>_xll.StatMean(D226:D229)</f>
        <v>8989.2754534056294</v>
      </c>
      <c r="F230" s="30">
        <f t="shared" si="7"/>
        <v>-674.74479418851479</v>
      </c>
      <c r="G230" s="30">
        <f t="shared" si="6"/>
        <v>7161.5540364085409</v>
      </c>
      <c r="H230" s="30">
        <f t="shared" si="8"/>
        <v>-537.55403640854092</v>
      </c>
    </row>
    <row r="231" spans="1:8" ht="15" customHeight="1" x14ac:dyDescent="0.25">
      <c r="A231" s="27" t="s">
        <v>176</v>
      </c>
      <c r="B231" s="30">
        <f xml:space="preserve"> 9084</f>
        <v>9084</v>
      </c>
      <c r="C231" s="30">
        <v>0.86010781790386404</v>
      </c>
      <c r="D231" s="30">
        <f t="shared" si="5"/>
        <v>10561.466610242273</v>
      </c>
      <c r="E231" s="30">
        <f>_xll.StatMean(D227:D230)</f>
        <v>8694.6976227737086</v>
      </c>
      <c r="F231" s="30">
        <f t="shared" si="7"/>
        <v>1866.7689874685639</v>
      </c>
      <c r="G231" s="30">
        <f t="shared" si="6"/>
        <v>7478.3773996578084</v>
      </c>
      <c r="H231" s="30">
        <f t="shared" si="8"/>
        <v>1605.6226003421916</v>
      </c>
    </row>
    <row r="232" spans="1:8" ht="15" customHeight="1" x14ac:dyDescent="0.25">
      <c r="A232" s="27" t="s">
        <v>177</v>
      </c>
      <c r="B232" s="30">
        <f xml:space="preserve"> 7771</f>
        <v>7771</v>
      </c>
      <c r="C232" s="30">
        <v>0.89662146022058675</v>
      </c>
      <c r="D232" s="30">
        <f t="shared" si="5"/>
        <v>8666.9797063391488</v>
      </c>
      <c r="E232" s="30">
        <f>_xll.StatMean(D228:D231)</f>
        <v>9009.8252714892515</v>
      </c>
      <c r="F232" s="30">
        <f t="shared" si="7"/>
        <v>-342.84556515010263</v>
      </c>
      <c r="G232" s="30">
        <f t="shared" si="6"/>
        <v>8078.4026912550371</v>
      </c>
      <c r="H232" s="30">
        <f t="shared" si="8"/>
        <v>-307.4026912550371</v>
      </c>
    </row>
    <row r="233" spans="1:8" ht="15" customHeight="1" x14ac:dyDescent="0.25">
      <c r="A233" s="27" t="s">
        <v>178</v>
      </c>
      <c r="B233" s="30">
        <f xml:space="preserve"> 9400</f>
        <v>9400</v>
      </c>
      <c r="C233" s="30">
        <v>0.96082308230047397</v>
      </c>
      <c r="D233" s="30">
        <f t="shared" si="5"/>
        <v>9783.2787046433368</v>
      </c>
      <c r="E233" s="30">
        <f>_xll.StatMean(D229:D232)</f>
        <v>8835.3442291154206</v>
      </c>
      <c r="F233" s="30">
        <f t="shared" si="7"/>
        <v>947.93447552791622</v>
      </c>
      <c r="G233" s="30">
        <f t="shared" si="6"/>
        <v>8489.2026754043836</v>
      </c>
      <c r="H233" s="30">
        <f t="shared" si="8"/>
        <v>910.79732459561637</v>
      </c>
    </row>
    <row r="234" spans="1:8" ht="15" customHeight="1" x14ac:dyDescent="0.25">
      <c r="A234" s="27" t="s">
        <v>179</v>
      </c>
      <c r="B234" s="30">
        <f xml:space="preserve"> 9194</f>
        <v>9194</v>
      </c>
      <c r="C234" s="30">
        <v>1.0057061731177082</v>
      </c>
      <c r="D234" s="30">
        <f t="shared" si="5"/>
        <v>9141.8351062700804</v>
      </c>
      <c r="E234" s="30">
        <f>_xll.StatMean(D230:D233)</f>
        <v>9331.5639201104677</v>
      </c>
      <c r="F234" s="30">
        <f t="shared" si="7"/>
        <v>-189.72881384038737</v>
      </c>
      <c r="G234" s="30">
        <f t="shared" si="6"/>
        <v>9384.8114392975767</v>
      </c>
      <c r="H234" s="30">
        <f t="shared" si="8"/>
        <v>-190.81143929757673</v>
      </c>
    </row>
    <row r="235" spans="1:8" ht="15" customHeight="1" x14ac:dyDescent="0.25">
      <c r="A235" s="27" t="s">
        <v>180</v>
      </c>
      <c r="B235" s="30">
        <f xml:space="preserve"> 10002</f>
        <v>10002</v>
      </c>
      <c r="C235" s="30">
        <v>1.083937309437295</v>
      </c>
      <c r="D235" s="30">
        <f t="shared" si="5"/>
        <v>9227.4709182142124</v>
      </c>
      <c r="E235" s="30">
        <f>_xll.StatMean(D231:D234)</f>
        <v>9538.3900318737105</v>
      </c>
      <c r="F235" s="30">
        <f t="shared" si="7"/>
        <v>-310.91911365949818</v>
      </c>
      <c r="G235" s="30">
        <f t="shared" si="6"/>
        <v>10339.016827512705</v>
      </c>
      <c r="H235" s="30">
        <f t="shared" si="8"/>
        <v>-337.01682751270528</v>
      </c>
    </row>
    <row r="236" spans="1:8" ht="15" customHeight="1" x14ac:dyDescent="0.25">
      <c r="A236" s="27" t="s">
        <v>181</v>
      </c>
      <c r="B236" s="30">
        <f xml:space="preserve"> 10538</f>
        <v>10538</v>
      </c>
      <c r="C236" s="30">
        <v>1.1499841763423702</v>
      </c>
      <c r="D236" s="30">
        <f t="shared" si="5"/>
        <v>9163.6043493372872</v>
      </c>
      <c r="E236" s="30">
        <f>_xll.StatMean(D232:D235)</f>
        <v>9204.8911088666937</v>
      </c>
      <c r="F236" s="30">
        <f t="shared" si="7"/>
        <v>-41.286759529406481</v>
      </c>
      <c r="G236" s="30">
        <f t="shared" si="6"/>
        <v>10585.479120151271</v>
      </c>
      <c r="H236" s="30">
        <f t="shared" si="8"/>
        <v>-47.479120151270763</v>
      </c>
    </row>
    <row r="237" spans="1:8" ht="15" customHeight="1" x14ac:dyDescent="0.25">
      <c r="A237" s="27" t="s">
        <v>182</v>
      </c>
      <c r="B237" s="30">
        <f xml:space="preserve"> 8717</f>
        <v>8717</v>
      </c>
      <c r="C237" s="30">
        <v>1.1534390964451762</v>
      </c>
      <c r="D237" s="30">
        <f t="shared" si="5"/>
        <v>7557.3994559966141</v>
      </c>
      <c r="E237" s="30">
        <f>_xll.StatMean(D233:D236)</f>
        <v>9329.0472696162287</v>
      </c>
      <c r="F237" s="30">
        <f t="shared" si="7"/>
        <v>-1771.6478136196147</v>
      </c>
      <c r="G237" s="30">
        <f t="shared" si="6"/>
        <v>10760.487853360481</v>
      </c>
      <c r="H237" s="30">
        <f t="shared" si="8"/>
        <v>-2043.4878533604806</v>
      </c>
    </row>
    <row r="238" spans="1:8" ht="15" customHeight="1" x14ac:dyDescent="0.25">
      <c r="A238" s="27" t="s">
        <v>183</v>
      </c>
      <c r="B238" s="30">
        <f xml:space="preserve"> 11071</f>
        <v>11071</v>
      </c>
      <c r="C238" s="30">
        <v>1.1204231588868279</v>
      </c>
      <c r="D238" s="30">
        <f t="shared" si="5"/>
        <v>9881.0881515510191</v>
      </c>
      <c r="E238" s="30">
        <f>_xll.StatMean(D234:D237)</f>
        <v>8772.5774574545485</v>
      </c>
      <c r="F238" s="30">
        <f t="shared" si="7"/>
        <v>1108.5106940964706</v>
      </c>
      <c r="G238" s="30">
        <f t="shared" si="6"/>
        <v>9828.9989464606024</v>
      </c>
      <c r="H238" s="30">
        <f t="shared" si="8"/>
        <v>1242.0010535393976</v>
      </c>
    </row>
    <row r="239" spans="1:8" ht="15" customHeight="1" x14ac:dyDescent="0.25">
      <c r="A239" s="27" t="s">
        <v>184</v>
      </c>
      <c r="B239" s="30">
        <f xml:space="preserve"> 9441</f>
        <v>9441</v>
      </c>
      <c r="C239" s="30">
        <v>1.0701050497972113</v>
      </c>
      <c r="D239" s="30">
        <f t="shared" si="5"/>
        <v>8822.4983162065291</v>
      </c>
      <c r="E239" s="30">
        <f>_xll.StatMean(D235:D238)</f>
        <v>8957.3907187747827</v>
      </c>
      <c r="F239" s="30">
        <f t="shared" si="7"/>
        <v>-134.8924025682536</v>
      </c>
      <c r="G239" s="30">
        <f t="shared" si="6"/>
        <v>9585.3490411675666</v>
      </c>
      <c r="H239" s="30">
        <f t="shared" si="8"/>
        <v>-144.34904116756661</v>
      </c>
    </row>
    <row r="240" spans="1:8" ht="15" customHeight="1" x14ac:dyDescent="0.25">
      <c r="A240" s="27" t="s">
        <v>185</v>
      </c>
      <c r="B240" s="30">
        <f xml:space="preserve"> 8548</f>
        <v>8548</v>
      </c>
      <c r="C240" s="30">
        <v>0.97993531184881255</v>
      </c>
      <c r="D240" s="30">
        <f t="shared" si="5"/>
        <v>8723.024771780867</v>
      </c>
      <c r="E240" s="30">
        <f>_xll.StatMean(D236:D239)</f>
        <v>8856.1475682728633</v>
      </c>
      <c r="F240" s="30">
        <f t="shared" si="7"/>
        <v>-133.12279649199627</v>
      </c>
      <c r="G240" s="30">
        <f t="shared" si="6"/>
        <v>8678.4517290945714</v>
      </c>
      <c r="H240" s="30">
        <f t="shared" si="8"/>
        <v>-130.45172909457142</v>
      </c>
    </row>
    <row r="241" spans="1:8" ht="15" customHeight="1" x14ac:dyDescent="0.25">
      <c r="A241" s="27" t="s">
        <v>186</v>
      </c>
      <c r="B241" s="30">
        <f xml:space="preserve"> 8566</f>
        <v>8566</v>
      </c>
      <c r="C241" s="30">
        <v>0.92224046659864112</v>
      </c>
      <c r="D241" s="30">
        <f t="shared" si="5"/>
        <v>9288.2499849444594</v>
      </c>
      <c r="E241" s="30">
        <f>_xll.StatMean(D237:D240)</f>
        <v>8746.0026738837587</v>
      </c>
      <c r="F241" s="30">
        <f t="shared" si="7"/>
        <v>542.24731106070067</v>
      </c>
      <c r="G241" s="30">
        <f t="shared" si="6"/>
        <v>8065.9175868355205</v>
      </c>
      <c r="H241" s="30">
        <f t="shared" si="8"/>
        <v>500.08241316447948</v>
      </c>
    </row>
    <row r="242" spans="1:8" ht="15" customHeight="1" x14ac:dyDescent="0.25">
      <c r="A242" s="27" t="s">
        <v>187</v>
      </c>
      <c r="B242" s="30">
        <f xml:space="preserve"> 7876</f>
        <v>7876</v>
      </c>
      <c r="C242" s="30">
        <v>0.79667756022487357</v>
      </c>
      <c r="D242" s="30">
        <f t="shared" si="5"/>
        <v>9886.0572874387053</v>
      </c>
      <c r="E242" s="30">
        <f>_xll.StatMean(D238:D241)</f>
        <v>9178.7153061207191</v>
      </c>
      <c r="F242" s="30">
        <f t="shared" si="7"/>
        <v>707.34198131798621</v>
      </c>
      <c r="G242" s="30">
        <f t="shared" si="6"/>
        <v>7312.4765160789584</v>
      </c>
      <c r="H242" s="30">
        <f t="shared" si="8"/>
        <v>563.52348392104159</v>
      </c>
    </row>
    <row r="243" spans="1:8" ht="15" customHeight="1" x14ac:dyDescent="0.25">
      <c r="A243" s="27" t="s">
        <v>188</v>
      </c>
      <c r="B243" s="30">
        <f xml:space="preserve"> 7534</f>
        <v>7534</v>
      </c>
      <c r="C243" s="30">
        <v>0.86010781790386404</v>
      </c>
      <c r="D243" s="30">
        <f t="shared" si="5"/>
        <v>8759.3669574598498</v>
      </c>
      <c r="E243" s="30">
        <f>_xll.StatMean(D239:D242)</f>
        <v>9179.9575900926411</v>
      </c>
      <c r="F243" s="30">
        <f t="shared" si="7"/>
        <v>-420.59063263279131</v>
      </c>
      <c r="G243" s="30">
        <f t="shared" si="6"/>
        <v>7895.7532912645956</v>
      </c>
      <c r="H243" s="30">
        <f t="shared" si="8"/>
        <v>-361.75329126459565</v>
      </c>
    </row>
    <row r="244" spans="1:8" ht="15" customHeight="1" x14ac:dyDescent="0.25">
      <c r="A244" s="27" t="s">
        <v>189</v>
      </c>
      <c r="B244" s="30">
        <f xml:space="preserve"> 7125</f>
        <v>7125</v>
      </c>
      <c r="C244" s="30">
        <v>0.89662146022058675</v>
      </c>
      <c r="D244" s="30">
        <f t="shared" si="5"/>
        <v>7946.4972857632783</v>
      </c>
      <c r="E244" s="30">
        <f>_xll.StatMean(D240:D243)</f>
        <v>9164.1747504059713</v>
      </c>
      <c r="F244" s="30">
        <f t="shared" si="7"/>
        <v>-1217.6774646426929</v>
      </c>
      <c r="G244" s="30">
        <f t="shared" si="6"/>
        <v>8216.7957464256324</v>
      </c>
      <c r="H244" s="30">
        <f t="shared" si="8"/>
        <v>-1091.7957464256324</v>
      </c>
    </row>
    <row r="245" spans="1:8" ht="15" customHeight="1" x14ac:dyDescent="0.25">
      <c r="A245" s="27" t="s">
        <v>190</v>
      </c>
      <c r="B245" s="30">
        <f xml:space="preserve"> 8743</f>
        <v>8743</v>
      </c>
      <c r="C245" s="30">
        <v>0.96082308230047397</v>
      </c>
      <c r="D245" s="30">
        <f t="shared" si="5"/>
        <v>9099.4899696485845</v>
      </c>
      <c r="E245" s="30">
        <f>_xll.StatMean(D241:D244)</f>
        <v>8970.0428789015732</v>
      </c>
      <c r="F245" s="30">
        <f t="shared" si="7"/>
        <v>129.44709074701132</v>
      </c>
      <c r="G245" s="30">
        <f t="shared" si="6"/>
        <v>8618.6242472736267</v>
      </c>
      <c r="H245" s="30">
        <f t="shared" si="8"/>
        <v>124.37575272637332</v>
      </c>
    </row>
    <row r="246" spans="1:8" ht="15" customHeight="1" x14ac:dyDescent="0.25">
      <c r="A246" s="27" t="s">
        <v>191</v>
      </c>
      <c r="B246" s="30">
        <f xml:space="preserve"> 9070</f>
        <v>9070</v>
      </c>
      <c r="C246" s="30">
        <v>1.0057061731177082</v>
      </c>
      <c r="D246" s="30">
        <f t="shared" si="5"/>
        <v>9018.5386571535382</v>
      </c>
      <c r="E246" s="30">
        <f>_xll.StatMean(D242:D245)</f>
        <v>8922.852875077604</v>
      </c>
      <c r="F246" s="30">
        <f t="shared" si="7"/>
        <v>95.685782075934185</v>
      </c>
      <c r="G246" s="30">
        <f t="shared" ref="G246:G270" si="9">E246*C246</f>
        <v>8973.7682182866374</v>
      </c>
      <c r="H246" s="30">
        <f t="shared" si="8"/>
        <v>96.231781713362579</v>
      </c>
    </row>
    <row r="247" spans="1:8" ht="15" customHeight="1" x14ac:dyDescent="0.25">
      <c r="A247" s="27" t="s">
        <v>192</v>
      </c>
      <c r="B247" s="30">
        <f xml:space="preserve"> 9132</f>
        <v>9132</v>
      </c>
      <c r="C247" s="30">
        <v>1.083937309437295</v>
      </c>
      <c r="D247" s="30">
        <f t="shared" si="5"/>
        <v>8424.8414742183759</v>
      </c>
      <c r="E247" s="30">
        <f>_xll.StatMean(D243:D246)</f>
        <v>8705.9732175063127</v>
      </c>
      <c r="F247" s="30">
        <f t="shared" si="7"/>
        <v>-281.13174328793684</v>
      </c>
      <c r="G247" s="30">
        <f t="shared" si="9"/>
        <v>9436.7291854169434</v>
      </c>
      <c r="H247" s="30">
        <f t="shared" si="8"/>
        <v>-304.72918541694344</v>
      </c>
    </row>
    <row r="248" spans="1:8" ht="15" customHeight="1" x14ac:dyDescent="0.25">
      <c r="A248" s="27" t="s">
        <v>193</v>
      </c>
      <c r="B248" s="30">
        <f xml:space="preserve"> 10237</f>
        <v>10237</v>
      </c>
      <c r="C248" s="30">
        <v>1.1499841763423702</v>
      </c>
      <c r="D248" s="30">
        <f t="shared" si="5"/>
        <v>8901.8616174004364</v>
      </c>
      <c r="E248" s="30">
        <f>_xll.StatMean(D244:D247)</f>
        <v>8622.3418466959447</v>
      </c>
      <c r="F248" s="30">
        <f t="shared" si="7"/>
        <v>279.51977070449175</v>
      </c>
      <c r="G248" s="30">
        <f t="shared" si="9"/>
        <v>9915.5566867149864</v>
      </c>
      <c r="H248" s="30">
        <f t="shared" si="8"/>
        <v>321.44331328501357</v>
      </c>
    </row>
    <row r="249" spans="1:8" ht="15" customHeight="1" x14ac:dyDescent="0.25">
      <c r="A249" s="27" t="s">
        <v>194</v>
      </c>
      <c r="B249" s="30">
        <f xml:space="preserve"> 9414</f>
        <v>9414</v>
      </c>
      <c r="C249" s="30">
        <v>1.1534390964451762</v>
      </c>
      <c r="D249" s="30">
        <f t="shared" si="5"/>
        <v>8161.679302369178</v>
      </c>
      <c r="E249" s="30">
        <f>_xll.StatMean(D245:D248)</f>
        <v>8861.1829296052329</v>
      </c>
      <c r="F249" s="30">
        <f t="shared" si="7"/>
        <v>-699.50362723605485</v>
      </c>
      <c r="G249" s="30">
        <f t="shared" si="9"/>
        <v>10220.834831759279</v>
      </c>
      <c r="H249" s="30">
        <f t="shared" si="8"/>
        <v>-806.83483175927904</v>
      </c>
    </row>
    <row r="250" spans="1:8" ht="15" customHeight="1" x14ac:dyDescent="0.25">
      <c r="A250" s="27" t="s">
        <v>195</v>
      </c>
      <c r="B250" s="30">
        <f xml:space="preserve"> 9033</f>
        <v>9033</v>
      </c>
      <c r="C250" s="30">
        <v>1.1204231588868279</v>
      </c>
      <c r="D250" s="30">
        <f t="shared" si="5"/>
        <v>8062.1325330106001</v>
      </c>
      <c r="E250" s="30">
        <f>_xll.StatMean(D246:D249)</f>
        <v>8626.7302627853824</v>
      </c>
      <c r="F250" s="30">
        <f t="shared" si="7"/>
        <v>-564.59772977478224</v>
      </c>
      <c r="G250" s="30">
        <f t="shared" si="9"/>
        <v>9665.5883718945934</v>
      </c>
      <c r="H250" s="30">
        <f t="shared" si="8"/>
        <v>-632.58837189459337</v>
      </c>
    </row>
    <row r="251" spans="1:8" ht="15" customHeight="1" x14ac:dyDescent="0.25">
      <c r="A251" s="27" t="s">
        <v>196</v>
      </c>
      <c r="B251" s="30">
        <f xml:space="preserve"> 8375</f>
        <v>8375</v>
      </c>
      <c r="C251" s="30">
        <v>1.0701050497972113</v>
      </c>
      <c r="D251" s="30">
        <f t="shared" si="5"/>
        <v>7826.3344347240409</v>
      </c>
      <c r="E251" s="30">
        <f>_xll.StatMean(D247:D250)</f>
        <v>8387.6287317496481</v>
      </c>
      <c r="F251" s="30">
        <f t="shared" si="7"/>
        <v>-561.29429702560719</v>
      </c>
      <c r="G251" s="30">
        <f t="shared" si="9"/>
        <v>8975.6438616694777</v>
      </c>
      <c r="H251" s="30">
        <f t="shared" si="8"/>
        <v>-600.6438616694777</v>
      </c>
    </row>
    <row r="252" spans="1:8" ht="15" customHeight="1" x14ac:dyDescent="0.25">
      <c r="A252" s="27" t="s">
        <v>197</v>
      </c>
      <c r="B252" s="30">
        <f xml:space="preserve"> 8906</f>
        <v>8906</v>
      </c>
      <c r="C252" s="30">
        <v>0.97993531184881255</v>
      </c>
      <c r="D252" s="30">
        <f t="shared" si="5"/>
        <v>9088.3550090641547</v>
      </c>
      <c r="E252" s="30">
        <f>_xll.StatMean(D248:D251)</f>
        <v>8238.0019718760632</v>
      </c>
      <c r="F252" s="30">
        <f t="shared" si="7"/>
        <v>850.35303718809155</v>
      </c>
      <c r="G252" s="30">
        <f t="shared" si="9"/>
        <v>8072.7090313215031</v>
      </c>
      <c r="H252" s="30">
        <f t="shared" si="8"/>
        <v>833.29096867849694</v>
      </c>
    </row>
    <row r="253" spans="1:8" ht="15" customHeight="1" x14ac:dyDescent="0.25">
      <c r="A253" s="27" t="s">
        <v>198</v>
      </c>
      <c r="B253" s="30">
        <f xml:space="preserve"> 7122</f>
        <v>7122</v>
      </c>
      <c r="C253" s="30">
        <v>0.92224046659864112</v>
      </c>
      <c r="D253" s="30">
        <f t="shared" si="5"/>
        <v>7722.4978277812797</v>
      </c>
      <c r="E253" s="30">
        <f>_xll.StatMean(D249:D252)</f>
        <v>8284.6253197919941</v>
      </c>
      <c r="F253" s="30">
        <f t="shared" si="7"/>
        <v>-562.12749201071438</v>
      </c>
      <c r="G253" s="30">
        <f t="shared" si="9"/>
        <v>7640.4167205198846</v>
      </c>
      <c r="H253" s="30">
        <f t="shared" si="8"/>
        <v>-518.41672051988462</v>
      </c>
    </row>
    <row r="254" spans="1:8" ht="15" customHeight="1" x14ac:dyDescent="0.25">
      <c r="A254" s="27" t="s">
        <v>199</v>
      </c>
      <c r="B254" s="30">
        <f xml:space="preserve"> 7193</f>
        <v>7193</v>
      </c>
      <c r="C254" s="30">
        <v>0.79667756022487357</v>
      </c>
      <c r="D254" s="30">
        <f t="shared" si="5"/>
        <v>9028.7468345031248</v>
      </c>
      <c r="E254" s="30">
        <f>_xll.StatMean(D250:D253)</f>
        <v>8174.8299511450195</v>
      </c>
      <c r="F254" s="30">
        <f t="shared" si="7"/>
        <v>853.91688335810522</v>
      </c>
      <c r="G254" s="30">
        <f t="shared" si="9"/>
        <v>6512.7035807314369</v>
      </c>
      <c r="H254" s="30">
        <f t="shared" si="8"/>
        <v>680.29641926856311</v>
      </c>
    </row>
    <row r="255" spans="1:8" ht="15" customHeight="1" x14ac:dyDescent="0.25">
      <c r="A255" s="27" t="s">
        <v>200</v>
      </c>
      <c r="B255" s="30">
        <f xml:space="preserve"> 7619</f>
        <v>7619</v>
      </c>
      <c r="C255" s="30">
        <v>0.86010781790386404</v>
      </c>
      <c r="D255" s="30">
        <f t="shared" si="5"/>
        <v>8858.1917771285625</v>
      </c>
      <c r="E255" s="30">
        <f>_xll.StatMean(D251:D254)</f>
        <v>8416.48352651815</v>
      </c>
      <c r="F255" s="30">
        <f t="shared" si="7"/>
        <v>441.70825061041251</v>
      </c>
      <c r="G255" s="30">
        <f t="shared" si="9"/>
        <v>7239.0832804173442</v>
      </c>
      <c r="H255" s="30">
        <f t="shared" si="8"/>
        <v>379.91671958265579</v>
      </c>
    </row>
    <row r="256" spans="1:8" ht="15" customHeight="1" x14ac:dyDescent="0.25">
      <c r="A256" s="27" t="s">
        <v>201</v>
      </c>
      <c r="B256" s="30">
        <f xml:space="preserve"> 7793</f>
        <v>7793</v>
      </c>
      <c r="C256" s="30">
        <v>0.89662146022058675</v>
      </c>
      <c r="D256" s="30">
        <f t="shared" si="5"/>
        <v>8691.516259361857</v>
      </c>
      <c r="E256" s="30">
        <f>_xll.StatMean(D252:D255)</f>
        <v>8674.4478621192793</v>
      </c>
      <c r="F256" s="30">
        <f t="shared" si="7"/>
        <v>17.068397242577703</v>
      </c>
      <c r="G256" s="30">
        <f t="shared" si="9"/>
        <v>7777.6961087407353</v>
      </c>
      <c r="H256" s="30">
        <f t="shared" si="8"/>
        <v>15.303891259264674</v>
      </c>
    </row>
    <row r="257" spans="1:8" ht="15" customHeight="1" x14ac:dyDescent="0.25">
      <c r="A257" s="27" t="s">
        <v>202</v>
      </c>
      <c r="B257" s="30">
        <f xml:space="preserve"> 7434</f>
        <v>7434</v>
      </c>
      <c r="C257" s="30">
        <v>0.96082308230047397</v>
      </c>
      <c r="D257" s="30">
        <f t="shared" si="5"/>
        <v>7737.1163713104861</v>
      </c>
      <c r="E257" s="30">
        <f>_xll.StatMean(D253:D256)</f>
        <v>8575.2381746937062</v>
      </c>
      <c r="F257" s="30">
        <f t="shared" si="7"/>
        <v>-838.12180338322014</v>
      </c>
      <c r="G257" s="30">
        <f t="shared" si="9"/>
        <v>8239.2867744698979</v>
      </c>
      <c r="H257" s="30">
        <f t="shared" si="8"/>
        <v>-805.28677446989786</v>
      </c>
    </row>
    <row r="258" spans="1:8" ht="15" customHeight="1" x14ac:dyDescent="0.25">
      <c r="A258" s="27" t="s">
        <v>203</v>
      </c>
      <c r="B258" s="30">
        <f xml:space="preserve"> 10299</f>
        <v>10299</v>
      </c>
      <c r="C258" s="30">
        <v>1.0057061731177082</v>
      </c>
      <c r="D258" s="30">
        <f t="shared" si="5"/>
        <v>10240.565560090881</v>
      </c>
      <c r="E258" s="30">
        <f>_xll.StatMean(D254:D257)</f>
        <v>8578.8928105760078</v>
      </c>
      <c r="F258" s="30">
        <f t="shared" si="7"/>
        <v>1661.6727495148734</v>
      </c>
      <c r="G258" s="30">
        <f t="shared" si="9"/>
        <v>8627.8454581114165</v>
      </c>
      <c r="H258" s="30">
        <f t="shared" si="8"/>
        <v>1671.1545418885835</v>
      </c>
    </row>
    <row r="259" spans="1:8" ht="15" customHeight="1" x14ac:dyDescent="0.25">
      <c r="A259" s="27" t="s">
        <v>204</v>
      </c>
      <c r="B259" s="30">
        <f xml:space="preserve"> 9082</f>
        <v>9082</v>
      </c>
      <c r="C259" s="30">
        <v>1.083937309437295</v>
      </c>
      <c r="D259" s="30">
        <f t="shared" si="5"/>
        <v>8378.7133452530979</v>
      </c>
      <c r="E259" s="30">
        <f>_xll.StatMean(D255:D258)</f>
        <v>8881.847491972947</v>
      </c>
      <c r="F259" s="30">
        <f t="shared" si="7"/>
        <v>-503.13414671984901</v>
      </c>
      <c r="G259" s="30">
        <f t="shared" si="9"/>
        <v>9627.3658732815438</v>
      </c>
      <c r="H259" s="30">
        <f t="shared" si="8"/>
        <v>-545.36587328154383</v>
      </c>
    </row>
    <row r="260" spans="1:8" ht="15" customHeight="1" x14ac:dyDescent="0.25">
      <c r="A260" s="27" t="s">
        <v>205</v>
      </c>
      <c r="B260" s="30">
        <f xml:space="preserve"> 9805</f>
        <v>9805</v>
      </c>
      <c r="C260" s="30">
        <v>1.1499841763423702</v>
      </c>
      <c r="D260" s="30">
        <f t="shared" si="5"/>
        <v>8526.204274554193</v>
      </c>
      <c r="E260" s="30">
        <f>_xll.StatMean(D256:D259)</f>
        <v>8761.9778840040799</v>
      </c>
      <c r="F260" s="30">
        <f t="shared" si="7"/>
        <v>-235.77360944988686</v>
      </c>
      <c r="G260" s="30">
        <f t="shared" si="9"/>
        <v>10076.135920066496</v>
      </c>
      <c r="H260" s="30">
        <f t="shared" si="8"/>
        <v>-271.1359200664956</v>
      </c>
    </row>
    <row r="261" spans="1:8" ht="15" customHeight="1" x14ac:dyDescent="0.25">
      <c r="A261" s="27" t="s">
        <v>206</v>
      </c>
      <c r="B261" s="30">
        <f xml:space="preserve"> 10482</f>
        <v>10482</v>
      </c>
      <c r="C261" s="30">
        <v>1.1534390964451762</v>
      </c>
      <c r="D261" s="30">
        <f t="shared" si="5"/>
        <v>9087.6059536258472</v>
      </c>
      <c r="E261" s="30">
        <f>_xll.StatMean(D257:D260)</f>
        <v>8720.6498878021648</v>
      </c>
      <c r="F261" s="30">
        <f t="shared" si="7"/>
        <v>366.95606582368237</v>
      </c>
      <c r="G261" s="30">
        <f t="shared" si="9"/>
        <v>10058.738527001256</v>
      </c>
      <c r="H261" s="30">
        <f t="shared" si="8"/>
        <v>423.26147299874356</v>
      </c>
    </row>
    <row r="262" spans="1:8" ht="15" customHeight="1" x14ac:dyDescent="0.25">
      <c r="A262" s="40" t="s">
        <v>207</v>
      </c>
      <c r="B262" s="41">
        <f xml:space="preserve"> 10858</f>
        <v>10858</v>
      </c>
      <c r="C262" s="41">
        <v>1.1204231588868279</v>
      </c>
      <c r="D262" s="41">
        <f t="shared" si="5"/>
        <v>9690.9814063355589</v>
      </c>
      <c r="E262" s="41">
        <f>_xll.StatMean(D258:D261)</f>
        <v>9058.2722833810039</v>
      </c>
      <c r="F262" s="41">
        <f t="shared" si="7"/>
        <v>632.70912295455491</v>
      </c>
      <c r="G262" s="41">
        <f t="shared" si="9"/>
        <v>10149.098045802744</v>
      </c>
      <c r="H262" s="41">
        <f t="shared" si="8"/>
        <v>708.90195419725569</v>
      </c>
    </row>
    <row r="263" spans="1:8" ht="15" customHeight="1" x14ac:dyDescent="0.25">
      <c r="A263" s="27" t="s">
        <v>208</v>
      </c>
      <c r="B263" s="30"/>
      <c r="C263" s="30">
        <v>1.0701050497972113</v>
      </c>
      <c r="D263" s="30"/>
      <c r="E263" s="30">
        <f>_xll.StatMean(D259:D262)</f>
        <v>8920.8762449421738</v>
      </c>
      <c r="F263" s="30"/>
      <c r="G263" s="30">
        <f t="shared" si="9"/>
        <v>9546.2747183286046</v>
      </c>
      <c r="H263" s="30"/>
    </row>
    <row r="264" spans="1:8" ht="15" customHeight="1" x14ac:dyDescent="0.25">
      <c r="A264" s="27" t="s">
        <v>213</v>
      </c>
      <c r="B264" s="30"/>
      <c r="C264" s="30">
        <v>0.97993531184881255</v>
      </c>
      <c r="D264" s="30"/>
      <c r="E264" s="30">
        <f>_xll.StatMean(D260:D262,E263)</f>
        <v>9056.4169698644437</v>
      </c>
      <c r="F264" s="30"/>
      <c r="G264" s="30">
        <f t="shared" si="9"/>
        <v>8874.7027875969925</v>
      </c>
      <c r="H264" s="30"/>
    </row>
    <row r="265" spans="1:8" ht="15" customHeight="1" x14ac:dyDescent="0.25">
      <c r="A265" s="27" t="s">
        <v>214</v>
      </c>
      <c r="B265" s="30"/>
      <c r="C265" s="30">
        <v>0.92224046659864112</v>
      </c>
      <c r="D265" s="30"/>
      <c r="E265" s="30">
        <f>_xll.StatMean(D261:D262,E263:E264)</f>
        <v>9188.9701436920059</v>
      </c>
      <c r="F265" s="30"/>
      <c r="G265" s="30">
        <f t="shared" si="9"/>
        <v>8474.440112879498</v>
      </c>
      <c r="H265" s="30"/>
    </row>
    <row r="266" spans="1:8" ht="15" customHeight="1" x14ac:dyDescent="0.25">
      <c r="A266" s="27" t="s">
        <v>215</v>
      </c>
      <c r="B266" s="30"/>
      <c r="C266" s="30">
        <v>0.79667756022487357</v>
      </c>
      <c r="D266" s="30"/>
      <c r="E266" s="30">
        <f>_xll.StatMean(D262,E263:E265)</f>
        <v>9214.311191208546</v>
      </c>
      <c r="F266" s="30"/>
      <c r="G266" s="30">
        <f t="shared" si="9"/>
        <v>7340.8349589647733</v>
      </c>
      <c r="H266" s="30"/>
    </row>
    <row r="267" spans="1:8" ht="15" customHeight="1" x14ac:dyDescent="0.25">
      <c r="A267" s="27" t="s">
        <v>216</v>
      </c>
      <c r="B267" s="30"/>
      <c r="C267" s="30">
        <v>0.86010781790386404</v>
      </c>
      <c r="D267" s="30"/>
      <c r="E267" s="30">
        <f>_xll.StatMean(E263:E266)</f>
        <v>9095.1436374267923</v>
      </c>
      <c r="F267" s="30"/>
      <c r="G267" s="30">
        <f t="shared" si="9"/>
        <v>7822.8041475093714</v>
      </c>
      <c r="H267" s="30"/>
    </row>
    <row r="268" spans="1:8" ht="15" customHeight="1" x14ac:dyDescent="0.25">
      <c r="A268" s="27" t="s">
        <v>217</v>
      </c>
      <c r="B268" s="30"/>
      <c r="C268" s="30">
        <v>0.89662146022058675</v>
      </c>
      <c r="D268" s="30"/>
      <c r="E268" s="30">
        <f>_xll.StatMean(E264:E267)</f>
        <v>9138.7104855479465</v>
      </c>
      <c r="F268" s="30"/>
      <c r="G268" s="30">
        <f t="shared" si="9"/>
        <v>8193.9639400851866</v>
      </c>
      <c r="H268" s="30"/>
    </row>
    <row r="269" spans="1:8" ht="15" customHeight="1" x14ac:dyDescent="0.25">
      <c r="A269" s="27" t="s">
        <v>218</v>
      </c>
      <c r="B269" s="30"/>
      <c r="C269" s="30">
        <v>0.96082308230047397</v>
      </c>
      <c r="D269" s="30"/>
      <c r="E269" s="30">
        <f>_xll.StatMean(E265:E268)</f>
        <v>9159.2838644688236</v>
      </c>
      <c r="F269" s="30"/>
      <c r="G269" s="30">
        <f t="shared" si="9"/>
        <v>8800.4513543239318</v>
      </c>
      <c r="H269" s="30"/>
    </row>
    <row r="270" spans="1:8" ht="15" customHeight="1" x14ac:dyDescent="0.25">
      <c r="A270" s="27" t="s">
        <v>219</v>
      </c>
      <c r="B270" s="30"/>
      <c r="C270" s="30">
        <v>1.0057061731177082</v>
      </c>
      <c r="D270" s="30"/>
      <c r="E270" s="30">
        <f>_xll.StatMean(E266:E269)</f>
        <v>9151.8622946630276</v>
      </c>
      <c r="F270" s="30"/>
      <c r="G270" s="30">
        <f t="shared" si="9"/>
        <v>9204.0844052658013</v>
      </c>
      <c r="H270" s="30"/>
    </row>
  </sheetData>
  <pageMargins left="0.7" right="0.7" top="0.75" bottom="0.75" header="0.3" footer="0.3"/>
  <pageSetup paperSize="9" orientation="portrait" r:id="rId1"/>
  <drawing r:id="rId2"/>
  <legacyDrawing r:id="rId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70"/>
  <sheetViews>
    <sheetView showGridLines="0" workbookViewId="0">
      <selection activeCell="F29" sqref="F29"/>
    </sheetView>
  </sheetViews>
  <sheetFormatPr defaultColWidth="12.7109375" defaultRowHeight="15" x14ac:dyDescent="0.25"/>
  <cols>
    <col min="1" max="1" width="34.7109375" bestFit="1" customWidth="1"/>
    <col min="2" max="9" width="12.7109375" customWidth="1"/>
  </cols>
  <sheetData>
    <row r="1" spans="1:3" s="16" customFormat="1" ht="18.75" x14ac:dyDescent="0.3">
      <c r="A1" s="22" t="s">
        <v>75</v>
      </c>
      <c r="B1" s="20"/>
    </row>
    <row r="2" spans="1:3" s="16" customFormat="1" ht="11.25" x14ac:dyDescent="0.2">
      <c r="A2" s="18" t="s">
        <v>76</v>
      </c>
      <c r="B2" s="20" t="s">
        <v>77</v>
      </c>
    </row>
    <row r="3" spans="1:3" s="16" customFormat="1" ht="11.25" x14ac:dyDescent="0.2">
      <c r="A3" s="18" t="s">
        <v>78</v>
      </c>
      <c r="B3" s="20" t="s">
        <v>79</v>
      </c>
    </row>
    <row r="4" spans="1:3" s="16" customFormat="1" ht="11.25" x14ac:dyDescent="0.2">
      <c r="A4" s="18" t="s">
        <v>80</v>
      </c>
      <c r="B4" s="23">
        <v>45067</v>
      </c>
    </row>
    <row r="5" spans="1:3" s="17" customFormat="1" ht="11.25" x14ac:dyDescent="0.2">
      <c r="A5" s="19" t="s">
        <v>81</v>
      </c>
      <c r="B5" s="21" t="s">
        <v>82</v>
      </c>
    </row>
    <row r="7" spans="1:3" ht="15" customHeight="1" x14ac:dyDescent="0.25">
      <c r="A7" s="28" t="s">
        <v>301</v>
      </c>
      <c r="B7" s="25"/>
    </row>
    <row r="8" spans="1:3" ht="15" customHeight="1" thickBot="1" x14ac:dyDescent="0.3">
      <c r="A8" s="39" t="s">
        <v>235</v>
      </c>
      <c r="B8" s="38"/>
    </row>
    <row r="9" spans="1:3" ht="15" customHeight="1" thickTop="1" x14ac:dyDescent="0.25">
      <c r="A9" s="27" t="s">
        <v>229</v>
      </c>
      <c r="B9" s="35">
        <v>0.13196066623854424</v>
      </c>
    </row>
    <row r="10" spans="1:3" ht="15" customHeight="1" x14ac:dyDescent="0.25"/>
    <row r="11" spans="1:3" ht="15" customHeight="1" x14ac:dyDescent="0.25">
      <c r="A11" s="28"/>
      <c r="B11" s="25"/>
      <c r="C11" s="25" t="s">
        <v>220</v>
      </c>
    </row>
    <row r="12" spans="1:3" ht="15" customHeight="1" thickBot="1" x14ac:dyDescent="0.3">
      <c r="A12" s="39" t="s">
        <v>237</v>
      </c>
      <c r="B12" s="38"/>
      <c r="C12" s="38" t="s">
        <v>225</v>
      </c>
    </row>
    <row r="13" spans="1:3" ht="15" customHeight="1" thickTop="1" x14ac:dyDescent="0.25">
      <c r="A13" s="27" t="s">
        <v>88</v>
      </c>
      <c r="B13" s="30">
        <f>_xll.StatMeanAbs(I147:I262)</f>
        <v>578.6233864432553</v>
      </c>
      <c r="C13" s="30">
        <f>_xll.StatMeanAbs(G147:G262)</f>
        <v>579.20842041997571</v>
      </c>
    </row>
    <row r="14" spans="1:3" ht="15" customHeight="1" x14ac:dyDescent="0.25">
      <c r="A14" s="27" t="s">
        <v>89</v>
      </c>
      <c r="B14" s="30">
        <f>SQRT(SUMSQ(I147:I262)/_xll.StatCount(I147:I262))</f>
        <v>755.62647772692674</v>
      </c>
      <c r="C14" s="30">
        <f>SQRT(SUMSQ(G147:G262)/_xll.StatCount(G147:G262))</f>
        <v>757.24507688534857</v>
      </c>
    </row>
    <row r="15" spans="1:3" ht="15" customHeight="1" x14ac:dyDescent="0.25">
      <c r="A15" s="27" t="s">
        <v>90</v>
      </c>
      <c r="B15" s="33">
        <f>_xll.StatPairMeanAbsQuotient(I147:I262,B147:B262)</f>
        <v>6.6274393615351104E-2</v>
      </c>
      <c r="C15" s="33">
        <f>_xll.StatPairMeanAbsQuotient(G147:G262,D147:D262)</f>
        <v>6.6274393615351063E-2</v>
      </c>
    </row>
    <row r="16" spans="1:3"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spans="1:9" ht="15" customHeight="1" x14ac:dyDescent="0.25"/>
    <row r="130" spans="1:9" ht="15" customHeight="1" x14ac:dyDescent="0.25"/>
    <row r="131" spans="1:9" ht="15" customHeight="1" x14ac:dyDescent="0.25"/>
    <row r="132" spans="1:9" ht="15" customHeight="1" x14ac:dyDescent="0.25"/>
    <row r="133" spans="1:9" ht="15" customHeight="1" x14ac:dyDescent="0.25"/>
    <row r="134" spans="1:9" ht="15" customHeight="1" x14ac:dyDescent="0.25"/>
    <row r="135" spans="1:9" ht="15" customHeight="1" x14ac:dyDescent="0.25"/>
    <row r="136" spans="1:9" ht="15" customHeight="1" x14ac:dyDescent="0.25"/>
    <row r="137" spans="1:9" ht="15" customHeight="1" x14ac:dyDescent="0.25"/>
    <row r="138" spans="1:9" ht="15" customHeight="1" x14ac:dyDescent="0.25"/>
    <row r="139" spans="1:9" ht="15" customHeight="1" x14ac:dyDescent="0.25"/>
    <row r="140" spans="1:9" ht="15" customHeight="1" x14ac:dyDescent="0.25"/>
    <row r="141" spans="1:9" ht="15" customHeight="1" x14ac:dyDescent="0.25"/>
    <row r="142" spans="1:9" ht="15" customHeight="1" x14ac:dyDescent="0.25"/>
    <row r="143" spans="1:9" ht="15" customHeight="1" x14ac:dyDescent="0.25"/>
    <row r="144" spans="1:9" ht="15" customHeight="1" x14ac:dyDescent="0.25">
      <c r="A144" s="28"/>
      <c r="B144" s="25"/>
      <c r="C144" s="25" t="s">
        <v>222</v>
      </c>
      <c r="D144" s="25" t="s">
        <v>220</v>
      </c>
      <c r="E144" s="25" t="s">
        <v>220</v>
      </c>
      <c r="F144" s="25" t="s">
        <v>220</v>
      </c>
      <c r="G144" s="25" t="s">
        <v>220</v>
      </c>
      <c r="H144" s="25" t="s">
        <v>222</v>
      </c>
      <c r="I144" s="25" t="s">
        <v>222</v>
      </c>
    </row>
    <row r="145" spans="1:9" ht="15" customHeight="1" thickBot="1" x14ac:dyDescent="0.3">
      <c r="A145" s="39" t="s">
        <v>86</v>
      </c>
      <c r="B145" s="38" t="s">
        <v>3</v>
      </c>
      <c r="C145" s="38" t="s">
        <v>223</v>
      </c>
      <c r="D145" s="38" t="s">
        <v>3</v>
      </c>
      <c r="E145" s="38" t="s">
        <v>232</v>
      </c>
      <c r="F145" s="38" t="s">
        <v>77</v>
      </c>
      <c r="G145" s="38" t="s">
        <v>224</v>
      </c>
      <c r="H145" s="38" t="s">
        <v>77</v>
      </c>
      <c r="I145" s="38" t="s">
        <v>224</v>
      </c>
    </row>
    <row r="146" spans="1:9" ht="15" customHeight="1" thickTop="1" x14ac:dyDescent="0.25">
      <c r="A146" s="27" t="s">
        <v>91</v>
      </c>
      <c r="B146" s="30">
        <f xml:space="preserve"> 8164</f>
        <v>8164</v>
      </c>
      <c r="C146" s="30">
        <v>0.79667756022487357</v>
      </c>
      <c r="D146" s="30">
        <f>B146/C146</f>
        <v>10247.558620448146</v>
      </c>
      <c r="E146" s="30">
        <f>D146</f>
        <v>10247.558620448146</v>
      </c>
      <c r="F146" s="30"/>
      <c r="G146" s="30"/>
      <c r="H146" s="30"/>
      <c r="I146" s="30"/>
    </row>
    <row r="147" spans="1:9" ht="15" customHeight="1" x14ac:dyDescent="0.25">
      <c r="A147" s="27" t="s">
        <v>92</v>
      </c>
      <c r="B147" s="30">
        <f xml:space="preserve"> 6751</f>
        <v>6751</v>
      </c>
      <c r="C147" s="30">
        <v>0.86010781790386404</v>
      </c>
      <c r="D147" s="30">
        <f t="shared" ref="D147:D210" si="0">B147/C147</f>
        <v>7849.0159715704067</v>
      </c>
      <c r="E147" s="30">
        <f>$B$9*D147+(1-$B$9)*E146</f>
        <v>9931.0453345006772</v>
      </c>
      <c r="F147" s="30">
        <f>E146</f>
        <v>10247.558620448146</v>
      </c>
      <c r="G147" s="30">
        <f>D147-F147</f>
        <v>-2398.5426488777393</v>
      </c>
      <c r="H147" s="30">
        <f t="shared" ref="H147:H178" si="1">F147*C147</f>
        <v>8814.0052838755855</v>
      </c>
      <c r="I147" s="30">
        <f>B147-H147</f>
        <v>-2063.0052838755855</v>
      </c>
    </row>
    <row r="148" spans="1:9" ht="15" customHeight="1" x14ac:dyDescent="0.25">
      <c r="A148" s="27" t="s">
        <v>93</v>
      </c>
      <c r="B148" s="30">
        <f xml:space="preserve"> 8435</f>
        <v>8435</v>
      </c>
      <c r="C148" s="30">
        <v>0.89662146022058675</v>
      </c>
      <c r="D148" s="30">
        <f t="shared" si="0"/>
        <v>9407.5374884790526</v>
      </c>
      <c r="E148" s="30">
        <f t="shared" ref="E148:E211" si="2">$B$9*D148+(1-$B$9)*E147</f>
        <v>9861.9628903585599</v>
      </c>
      <c r="F148" s="30">
        <f t="shared" ref="F148:F211" si="3">E147</f>
        <v>9931.0453345006772</v>
      </c>
      <c r="G148" s="30">
        <f t="shared" ref="G148:G211" si="4">D148-F148</f>
        <v>-523.50784602162457</v>
      </c>
      <c r="H148" s="30">
        <f t="shared" si="1"/>
        <v>8904.3883693368425</v>
      </c>
      <c r="I148" s="30">
        <f t="shared" ref="I148:I211" si="5">B148-H148</f>
        <v>-469.38836933684252</v>
      </c>
    </row>
    <row r="149" spans="1:9" ht="15" customHeight="1" x14ac:dyDescent="0.25">
      <c r="A149" s="27" t="s">
        <v>94</v>
      </c>
      <c r="B149" s="30">
        <f xml:space="preserve"> 8628</f>
        <v>8628</v>
      </c>
      <c r="C149" s="30">
        <v>0.96082308230047397</v>
      </c>
      <c r="D149" s="30">
        <f t="shared" si="0"/>
        <v>8979.8009216662467</v>
      </c>
      <c r="E149" s="30">
        <f t="shared" si="2"/>
        <v>9745.5522092396168</v>
      </c>
      <c r="F149" s="30">
        <f t="shared" si="3"/>
        <v>9861.9628903585599</v>
      </c>
      <c r="G149" s="30">
        <f t="shared" si="4"/>
        <v>-882.16196869231317</v>
      </c>
      <c r="H149" s="30">
        <f t="shared" si="1"/>
        <v>9475.6015818472024</v>
      </c>
      <c r="I149" s="30">
        <f t="shared" si="5"/>
        <v>-847.6015818472024</v>
      </c>
    </row>
    <row r="150" spans="1:9" ht="15" customHeight="1" x14ac:dyDescent="0.25">
      <c r="A150" s="27" t="s">
        <v>95</v>
      </c>
      <c r="B150" s="30">
        <f xml:space="preserve"> 8327</f>
        <v>8327</v>
      </c>
      <c r="C150" s="30">
        <v>1.0057061731177082</v>
      </c>
      <c r="D150" s="30">
        <f t="shared" si="0"/>
        <v>8279.7542886568372</v>
      </c>
      <c r="E150" s="30">
        <f t="shared" si="2"/>
        <v>9552.1245390684398</v>
      </c>
      <c r="F150" s="30">
        <f t="shared" si="3"/>
        <v>9745.5522092396168</v>
      </c>
      <c r="G150" s="30">
        <f t="shared" si="4"/>
        <v>-1465.7979205827796</v>
      </c>
      <c r="H150" s="30">
        <f t="shared" si="1"/>
        <v>9801.1620172732019</v>
      </c>
      <c r="I150" s="30">
        <f t="shared" si="5"/>
        <v>-1474.1620172732019</v>
      </c>
    </row>
    <row r="151" spans="1:9" ht="15" customHeight="1" x14ac:dyDescent="0.25">
      <c r="A151" s="27" t="s">
        <v>96</v>
      </c>
      <c r="B151" s="30">
        <f xml:space="preserve"> 10286</f>
        <v>10286</v>
      </c>
      <c r="C151" s="30">
        <v>1.083937309437295</v>
      </c>
      <c r="D151" s="30">
        <f t="shared" si="0"/>
        <v>9489.4786907369908</v>
      </c>
      <c r="E151" s="30">
        <f t="shared" si="2"/>
        <v>9543.8577511855437</v>
      </c>
      <c r="F151" s="30">
        <f t="shared" si="3"/>
        <v>9552.1245390684398</v>
      </c>
      <c r="G151" s="30">
        <f t="shared" si="4"/>
        <v>-62.645848331449088</v>
      </c>
      <c r="H151" s="30">
        <f t="shared" si="1"/>
        <v>10353.904172287806</v>
      </c>
      <c r="I151" s="30">
        <f t="shared" si="5"/>
        <v>-67.904172287806432</v>
      </c>
    </row>
    <row r="152" spans="1:9" ht="15" customHeight="1" x14ac:dyDescent="0.25">
      <c r="A152" s="27" t="s">
        <v>97</v>
      </c>
      <c r="B152" s="30">
        <f xml:space="preserve"> 10368</f>
        <v>10368</v>
      </c>
      <c r="C152" s="30">
        <v>1.1499841763423702</v>
      </c>
      <c r="D152" s="30">
        <f t="shared" si="0"/>
        <v>9015.7762283098291</v>
      </c>
      <c r="E152" s="30">
        <f t="shared" si="2"/>
        <v>9474.1717615985999</v>
      </c>
      <c r="F152" s="30">
        <f t="shared" si="3"/>
        <v>9543.8577511855437</v>
      </c>
      <c r="G152" s="30">
        <f t="shared" si="4"/>
        <v>-528.08152287571465</v>
      </c>
      <c r="H152" s="30">
        <f t="shared" si="1"/>
        <v>10975.285395125853</v>
      </c>
      <c r="I152" s="30">
        <f t="shared" si="5"/>
        <v>-607.28539512585303</v>
      </c>
    </row>
    <row r="153" spans="1:9" ht="15" customHeight="1" x14ac:dyDescent="0.25">
      <c r="A153" s="27" t="s">
        <v>98</v>
      </c>
      <c r="B153" s="30">
        <f xml:space="preserve"> 11926</f>
        <v>11926</v>
      </c>
      <c r="C153" s="30">
        <v>1.1534390964451762</v>
      </c>
      <c r="D153" s="30">
        <f t="shared" si="0"/>
        <v>10339.514272366137</v>
      </c>
      <c r="E153" s="30">
        <f t="shared" si="2"/>
        <v>9588.3629358440194</v>
      </c>
      <c r="F153" s="30">
        <f t="shared" si="3"/>
        <v>9474.1717615985999</v>
      </c>
      <c r="G153" s="30">
        <f t="shared" si="4"/>
        <v>865.34251076753753</v>
      </c>
      <c r="H153" s="30">
        <f t="shared" si="1"/>
        <v>10927.880116264692</v>
      </c>
      <c r="I153" s="30">
        <f t="shared" si="5"/>
        <v>998.11988373530767</v>
      </c>
    </row>
    <row r="154" spans="1:9" ht="15" customHeight="1" x14ac:dyDescent="0.25">
      <c r="A154" s="27" t="s">
        <v>99</v>
      </c>
      <c r="B154" s="30">
        <f xml:space="preserve"> 10230</f>
        <v>10230</v>
      </c>
      <c r="C154" s="30">
        <v>1.1204231588868279</v>
      </c>
      <c r="D154" s="30">
        <f t="shared" si="0"/>
        <v>9130.4788899256546</v>
      </c>
      <c r="E154" s="30">
        <f t="shared" si="2"/>
        <v>9527.9402520846324</v>
      </c>
      <c r="F154" s="30">
        <f t="shared" si="3"/>
        <v>9588.3629358440194</v>
      </c>
      <c r="G154" s="30">
        <f t="shared" si="4"/>
        <v>-457.88404591836479</v>
      </c>
      <c r="H154" s="30">
        <f t="shared" si="1"/>
        <v>10743.023889131735</v>
      </c>
      <c r="I154" s="30">
        <f t="shared" si="5"/>
        <v>-513.0238891317349</v>
      </c>
    </row>
    <row r="155" spans="1:9" ht="15" customHeight="1" x14ac:dyDescent="0.25">
      <c r="A155" s="27" t="s">
        <v>100</v>
      </c>
      <c r="B155" s="30">
        <f xml:space="preserve"> 8359</f>
        <v>8359</v>
      </c>
      <c r="C155" s="30">
        <v>1.0701050497972113</v>
      </c>
      <c r="D155" s="30">
        <f t="shared" si="0"/>
        <v>7811.3826316248669</v>
      </c>
      <c r="E155" s="30">
        <f t="shared" si="2"/>
        <v>9301.4221648519124</v>
      </c>
      <c r="F155" s="30">
        <f t="shared" si="3"/>
        <v>9527.9402520846324</v>
      </c>
      <c r="G155" s="30">
        <f t="shared" si="4"/>
        <v>-1716.5576204597655</v>
      </c>
      <c r="H155" s="30">
        <f t="shared" si="1"/>
        <v>10195.896977921881</v>
      </c>
      <c r="I155" s="30">
        <f t="shared" si="5"/>
        <v>-1836.8969779218805</v>
      </c>
    </row>
    <row r="156" spans="1:9" ht="15" customHeight="1" x14ac:dyDescent="0.25">
      <c r="A156" s="27" t="s">
        <v>101</v>
      </c>
      <c r="B156" s="30">
        <f xml:space="preserve"> 7776</f>
        <v>7776</v>
      </c>
      <c r="C156" s="30">
        <v>0.97993531184881255</v>
      </c>
      <c r="D156" s="30">
        <f t="shared" si="0"/>
        <v>7935.2176679185795</v>
      </c>
      <c r="E156" s="30">
        <f t="shared" si="2"/>
        <v>9121.1369092184941</v>
      </c>
      <c r="F156" s="30">
        <f t="shared" si="3"/>
        <v>9301.4221648519124</v>
      </c>
      <c r="G156" s="30">
        <f t="shared" si="4"/>
        <v>-1366.2044969333328</v>
      </c>
      <c r="H156" s="30">
        <f t="shared" si="1"/>
        <v>9114.7920297516157</v>
      </c>
      <c r="I156" s="30">
        <f t="shared" si="5"/>
        <v>-1338.7920297516157</v>
      </c>
    </row>
    <row r="157" spans="1:9" ht="15" customHeight="1" x14ac:dyDescent="0.25">
      <c r="A157" s="27" t="s">
        <v>102</v>
      </c>
      <c r="B157" s="30">
        <f xml:space="preserve"> 8243</f>
        <v>8243</v>
      </c>
      <c r="C157" s="30">
        <v>0.92224046659864112</v>
      </c>
      <c r="D157" s="30">
        <f t="shared" si="0"/>
        <v>8938.0159497895384</v>
      </c>
      <c r="E157" s="30">
        <f t="shared" si="2"/>
        <v>9096.9721454100072</v>
      </c>
      <c r="F157" s="30">
        <f t="shared" si="3"/>
        <v>9121.1369092184941</v>
      </c>
      <c r="G157" s="30">
        <f t="shared" si="4"/>
        <v>-183.12095942895576</v>
      </c>
      <c r="H157" s="30">
        <f t="shared" si="1"/>
        <v>8411.8815590677514</v>
      </c>
      <c r="I157" s="30">
        <f t="shared" si="5"/>
        <v>-168.88155906775137</v>
      </c>
    </row>
    <row r="158" spans="1:9" ht="15" customHeight="1" x14ac:dyDescent="0.25">
      <c r="A158" s="27" t="s">
        <v>103</v>
      </c>
      <c r="B158" s="30">
        <f xml:space="preserve"> 7212</f>
        <v>7212</v>
      </c>
      <c r="C158" s="30">
        <v>0.79667756022487357</v>
      </c>
      <c r="D158" s="30">
        <f t="shared" si="0"/>
        <v>9052.5958807780535</v>
      </c>
      <c r="E158" s="30">
        <f t="shared" si="2"/>
        <v>9091.116223963998</v>
      </c>
      <c r="F158" s="30">
        <f t="shared" si="3"/>
        <v>9096.9721454100072</v>
      </c>
      <c r="G158" s="30">
        <f t="shared" si="4"/>
        <v>-44.376264631953745</v>
      </c>
      <c r="H158" s="30">
        <f t="shared" si="1"/>
        <v>7247.3535742388785</v>
      </c>
      <c r="I158" s="30">
        <f t="shared" si="5"/>
        <v>-35.353574238878537</v>
      </c>
    </row>
    <row r="159" spans="1:9" ht="15" customHeight="1" x14ac:dyDescent="0.25">
      <c r="A159" s="27" t="s">
        <v>104</v>
      </c>
      <c r="B159" s="30">
        <f xml:space="preserve"> 7208</f>
        <v>7208</v>
      </c>
      <c r="C159" s="30">
        <v>0.86010781790386404</v>
      </c>
      <c r="D159" s="30">
        <f t="shared" si="0"/>
        <v>8380.344707906901</v>
      </c>
      <c r="E159" s="30">
        <f t="shared" si="2"/>
        <v>8997.3223411617237</v>
      </c>
      <c r="F159" s="30">
        <f t="shared" si="3"/>
        <v>9091.116223963998</v>
      </c>
      <c r="G159" s="30">
        <f t="shared" si="4"/>
        <v>-710.77151605709696</v>
      </c>
      <c r="H159" s="30">
        <f t="shared" si="1"/>
        <v>7819.34013770409</v>
      </c>
      <c r="I159" s="30">
        <f t="shared" si="5"/>
        <v>-611.34013770409001</v>
      </c>
    </row>
    <row r="160" spans="1:9" ht="15" customHeight="1" x14ac:dyDescent="0.25">
      <c r="A160" s="27" t="s">
        <v>105</v>
      </c>
      <c r="B160" s="30">
        <f xml:space="preserve"> 7257</f>
        <v>7257</v>
      </c>
      <c r="C160" s="30">
        <v>0.89662146022058675</v>
      </c>
      <c r="D160" s="30">
        <f t="shared" si="0"/>
        <v>8093.7166038995247</v>
      </c>
      <c r="E160" s="30">
        <f t="shared" si="2"/>
        <v>8878.0819260556345</v>
      </c>
      <c r="F160" s="30">
        <f t="shared" si="3"/>
        <v>8997.3223411617237</v>
      </c>
      <c r="G160" s="30">
        <f t="shared" si="4"/>
        <v>-903.605737262199</v>
      </c>
      <c r="H160" s="30">
        <f t="shared" si="1"/>
        <v>8067.1922956077333</v>
      </c>
      <c r="I160" s="30">
        <f t="shared" si="5"/>
        <v>-810.19229560773329</v>
      </c>
    </row>
    <row r="161" spans="1:9" ht="15" customHeight="1" x14ac:dyDescent="0.25">
      <c r="A161" s="27" t="s">
        <v>106</v>
      </c>
      <c r="B161" s="30">
        <f xml:space="preserve"> 8513</f>
        <v>8513</v>
      </c>
      <c r="C161" s="30">
        <v>0.96082308230047397</v>
      </c>
      <c r="D161" s="30">
        <f t="shared" si="0"/>
        <v>8860.1118736839071</v>
      </c>
      <c r="E161" s="30">
        <f t="shared" si="2"/>
        <v>8875.7105859723197</v>
      </c>
      <c r="F161" s="30">
        <f t="shared" si="3"/>
        <v>8878.0819260556345</v>
      </c>
      <c r="G161" s="30">
        <f t="shared" si="4"/>
        <v>-17.970052371727434</v>
      </c>
      <c r="H161" s="30">
        <f t="shared" si="1"/>
        <v>8530.2660411089037</v>
      </c>
      <c r="I161" s="30">
        <f t="shared" si="5"/>
        <v>-17.266041108903664</v>
      </c>
    </row>
    <row r="162" spans="1:9" ht="15" customHeight="1" x14ac:dyDescent="0.25">
      <c r="A162" s="27" t="s">
        <v>107</v>
      </c>
      <c r="B162" s="30">
        <f xml:space="preserve"> 8647</f>
        <v>8647</v>
      </c>
      <c r="C162" s="30">
        <v>1.0057061731177082</v>
      </c>
      <c r="D162" s="30">
        <f t="shared" si="0"/>
        <v>8597.9386734737218</v>
      </c>
      <c r="E162" s="30">
        <f t="shared" si="2"/>
        <v>8839.0556193366501</v>
      </c>
      <c r="F162" s="30">
        <f t="shared" si="3"/>
        <v>8875.7105859723197</v>
      </c>
      <c r="G162" s="30">
        <f t="shared" si="4"/>
        <v>-277.77191249859789</v>
      </c>
      <c r="H162" s="30">
        <f t="shared" si="1"/>
        <v>8926.3569271185534</v>
      </c>
      <c r="I162" s="30">
        <f t="shared" si="5"/>
        <v>-279.35692711855336</v>
      </c>
    </row>
    <row r="163" spans="1:9" ht="15" customHeight="1" x14ac:dyDescent="0.25">
      <c r="A163" s="27" t="s">
        <v>108</v>
      </c>
      <c r="B163" s="30">
        <f xml:space="preserve"> 8797</f>
        <v>8797</v>
      </c>
      <c r="C163" s="30">
        <v>1.083937309437295</v>
      </c>
      <c r="D163" s="30">
        <f t="shared" si="0"/>
        <v>8115.7830101510126</v>
      </c>
      <c r="E163" s="30">
        <f t="shared" si="2"/>
        <v>8743.6120839564246</v>
      </c>
      <c r="F163" s="30">
        <f t="shared" si="3"/>
        <v>8839.0556193366501</v>
      </c>
      <c r="G163" s="30">
        <f t="shared" si="4"/>
        <v>-723.27260918563752</v>
      </c>
      <c r="H163" s="30">
        <f t="shared" si="1"/>
        <v>9580.9821659903719</v>
      </c>
      <c r="I163" s="30">
        <f t="shared" si="5"/>
        <v>-783.98216599037187</v>
      </c>
    </row>
    <row r="164" spans="1:9" ht="15" customHeight="1" x14ac:dyDescent="0.25">
      <c r="A164" s="27" t="s">
        <v>109</v>
      </c>
      <c r="B164" s="30">
        <f xml:space="preserve"> 10465</f>
        <v>10465</v>
      </c>
      <c r="C164" s="30">
        <v>1.1499841763423702</v>
      </c>
      <c r="D164" s="30">
        <f t="shared" si="0"/>
        <v>9100.1252150137316</v>
      </c>
      <c r="E164" s="30">
        <f t="shared" si="2"/>
        <v>8790.6577942535368</v>
      </c>
      <c r="F164" s="30">
        <f t="shared" si="3"/>
        <v>8743.6120839564246</v>
      </c>
      <c r="G164" s="30">
        <f t="shared" si="4"/>
        <v>356.51313105730696</v>
      </c>
      <c r="H164" s="30">
        <f t="shared" si="1"/>
        <v>10055.015540625824</v>
      </c>
      <c r="I164" s="30">
        <f t="shared" si="5"/>
        <v>409.98445937417637</v>
      </c>
    </row>
    <row r="165" spans="1:9" ht="15" customHeight="1" x14ac:dyDescent="0.25">
      <c r="A165" s="27" t="s">
        <v>110</v>
      </c>
      <c r="B165" s="30">
        <f xml:space="preserve"> 11803</f>
        <v>11803</v>
      </c>
      <c r="C165" s="30">
        <v>1.1534390964451762</v>
      </c>
      <c r="D165" s="30">
        <f t="shared" si="0"/>
        <v>10232.876652418037</v>
      </c>
      <c r="E165" s="30">
        <f t="shared" si="2"/>
        <v>8980.9739556387176</v>
      </c>
      <c r="F165" s="30">
        <f t="shared" si="3"/>
        <v>8790.6577942535368</v>
      </c>
      <c r="G165" s="30">
        <f t="shared" si="4"/>
        <v>1442.2188581645005</v>
      </c>
      <c r="H165" s="30">
        <f t="shared" si="1"/>
        <v>10139.488383362544</v>
      </c>
      <c r="I165" s="30">
        <f t="shared" si="5"/>
        <v>1663.5116166374555</v>
      </c>
    </row>
    <row r="166" spans="1:9" ht="15" customHeight="1" x14ac:dyDescent="0.25">
      <c r="A166" s="27" t="s">
        <v>111</v>
      </c>
      <c r="B166" s="30">
        <f xml:space="preserve"> 10281</f>
        <v>10281</v>
      </c>
      <c r="C166" s="30">
        <v>1.1204231588868279</v>
      </c>
      <c r="D166" s="30">
        <f t="shared" si="0"/>
        <v>9175.9974063856953</v>
      </c>
      <c r="E166" s="30">
        <f t="shared" si="2"/>
        <v>9006.7093801314295</v>
      </c>
      <c r="F166" s="30">
        <f t="shared" si="3"/>
        <v>8980.9739556387176</v>
      </c>
      <c r="G166" s="30">
        <f t="shared" si="4"/>
        <v>195.02345074697769</v>
      </c>
      <c r="H166" s="30">
        <f t="shared" si="1"/>
        <v>10062.491209257061</v>
      </c>
      <c r="I166" s="30">
        <f t="shared" si="5"/>
        <v>218.5087907429388</v>
      </c>
    </row>
    <row r="167" spans="1:9" ht="15" customHeight="1" x14ac:dyDescent="0.25">
      <c r="A167" s="27" t="s">
        <v>112</v>
      </c>
      <c r="B167" s="30">
        <f xml:space="preserve"> 10386</f>
        <v>10386</v>
      </c>
      <c r="C167" s="30">
        <v>1.0701050497972113</v>
      </c>
      <c r="D167" s="30">
        <f t="shared" si="0"/>
        <v>9705.5891867515093</v>
      </c>
      <c r="E167" s="30">
        <f t="shared" si="2"/>
        <v>9098.9340250336809</v>
      </c>
      <c r="F167" s="30">
        <f t="shared" si="3"/>
        <v>9006.7093801314295</v>
      </c>
      <c r="G167" s="30">
        <f t="shared" si="4"/>
        <v>698.87980662007976</v>
      </c>
      <c r="H167" s="30">
        <f t="shared" si="1"/>
        <v>9638.1251897345537</v>
      </c>
      <c r="I167" s="30">
        <f t="shared" si="5"/>
        <v>747.87481026544629</v>
      </c>
    </row>
    <row r="168" spans="1:9" ht="15" customHeight="1" x14ac:dyDescent="0.25">
      <c r="A168" s="27" t="s">
        <v>113</v>
      </c>
      <c r="B168" s="30">
        <f xml:space="preserve"> 8028</f>
        <v>8028</v>
      </c>
      <c r="C168" s="30">
        <v>0.97993531184881255</v>
      </c>
      <c r="D168" s="30">
        <f t="shared" si="0"/>
        <v>8192.3774997492746</v>
      </c>
      <c r="E168" s="30">
        <f t="shared" si="2"/>
        <v>8979.304221974251</v>
      </c>
      <c r="F168" s="30">
        <f t="shared" si="3"/>
        <v>9098.9340250336809</v>
      </c>
      <c r="G168" s="30">
        <f t="shared" si="4"/>
        <v>-906.55652528440623</v>
      </c>
      <c r="H168" s="30">
        <f t="shared" si="1"/>
        <v>8916.3667513131513</v>
      </c>
      <c r="I168" s="30">
        <f t="shared" si="5"/>
        <v>-888.36675131315133</v>
      </c>
    </row>
    <row r="169" spans="1:9" ht="15" customHeight="1" x14ac:dyDescent="0.25">
      <c r="A169" s="27" t="s">
        <v>114</v>
      </c>
      <c r="B169" s="30">
        <f xml:space="preserve"> 7788</f>
        <v>7788</v>
      </c>
      <c r="C169" s="30">
        <v>0.92224046659864112</v>
      </c>
      <c r="D169" s="30">
        <f t="shared" si="0"/>
        <v>8444.6522160573732</v>
      </c>
      <c r="E169" s="30">
        <f t="shared" si="2"/>
        <v>8908.7511870676863</v>
      </c>
      <c r="F169" s="30">
        <f t="shared" si="3"/>
        <v>8979.304221974251</v>
      </c>
      <c r="G169" s="30">
        <f t="shared" si="4"/>
        <v>-534.6520059168779</v>
      </c>
      <c r="H169" s="30">
        <f t="shared" si="1"/>
        <v>8281.0777154046809</v>
      </c>
      <c r="I169" s="30">
        <f t="shared" si="5"/>
        <v>-493.07771540468093</v>
      </c>
    </row>
    <row r="170" spans="1:9" ht="15" customHeight="1" x14ac:dyDescent="0.25">
      <c r="A170" s="27" t="s">
        <v>115</v>
      </c>
      <c r="B170" s="30">
        <f xml:space="preserve"> 7109</f>
        <v>7109</v>
      </c>
      <c r="C170" s="30">
        <v>0.79667756022487357</v>
      </c>
      <c r="D170" s="30">
        <f t="shared" si="0"/>
        <v>8923.3089457087044</v>
      </c>
      <c r="E170" s="30">
        <f t="shared" si="2"/>
        <v>8910.6722385968951</v>
      </c>
      <c r="F170" s="30">
        <f t="shared" si="3"/>
        <v>8908.7511870676863</v>
      </c>
      <c r="G170" s="30">
        <f t="shared" si="4"/>
        <v>14.557758641018154</v>
      </c>
      <c r="H170" s="30">
        <f t="shared" si="1"/>
        <v>7097.4021603635301</v>
      </c>
      <c r="I170" s="30">
        <f t="shared" si="5"/>
        <v>11.597839636469871</v>
      </c>
    </row>
    <row r="171" spans="1:9" ht="15" customHeight="1" x14ac:dyDescent="0.25">
      <c r="A171" s="27" t="s">
        <v>116</v>
      </c>
      <c r="B171" s="30">
        <f xml:space="preserve"> 7597</f>
        <v>7597</v>
      </c>
      <c r="C171" s="30">
        <v>0.86010781790386404</v>
      </c>
      <c r="D171" s="30">
        <f t="shared" si="0"/>
        <v>8832.6135885084259</v>
      </c>
      <c r="E171" s="30">
        <f t="shared" si="2"/>
        <v>8900.3715671255395</v>
      </c>
      <c r="F171" s="30">
        <f t="shared" si="3"/>
        <v>8910.6722385968951</v>
      </c>
      <c r="G171" s="30">
        <f t="shared" si="4"/>
        <v>-78.058650088469221</v>
      </c>
      <c r="H171" s="30">
        <f t="shared" si="1"/>
        <v>7664.1388551961145</v>
      </c>
      <c r="I171" s="30">
        <f t="shared" si="5"/>
        <v>-67.138855196114491</v>
      </c>
    </row>
    <row r="172" spans="1:9" ht="15" customHeight="1" x14ac:dyDescent="0.25">
      <c r="A172" s="27" t="s">
        <v>117</v>
      </c>
      <c r="B172" s="30">
        <f xml:space="preserve"> 8260</f>
        <v>8260</v>
      </c>
      <c r="C172" s="30">
        <v>0.89662146022058675</v>
      </c>
      <c r="D172" s="30">
        <f t="shared" si="0"/>
        <v>9212.3603621620605</v>
      </c>
      <c r="E172" s="30">
        <f t="shared" si="2"/>
        <v>8941.5418163775212</v>
      </c>
      <c r="F172" s="30">
        <f t="shared" si="3"/>
        <v>8900.3715671255395</v>
      </c>
      <c r="G172" s="30">
        <f t="shared" si="4"/>
        <v>311.98879503652097</v>
      </c>
      <c r="H172" s="30">
        <f t="shared" si="1"/>
        <v>7980.2641510218937</v>
      </c>
      <c r="I172" s="30">
        <f t="shared" si="5"/>
        <v>279.73584897810633</v>
      </c>
    </row>
    <row r="173" spans="1:9" ht="15" customHeight="1" x14ac:dyDescent="0.25">
      <c r="A173" s="27" t="s">
        <v>118</v>
      </c>
      <c r="B173" s="30">
        <f xml:space="preserve"> 8672</f>
        <v>8672</v>
      </c>
      <c r="C173" s="30">
        <v>0.96082308230047397</v>
      </c>
      <c r="D173" s="30">
        <f t="shared" si="0"/>
        <v>9025.5949921986194</v>
      </c>
      <c r="E173" s="30">
        <f t="shared" si="2"/>
        <v>8952.6335294583405</v>
      </c>
      <c r="F173" s="30">
        <f t="shared" si="3"/>
        <v>8941.5418163775212</v>
      </c>
      <c r="G173" s="30">
        <f t="shared" si="4"/>
        <v>84.053175821098193</v>
      </c>
      <c r="H173" s="30">
        <f t="shared" si="1"/>
        <v>8591.2397685304277</v>
      </c>
      <c r="I173" s="30">
        <f t="shared" si="5"/>
        <v>80.760231469572318</v>
      </c>
    </row>
    <row r="174" spans="1:9" ht="15" customHeight="1" x14ac:dyDescent="0.25">
      <c r="A174" s="27" t="s">
        <v>119</v>
      </c>
      <c r="B174" s="30">
        <f xml:space="preserve"> 7380</f>
        <v>7380</v>
      </c>
      <c r="C174" s="30">
        <v>1.0057061731177082</v>
      </c>
      <c r="D174" s="30">
        <f t="shared" si="0"/>
        <v>7338.1273748393733</v>
      </c>
      <c r="E174" s="30">
        <f t="shared" si="2"/>
        <v>8739.5822216485922</v>
      </c>
      <c r="F174" s="30">
        <f t="shared" si="3"/>
        <v>8952.6335294583405</v>
      </c>
      <c r="G174" s="30">
        <f t="shared" si="4"/>
        <v>-1614.5061546189672</v>
      </c>
      <c r="H174" s="30">
        <f t="shared" si="1"/>
        <v>9003.7188062368277</v>
      </c>
      <c r="I174" s="30">
        <f t="shared" si="5"/>
        <v>-1623.7188062368277</v>
      </c>
    </row>
    <row r="175" spans="1:9" ht="15" customHeight="1" x14ac:dyDescent="0.25">
      <c r="A175" s="27" t="s">
        <v>120</v>
      </c>
      <c r="B175" s="30">
        <f xml:space="preserve"> 9645</f>
        <v>9645</v>
      </c>
      <c r="C175" s="30">
        <v>1.083937309437295</v>
      </c>
      <c r="D175" s="30">
        <f t="shared" si="0"/>
        <v>8898.1160774021282</v>
      </c>
      <c r="E175" s="30">
        <f t="shared" si="2"/>
        <v>8760.5024548751953</v>
      </c>
      <c r="F175" s="30">
        <f t="shared" si="3"/>
        <v>8739.5822216485922</v>
      </c>
      <c r="G175" s="30">
        <f t="shared" si="4"/>
        <v>158.53385575353605</v>
      </c>
      <c r="H175" s="30">
        <f t="shared" si="1"/>
        <v>9473.159238939792</v>
      </c>
      <c r="I175" s="30">
        <f t="shared" si="5"/>
        <v>171.84076106020802</v>
      </c>
    </row>
    <row r="176" spans="1:9" ht="15" customHeight="1" x14ac:dyDescent="0.25">
      <c r="A176" s="27" t="s">
        <v>121</v>
      </c>
      <c r="B176" s="30">
        <f xml:space="preserve"> 10674</f>
        <v>10674</v>
      </c>
      <c r="C176" s="30">
        <v>1.1499841763423702</v>
      </c>
      <c r="D176" s="30">
        <f t="shared" si="0"/>
        <v>9281.8668461592515</v>
      </c>
      <c r="E176" s="30">
        <f t="shared" si="2"/>
        <v>8829.3020473020933</v>
      </c>
      <c r="F176" s="30">
        <f t="shared" si="3"/>
        <v>8760.5024548751953</v>
      </c>
      <c r="G176" s="30">
        <f t="shared" si="4"/>
        <v>521.36439128405618</v>
      </c>
      <c r="H176" s="30">
        <f t="shared" si="1"/>
        <v>10074.439199914963</v>
      </c>
      <c r="I176" s="30">
        <f t="shared" si="5"/>
        <v>599.56080008503704</v>
      </c>
    </row>
    <row r="177" spans="1:9" ht="15" customHeight="1" x14ac:dyDescent="0.25">
      <c r="A177" s="27" t="s">
        <v>122</v>
      </c>
      <c r="B177" s="30">
        <f xml:space="preserve"> 10131</f>
        <v>10131</v>
      </c>
      <c r="C177" s="30">
        <v>1.1534390964451762</v>
      </c>
      <c r="D177" s="30">
        <f t="shared" si="0"/>
        <v>8783.2985991398073</v>
      </c>
      <c r="E177" s="30">
        <f t="shared" si="2"/>
        <v>8823.2314016333294</v>
      </c>
      <c r="F177" s="30">
        <f t="shared" si="3"/>
        <v>8829.3020473020933</v>
      </c>
      <c r="G177" s="30">
        <f t="shared" si="4"/>
        <v>-46.003448162286077</v>
      </c>
      <c r="H177" s="30">
        <f t="shared" si="1"/>
        <v>10184.062175681671</v>
      </c>
      <c r="I177" s="30">
        <f t="shared" si="5"/>
        <v>-53.062175681670851</v>
      </c>
    </row>
    <row r="178" spans="1:9" ht="15" customHeight="1" x14ac:dyDescent="0.25">
      <c r="A178" s="27" t="s">
        <v>123</v>
      </c>
      <c r="B178" s="30">
        <f xml:space="preserve"> 9684</f>
        <v>9684</v>
      </c>
      <c r="C178" s="30">
        <v>1.1204231588868279</v>
      </c>
      <c r="D178" s="30">
        <f t="shared" si="0"/>
        <v>8643.1630078240505</v>
      </c>
      <c r="E178" s="30">
        <f t="shared" si="2"/>
        <v>8799.4694564177535</v>
      </c>
      <c r="F178" s="30">
        <f t="shared" si="3"/>
        <v>8823.2314016333294</v>
      </c>
      <c r="G178" s="30">
        <f t="shared" si="4"/>
        <v>-180.06839380927886</v>
      </c>
      <c r="H178" s="30">
        <f t="shared" si="1"/>
        <v>9885.7527986074692</v>
      </c>
      <c r="I178" s="30">
        <f t="shared" si="5"/>
        <v>-201.75279860746923</v>
      </c>
    </row>
    <row r="179" spans="1:9" ht="15" customHeight="1" x14ac:dyDescent="0.25">
      <c r="A179" s="27" t="s">
        <v>124</v>
      </c>
      <c r="B179" s="30">
        <f xml:space="preserve"> 9870</f>
        <v>9870</v>
      </c>
      <c r="C179" s="30">
        <v>1.0701050497972113</v>
      </c>
      <c r="D179" s="30">
        <f t="shared" si="0"/>
        <v>9223.393536803138</v>
      </c>
      <c r="E179" s="30">
        <f t="shared" si="2"/>
        <v>8855.4107604999717</v>
      </c>
      <c r="F179" s="30">
        <f t="shared" si="3"/>
        <v>8799.4694564177535</v>
      </c>
      <c r="G179" s="30">
        <f t="shared" si="4"/>
        <v>423.92408038538451</v>
      </c>
      <c r="H179" s="30">
        <f t="shared" ref="H179:H210" si="6">F179*C179</f>
        <v>9416.3567008489608</v>
      </c>
      <c r="I179" s="30">
        <f t="shared" si="5"/>
        <v>453.64329915103917</v>
      </c>
    </row>
    <row r="180" spans="1:9" ht="15" customHeight="1" x14ac:dyDescent="0.25">
      <c r="A180" s="27" t="s">
        <v>125</v>
      </c>
      <c r="B180" s="30">
        <f xml:space="preserve"> 8504</f>
        <v>8504</v>
      </c>
      <c r="C180" s="30">
        <v>0.97993531184881255</v>
      </c>
      <c r="D180" s="30">
        <f t="shared" si="0"/>
        <v>8678.1238487628088</v>
      </c>
      <c r="E180" s="30">
        <f t="shared" si="2"/>
        <v>8832.0158615117616</v>
      </c>
      <c r="F180" s="30">
        <f t="shared" si="3"/>
        <v>8855.4107604999717</v>
      </c>
      <c r="G180" s="30">
        <f t="shared" si="4"/>
        <v>-177.28691173716288</v>
      </c>
      <c r="H180" s="30">
        <f t="shared" si="6"/>
        <v>8677.7297051398709</v>
      </c>
      <c r="I180" s="30">
        <f t="shared" si="5"/>
        <v>-173.72970513987093</v>
      </c>
    </row>
    <row r="181" spans="1:9" ht="15" customHeight="1" x14ac:dyDescent="0.25">
      <c r="A181" s="27" t="s">
        <v>126</v>
      </c>
      <c r="B181" s="30">
        <f xml:space="preserve"> 8544</f>
        <v>8544</v>
      </c>
      <c r="C181" s="30">
        <v>0.92224046659864112</v>
      </c>
      <c r="D181" s="30">
        <f t="shared" si="0"/>
        <v>9264.3950351815856</v>
      </c>
      <c r="E181" s="30">
        <f t="shared" si="2"/>
        <v>8889.0729053369032</v>
      </c>
      <c r="F181" s="30">
        <f t="shared" si="3"/>
        <v>8832.0158615117616</v>
      </c>
      <c r="G181" s="30">
        <f t="shared" si="4"/>
        <v>432.37917366982401</v>
      </c>
      <c r="H181" s="30">
        <f t="shared" si="6"/>
        <v>8145.2424291272064</v>
      </c>
      <c r="I181" s="30">
        <f t="shared" si="5"/>
        <v>398.75757087279362</v>
      </c>
    </row>
    <row r="182" spans="1:9" ht="15" customHeight="1" x14ac:dyDescent="0.25">
      <c r="A182" s="27" t="s">
        <v>127</v>
      </c>
      <c r="B182" s="30">
        <f xml:space="preserve"> 7496</f>
        <v>7496</v>
      </c>
      <c r="C182" s="30">
        <v>0.79667756022487357</v>
      </c>
      <c r="D182" s="30">
        <f t="shared" si="0"/>
        <v>9409.0763619401405</v>
      </c>
      <c r="E182" s="30">
        <f t="shared" si="2"/>
        <v>8957.692907916613</v>
      </c>
      <c r="F182" s="30">
        <f t="shared" si="3"/>
        <v>8889.0729053369032</v>
      </c>
      <c r="G182" s="30">
        <f t="shared" si="4"/>
        <v>520.00345660323728</v>
      </c>
      <c r="H182" s="30">
        <f t="shared" si="6"/>
        <v>7081.7249148848323</v>
      </c>
      <c r="I182" s="30">
        <f t="shared" si="5"/>
        <v>414.27508511516771</v>
      </c>
    </row>
    <row r="183" spans="1:9" ht="15" customHeight="1" x14ac:dyDescent="0.25">
      <c r="A183" s="27" t="s">
        <v>128</v>
      </c>
      <c r="B183" s="30">
        <f xml:space="preserve"> 7528</f>
        <v>7528</v>
      </c>
      <c r="C183" s="30">
        <v>0.86010781790386404</v>
      </c>
      <c r="D183" s="30">
        <f t="shared" si="0"/>
        <v>8752.3910878361767</v>
      </c>
      <c r="E183" s="30">
        <f t="shared" si="2"/>
        <v>8930.6011429588125</v>
      </c>
      <c r="F183" s="30">
        <f t="shared" si="3"/>
        <v>8957.692907916613</v>
      </c>
      <c r="G183" s="30">
        <f t="shared" si="4"/>
        <v>-205.3018200804363</v>
      </c>
      <c r="H183" s="30">
        <f t="shared" si="6"/>
        <v>7704.581700481076</v>
      </c>
      <c r="I183" s="30">
        <f t="shared" si="5"/>
        <v>-176.58170048107604</v>
      </c>
    </row>
    <row r="184" spans="1:9" ht="15" customHeight="1" x14ac:dyDescent="0.25">
      <c r="A184" s="27" t="s">
        <v>129</v>
      </c>
      <c r="B184" s="30">
        <f xml:space="preserve"> 8295</f>
        <v>8295</v>
      </c>
      <c r="C184" s="30">
        <v>0.89662146022058675</v>
      </c>
      <c r="D184" s="30">
        <f t="shared" si="0"/>
        <v>9251.3957874254593</v>
      </c>
      <c r="E184" s="30">
        <f t="shared" si="2"/>
        <v>8972.9334179683883</v>
      </c>
      <c r="F184" s="30">
        <f t="shared" si="3"/>
        <v>8930.6011429588125</v>
      </c>
      <c r="G184" s="30">
        <f t="shared" si="4"/>
        <v>320.79464446664679</v>
      </c>
      <c r="H184" s="30">
        <f t="shared" si="6"/>
        <v>8007.3686374473718</v>
      </c>
      <c r="I184" s="30">
        <f t="shared" si="5"/>
        <v>287.63136255262816</v>
      </c>
    </row>
    <row r="185" spans="1:9" ht="15" customHeight="1" x14ac:dyDescent="0.25">
      <c r="A185" s="27" t="s">
        <v>130</v>
      </c>
      <c r="B185" s="30">
        <f xml:space="preserve"> 7942</f>
        <v>7942</v>
      </c>
      <c r="C185" s="30">
        <v>0.96082308230047397</v>
      </c>
      <c r="D185" s="30">
        <f t="shared" si="0"/>
        <v>8265.8297310933394</v>
      </c>
      <c r="E185" s="30">
        <f t="shared" si="2"/>
        <v>8879.6235443486257</v>
      </c>
      <c r="F185" s="30">
        <f t="shared" si="3"/>
        <v>8972.9334179683883</v>
      </c>
      <c r="G185" s="30">
        <f t="shared" si="4"/>
        <v>-707.10368687504888</v>
      </c>
      <c r="H185" s="30">
        <f t="shared" si="6"/>
        <v>8621.4015439293144</v>
      </c>
      <c r="I185" s="30">
        <f t="shared" si="5"/>
        <v>-679.40154392931436</v>
      </c>
    </row>
    <row r="186" spans="1:9" ht="15" customHeight="1" x14ac:dyDescent="0.25">
      <c r="A186" s="27" t="s">
        <v>131</v>
      </c>
      <c r="B186" s="30">
        <f xml:space="preserve"> 9686</f>
        <v>9686</v>
      </c>
      <c r="C186" s="30">
        <v>1.0057061731177082</v>
      </c>
      <c r="D186" s="30">
        <f t="shared" si="0"/>
        <v>9631.0435979260383</v>
      </c>
      <c r="E186" s="30">
        <f t="shared" si="2"/>
        <v>8978.7814352437035</v>
      </c>
      <c r="F186" s="30">
        <f t="shared" si="3"/>
        <v>8879.6235443486257</v>
      </c>
      <c r="G186" s="30">
        <f t="shared" si="4"/>
        <v>751.42005357741255</v>
      </c>
      <c r="H186" s="30">
        <f t="shared" si="6"/>
        <v>8930.2922135127556</v>
      </c>
      <c r="I186" s="30">
        <f t="shared" si="5"/>
        <v>755.70778648724445</v>
      </c>
    </row>
    <row r="187" spans="1:9" ht="15" customHeight="1" x14ac:dyDescent="0.25">
      <c r="A187" s="27" t="s">
        <v>132</v>
      </c>
      <c r="B187" s="30">
        <f xml:space="preserve"> 10214</f>
        <v>10214</v>
      </c>
      <c r="C187" s="30">
        <v>1.083937309437295</v>
      </c>
      <c r="D187" s="30">
        <f t="shared" si="0"/>
        <v>9423.054185026991</v>
      </c>
      <c r="E187" s="30">
        <f t="shared" si="2"/>
        <v>9037.4079632967369</v>
      </c>
      <c r="F187" s="30">
        <f t="shared" si="3"/>
        <v>8978.7814352437035</v>
      </c>
      <c r="G187" s="30">
        <f t="shared" si="4"/>
        <v>444.27274978328751</v>
      </c>
      <c r="H187" s="30">
        <f t="shared" si="6"/>
        <v>9732.4361909435938</v>
      </c>
      <c r="I187" s="30">
        <f t="shared" si="5"/>
        <v>481.56380905640617</v>
      </c>
    </row>
    <row r="188" spans="1:9" ht="15" customHeight="1" x14ac:dyDescent="0.25">
      <c r="A188" s="27" t="s">
        <v>133</v>
      </c>
      <c r="B188" s="30">
        <f xml:space="preserve"> 11050</f>
        <v>11050</v>
      </c>
      <c r="C188" s="30">
        <v>1.1499841763423702</v>
      </c>
      <c r="D188" s="30">
        <f t="shared" si="0"/>
        <v>9608.8278667846862</v>
      </c>
      <c r="E188" s="30">
        <f t="shared" si="2"/>
        <v>9112.8129144629711</v>
      </c>
      <c r="F188" s="30">
        <f t="shared" si="3"/>
        <v>9037.4079632967369</v>
      </c>
      <c r="G188" s="30">
        <f t="shared" si="4"/>
        <v>571.41990348794934</v>
      </c>
      <c r="H188" s="30">
        <f t="shared" si="6"/>
        <v>10392.876152941775</v>
      </c>
      <c r="I188" s="30">
        <f t="shared" si="5"/>
        <v>657.12384705822478</v>
      </c>
    </row>
    <row r="189" spans="1:9" ht="15" customHeight="1" x14ac:dyDescent="0.25">
      <c r="A189" s="27" t="s">
        <v>134</v>
      </c>
      <c r="B189" s="30">
        <f xml:space="preserve"> 10320</f>
        <v>10320</v>
      </c>
      <c r="C189" s="30">
        <v>1.1534390964451762</v>
      </c>
      <c r="D189" s="30">
        <f t="shared" si="0"/>
        <v>8947.1564054015198</v>
      </c>
      <c r="E189" s="30">
        <f t="shared" si="2"/>
        <v>9090.9527711604715</v>
      </c>
      <c r="F189" s="30">
        <f t="shared" si="3"/>
        <v>9112.8129144629711</v>
      </c>
      <c r="G189" s="30">
        <f t="shared" si="4"/>
        <v>-165.65650906145129</v>
      </c>
      <c r="H189" s="30">
        <f t="shared" si="6"/>
        <v>10511.074694132101</v>
      </c>
      <c r="I189" s="30">
        <f t="shared" si="5"/>
        <v>-191.07469413210129</v>
      </c>
    </row>
    <row r="190" spans="1:9" ht="15" customHeight="1" x14ac:dyDescent="0.25">
      <c r="A190" s="27" t="s">
        <v>135</v>
      </c>
      <c r="B190" s="30">
        <f xml:space="preserve"> 8270</f>
        <v>8270</v>
      </c>
      <c r="C190" s="30">
        <v>1.1204231588868279</v>
      </c>
      <c r="D190" s="30">
        <f t="shared" si="0"/>
        <v>7381.1398259711796</v>
      </c>
      <c r="E190" s="30">
        <f t="shared" si="2"/>
        <v>8865.3247157700062</v>
      </c>
      <c r="F190" s="30">
        <f t="shared" si="3"/>
        <v>9090.9527711604715</v>
      </c>
      <c r="G190" s="30">
        <f t="shared" si="4"/>
        <v>-1709.8129451892919</v>
      </c>
      <c r="H190" s="30">
        <f t="shared" si="6"/>
        <v>10185.714021154577</v>
      </c>
      <c r="I190" s="30">
        <f t="shared" si="5"/>
        <v>-1915.7140211545775</v>
      </c>
    </row>
    <row r="191" spans="1:9" ht="15" customHeight="1" x14ac:dyDescent="0.25">
      <c r="A191" s="27" t="s">
        <v>136</v>
      </c>
      <c r="B191" s="30">
        <f xml:space="preserve"> 9556</f>
        <v>9556</v>
      </c>
      <c r="C191" s="30">
        <v>1.0701050497972113</v>
      </c>
      <c r="D191" s="30">
        <f t="shared" si="0"/>
        <v>8929.9644009818439</v>
      </c>
      <c r="E191" s="30">
        <f t="shared" si="2"/>
        <v>8873.8546116960097</v>
      </c>
      <c r="F191" s="30">
        <f t="shared" si="3"/>
        <v>8865.3247157700062</v>
      </c>
      <c r="G191" s="30">
        <f t="shared" si="4"/>
        <v>64.639685211837786</v>
      </c>
      <c r="H191" s="30">
        <f t="shared" si="6"/>
        <v>9486.8287464375117</v>
      </c>
      <c r="I191" s="30">
        <f t="shared" si="5"/>
        <v>69.171253562488346</v>
      </c>
    </row>
    <row r="192" spans="1:9" ht="15" customHeight="1" x14ac:dyDescent="0.25">
      <c r="A192" s="27" t="s">
        <v>137</v>
      </c>
      <c r="B192" s="30">
        <f xml:space="preserve"> 10349</f>
        <v>10349</v>
      </c>
      <c r="C192" s="30">
        <v>0.97993531184881255</v>
      </c>
      <c r="D192" s="30">
        <f t="shared" si="0"/>
        <v>10560.901188951822</v>
      </c>
      <c r="E192" s="30">
        <f t="shared" si="2"/>
        <v>9096.4784020061434</v>
      </c>
      <c r="F192" s="30">
        <f t="shared" si="3"/>
        <v>8873.8546116960097</v>
      </c>
      <c r="G192" s="30">
        <f t="shared" si="4"/>
        <v>1687.0465772558127</v>
      </c>
      <c r="H192" s="30">
        <f t="shared" si="6"/>
        <v>8695.8034862133518</v>
      </c>
      <c r="I192" s="30">
        <f t="shared" si="5"/>
        <v>1653.1965137866482</v>
      </c>
    </row>
    <row r="193" spans="1:9" ht="15" customHeight="1" x14ac:dyDescent="0.25">
      <c r="A193" s="27" t="s">
        <v>138</v>
      </c>
      <c r="B193" s="30">
        <f xml:space="preserve"> 7938</f>
        <v>7938</v>
      </c>
      <c r="C193" s="30">
        <v>0.92224046659864112</v>
      </c>
      <c r="D193" s="30">
        <f t="shared" si="0"/>
        <v>8607.299600804241</v>
      </c>
      <c r="E193" s="30">
        <f t="shared" si="2"/>
        <v>9031.926041489769</v>
      </c>
      <c r="F193" s="30">
        <f t="shared" si="3"/>
        <v>9096.4784020061434</v>
      </c>
      <c r="G193" s="30">
        <f t="shared" si="4"/>
        <v>-489.17880120190239</v>
      </c>
      <c r="H193" s="30">
        <f t="shared" si="6"/>
        <v>8389.1404858706064</v>
      </c>
      <c r="I193" s="30">
        <f t="shared" si="5"/>
        <v>-451.14048587060643</v>
      </c>
    </row>
    <row r="194" spans="1:9" ht="15" customHeight="1" x14ac:dyDescent="0.25">
      <c r="A194" s="27" t="s">
        <v>139</v>
      </c>
      <c r="B194" s="30">
        <f xml:space="preserve"> 6467</f>
        <v>6467</v>
      </c>
      <c r="C194" s="30">
        <v>0.79667756022487357</v>
      </c>
      <c r="D194" s="30">
        <f t="shared" si="0"/>
        <v>8117.4622242084961</v>
      </c>
      <c r="E194" s="30">
        <f t="shared" si="2"/>
        <v>8911.2527869102905</v>
      </c>
      <c r="F194" s="30">
        <f t="shared" si="3"/>
        <v>9031.926041489769</v>
      </c>
      <c r="G194" s="30">
        <f t="shared" si="4"/>
        <v>-914.4638172812729</v>
      </c>
      <c r="H194" s="30">
        <f t="shared" si="6"/>
        <v>7195.5328028655695</v>
      </c>
      <c r="I194" s="30">
        <f t="shared" si="5"/>
        <v>-728.53280286556947</v>
      </c>
    </row>
    <row r="195" spans="1:9" ht="15" customHeight="1" x14ac:dyDescent="0.25">
      <c r="A195" s="27" t="s">
        <v>140</v>
      </c>
      <c r="B195" s="30">
        <f xml:space="preserve"> 7837</f>
        <v>7837</v>
      </c>
      <c r="C195" s="30">
        <v>0.86010781790386404</v>
      </c>
      <c r="D195" s="30">
        <f t="shared" si="0"/>
        <v>9111.6483734553822</v>
      </c>
      <c r="E195" s="30">
        <f t="shared" si="2"/>
        <v>8937.6971220220439</v>
      </c>
      <c r="F195" s="30">
        <f t="shared" si="3"/>
        <v>8911.2527869102905</v>
      </c>
      <c r="G195" s="30">
        <f t="shared" si="4"/>
        <v>200.39558654509165</v>
      </c>
      <c r="H195" s="30">
        <f t="shared" si="6"/>
        <v>7664.6381893391372</v>
      </c>
      <c r="I195" s="30">
        <f t="shared" si="5"/>
        <v>172.36181066086283</v>
      </c>
    </row>
    <row r="196" spans="1:9" ht="15" customHeight="1" x14ac:dyDescent="0.25">
      <c r="A196" s="27" t="s">
        <v>141</v>
      </c>
      <c r="B196" s="30">
        <f xml:space="preserve"> 8325</f>
        <v>8325</v>
      </c>
      <c r="C196" s="30">
        <v>0.89662146022058675</v>
      </c>
      <c r="D196" s="30">
        <f t="shared" si="0"/>
        <v>9284.8547233655154</v>
      </c>
      <c r="E196" s="30">
        <f t="shared" si="2"/>
        <v>8983.508270385104</v>
      </c>
      <c r="F196" s="30">
        <f t="shared" si="3"/>
        <v>8937.6971220220439</v>
      </c>
      <c r="G196" s="30">
        <f t="shared" si="4"/>
        <v>347.15760134347147</v>
      </c>
      <c r="H196" s="30">
        <f t="shared" si="6"/>
        <v>8013.7310445567409</v>
      </c>
      <c r="I196" s="30">
        <f t="shared" si="5"/>
        <v>311.26895544325907</v>
      </c>
    </row>
    <row r="197" spans="1:9" ht="15" customHeight="1" x14ac:dyDescent="0.25">
      <c r="A197" s="27" t="s">
        <v>142</v>
      </c>
      <c r="B197" s="30">
        <f xml:space="preserve"> 8532</f>
        <v>8532</v>
      </c>
      <c r="C197" s="30">
        <v>0.96082308230047397</v>
      </c>
      <c r="D197" s="30">
        <f t="shared" si="0"/>
        <v>8879.8865859592515</v>
      </c>
      <c r="E197" s="30">
        <f t="shared" si="2"/>
        <v>8969.8342838715089</v>
      </c>
      <c r="F197" s="30">
        <f t="shared" si="3"/>
        <v>8983.508270385104</v>
      </c>
      <c r="G197" s="30">
        <f t="shared" si="4"/>
        <v>-103.62168442585244</v>
      </c>
      <c r="H197" s="30">
        <f t="shared" si="6"/>
        <v>8631.5621062232149</v>
      </c>
      <c r="I197" s="30">
        <f t="shared" si="5"/>
        <v>-99.562106223214869</v>
      </c>
    </row>
    <row r="198" spans="1:9" ht="15" customHeight="1" x14ac:dyDescent="0.25">
      <c r="A198" s="27" t="s">
        <v>143</v>
      </c>
      <c r="B198" s="30">
        <f xml:space="preserve"> 9786</f>
        <v>9786</v>
      </c>
      <c r="C198" s="30">
        <v>1.0057061731177082</v>
      </c>
      <c r="D198" s="30">
        <f t="shared" si="0"/>
        <v>9730.4762181813148</v>
      </c>
      <c r="E198" s="30">
        <f t="shared" si="2"/>
        <v>9070.209100292006</v>
      </c>
      <c r="F198" s="30">
        <f t="shared" si="3"/>
        <v>8969.8342838715089</v>
      </c>
      <c r="G198" s="30">
        <f t="shared" si="4"/>
        <v>760.64193430980595</v>
      </c>
      <c r="H198" s="30">
        <f t="shared" si="6"/>
        <v>9021.0177111324338</v>
      </c>
      <c r="I198" s="30">
        <f t="shared" si="5"/>
        <v>764.98228886756624</v>
      </c>
    </row>
    <row r="199" spans="1:9" ht="15" customHeight="1" x14ac:dyDescent="0.25">
      <c r="A199" s="27" t="s">
        <v>144</v>
      </c>
      <c r="B199" s="30">
        <f xml:space="preserve"> 9492</f>
        <v>9492</v>
      </c>
      <c r="C199" s="30">
        <v>1.083937309437295</v>
      </c>
      <c r="D199" s="30">
        <f t="shared" si="0"/>
        <v>8756.9640027683763</v>
      </c>
      <c r="E199" s="30">
        <f t="shared" si="2"/>
        <v>9028.873068526831</v>
      </c>
      <c r="F199" s="30">
        <f t="shared" si="3"/>
        <v>9070.209100292006</v>
      </c>
      <c r="G199" s="30">
        <f t="shared" si="4"/>
        <v>-313.24509752362974</v>
      </c>
      <c r="H199" s="30">
        <f t="shared" si="6"/>
        <v>9831.5380482041855</v>
      </c>
      <c r="I199" s="30">
        <f t="shared" si="5"/>
        <v>-339.53804820418554</v>
      </c>
    </row>
    <row r="200" spans="1:9" ht="15" customHeight="1" x14ac:dyDescent="0.25">
      <c r="A200" s="27" t="s">
        <v>145</v>
      </c>
      <c r="B200" s="30">
        <f xml:space="preserve"> 10284</f>
        <v>10284</v>
      </c>
      <c r="C200" s="30">
        <v>1.1499841763423702</v>
      </c>
      <c r="D200" s="30">
        <f t="shared" si="0"/>
        <v>8942.7317449786151</v>
      </c>
      <c r="E200" s="30">
        <f t="shared" si="2"/>
        <v>9017.5058020807392</v>
      </c>
      <c r="F200" s="30">
        <f t="shared" si="3"/>
        <v>9028.873068526831</v>
      </c>
      <c r="G200" s="30">
        <f t="shared" si="4"/>
        <v>-86.141323548215951</v>
      </c>
      <c r="H200" s="30">
        <f t="shared" si="6"/>
        <v>10383.061159009636</v>
      </c>
      <c r="I200" s="30">
        <f t="shared" si="5"/>
        <v>-99.061159009635958</v>
      </c>
    </row>
    <row r="201" spans="1:9" ht="15" customHeight="1" x14ac:dyDescent="0.25">
      <c r="A201" s="27" t="s">
        <v>146</v>
      </c>
      <c r="B201" s="30">
        <f xml:space="preserve"> 9606</f>
        <v>9606</v>
      </c>
      <c r="C201" s="30">
        <v>1.1534390964451762</v>
      </c>
      <c r="D201" s="30">
        <f t="shared" si="0"/>
        <v>8328.1380261906015</v>
      </c>
      <c r="E201" s="30">
        <f t="shared" si="2"/>
        <v>8926.5363710908932</v>
      </c>
      <c r="F201" s="30">
        <f t="shared" si="3"/>
        <v>9017.5058020807392</v>
      </c>
      <c r="G201" s="30">
        <f t="shared" si="4"/>
        <v>-689.36777589013764</v>
      </c>
      <c r="H201" s="30">
        <f t="shared" si="6"/>
        <v>10401.143744541141</v>
      </c>
      <c r="I201" s="30">
        <f t="shared" si="5"/>
        <v>-795.14374454114113</v>
      </c>
    </row>
    <row r="202" spans="1:9" ht="15" customHeight="1" x14ac:dyDescent="0.25">
      <c r="A202" s="27" t="s">
        <v>147</v>
      </c>
      <c r="B202" s="30">
        <f xml:space="preserve"> 10037</f>
        <v>10037</v>
      </c>
      <c r="C202" s="30">
        <v>1.1204231588868279</v>
      </c>
      <c r="D202" s="30">
        <f t="shared" si="0"/>
        <v>8958.2225433219755</v>
      </c>
      <c r="E202" s="30">
        <f t="shared" si="2"/>
        <v>8930.717699489056</v>
      </c>
      <c r="F202" s="30">
        <f t="shared" si="3"/>
        <v>8926.5363710908932</v>
      </c>
      <c r="G202" s="30">
        <f t="shared" si="4"/>
        <v>31.68617223108231</v>
      </c>
      <c r="H202" s="30">
        <f t="shared" si="6"/>
        <v>10001.498078815819</v>
      </c>
      <c r="I202" s="30">
        <f t="shared" si="5"/>
        <v>35.501921184180901</v>
      </c>
    </row>
    <row r="203" spans="1:9" ht="15" customHeight="1" x14ac:dyDescent="0.25">
      <c r="A203" s="27" t="s">
        <v>148</v>
      </c>
      <c r="B203" s="30">
        <f xml:space="preserve"> 10208</f>
        <v>10208</v>
      </c>
      <c r="C203" s="30">
        <v>1.0701050497972113</v>
      </c>
      <c r="D203" s="30">
        <f t="shared" si="0"/>
        <v>9539.2503772731961</v>
      </c>
      <c r="E203" s="30">
        <f t="shared" si="2"/>
        <v>9011.0200770773772</v>
      </c>
      <c r="F203" s="30">
        <f t="shared" si="3"/>
        <v>8930.717699489056</v>
      </c>
      <c r="G203" s="30">
        <f t="shared" si="4"/>
        <v>608.53267778414011</v>
      </c>
      <c r="H203" s="30">
        <f t="shared" si="6"/>
        <v>9556.8061085365734</v>
      </c>
      <c r="I203" s="30">
        <f t="shared" si="5"/>
        <v>651.19389146342655</v>
      </c>
    </row>
    <row r="204" spans="1:9" ht="15" customHeight="1" x14ac:dyDescent="0.25">
      <c r="A204" s="27" t="s">
        <v>149</v>
      </c>
      <c r="B204" s="30">
        <f xml:space="preserve"> 8585</f>
        <v>8585</v>
      </c>
      <c r="C204" s="30">
        <v>0.97993531184881255</v>
      </c>
      <c r="D204" s="30">
        <f t="shared" si="0"/>
        <v>8760.7823661369603</v>
      </c>
      <c r="E204" s="30">
        <f t="shared" si="2"/>
        <v>8977.9985420236717</v>
      </c>
      <c r="F204" s="30">
        <f t="shared" si="3"/>
        <v>9011.0200770773772</v>
      </c>
      <c r="G204" s="30">
        <f t="shared" si="4"/>
        <v>-250.23771094041695</v>
      </c>
      <c r="H204" s="30">
        <f t="shared" si="6"/>
        <v>8830.2167693067313</v>
      </c>
      <c r="I204" s="30">
        <f t="shared" si="5"/>
        <v>-245.21676930673129</v>
      </c>
    </row>
    <row r="205" spans="1:9" ht="15" customHeight="1" x14ac:dyDescent="0.25">
      <c r="A205" s="27" t="s">
        <v>150</v>
      </c>
      <c r="B205" s="30">
        <f xml:space="preserve"> 10054</f>
        <v>10054</v>
      </c>
      <c r="C205" s="30">
        <v>0.92224046659864112</v>
      </c>
      <c r="D205" s="30">
        <f t="shared" si="0"/>
        <v>10901.712041633387</v>
      </c>
      <c r="E205" s="30">
        <f t="shared" si="2"/>
        <v>9231.8530570842522</v>
      </c>
      <c r="F205" s="30">
        <f t="shared" si="3"/>
        <v>8977.9985420236717</v>
      </c>
      <c r="G205" s="30">
        <f t="shared" si="4"/>
        <v>1923.7134996097157</v>
      </c>
      <c r="H205" s="30">
        <f t="shared" si="6"/>
        <v>8279.8735645178313</v>
      </c>
      <c r="I205" s="30">
        <f t="shared" si="5"/>
        <v>1774.1264354821687</v>
      </c>
    </row>
    <row r="206" spans="1:9" ht="15" customHeight="1" x14ac:dyDescent="0.25">
      <c r="A206" s="27" t="s">
        <v>151</v>
      </c>
      <c r="B206" s="30">
        <f xml:space="preserve"> 7521</f>
        <v>7521</v>
      </c>
      <c r="C206" s="30">
        <v>0.79667756022487357</v>
      </c>
      <c r="D206" s="30">
        <f t="shared" si="0"/>
        <v>9440.4566859860988</v>
      </c>
      <c r="E206" s="30">
        <f t="shared" si="2"/>
        <v>9259.3805309339186</v>
      </c>
      <c r="F206" s="30">
        <f t="shared" si="3"/>
        <v>9231.8530570842522</v>
      </c>
      <c r="G206" s="30">
        <f t="shared" si="4"/>
        <v>208.60362890184661</v>
      </c>
      <c r="H206" s="30">
        <f t="shared" si="6"/>
        <v>7354.8101698724222</v>
      </c>
      <c r="I206" s="30">
        <f t="shared" si="5"/>
        <v>166.18983012757781</v>
      </c>
    </row>
    <row r="207" spans="1:9" ht="15" customHeight="1" x14ac:dyDescent="0.25">
      <c r="A207" s="27" t="s">
        <v>152</v>
      </c>
      <c r="B207" s="30">
        <f xml:space="preserve"> 7092</f>
        <v>7092</v>
      </c>
      <c r="C207" s="30">
        <v>0.86010781790386404</v>
      </c>
      <c r="D207" s="30">
        <f t="shared" si="0"/>
        <v>8245.4778951825392</v>
      </c>
      <c r="E207" s="30">
        <f t="shared" si="2"/>
        <v>9125.5852636191521</v>
      </c>
      <c r="F207" s="30">
        <f t="shared" si="3"/>
        <v>9259.3805309339186</v>
      </c>
      <c r="G207" s="30">
        <f t="shared" si="4"/>
        <v>-1013.9026357513794</v>
      </c>
      <c r="H207" s="30">
        <f t="shared" si="6"/>
        <v>7964.0655836030946</v>
      </c>
      <c r="I207" s="30">
        <f t="shared" si="5"/>
        <v>-872.06558360309464</v>
      </c>
    </row>
    <row r="208" spans="1:9" ht="15" customHeight="1" x14ac:dyDescent="0.25">
      <c r="A208" s="27" t="s">
        <v>153</v>
      </c>
      <c r="B208" s="30">
        <f xml:space="preserve"> 8594</f>
        <v>8594</v>
      </c>
      <c r="C208" s="30">
        <v>0.89662146022058675</v>
      </c>
      <c r="D208" s="30">
        <f t="shared" si="0"/>
        <v>9584.8698489613489</v>
      </c>
      <c r="E208" s="30">
        <f t="shared" si="2"/>
        <v>9186.1927634940039</v>
      </c>
      <c r="F208" s="30">
        <f t="shared" si="3"/>
        <v>9125.5852636191521</v>
      </c>
      <c r="G208" s="30">
        <f t="shared" si="4"/>
        <v>459.28458534219681</v>
      </c>
      <c r="H208" s="30">
        <f t="shared" si="6"/>
        <v>8182.1955844336726</v>
      </c>
      <c r="I208" s="30">
        <f t="shared" si="5"/>
        <v>411.80441556632741</v>
      </c>
    </row>
    <row r="209" spans="1:9" ht="15" customHeight="1" x14ac:dyDescent="0.25">
      <c r="A209" s="27" t="s">
        <v>154</v>
      </c>
      <c r="B209" s="30">
        <f xml:space="preserve"> 8393</f>
        <v>8393</v>
      </c>
      <c r="C209" s="30">
        <v>0.96082308230047397</v>
      </c>
      <c r="D209" s="30">
        <f t="shared" si="0"/>
        <v>8735.2189540501622</v>
      </c>
      <c r="E209" s="30">
        <f t="shared" si="2"/>
        <v>9126.6819591436615</v>
      </c>
      <c r="F209" s="30">
        <f t="shared" si="3"/>
        <v>9186.1927634940039</v>
      </c>
      <c r="G209" s="30">
        <f t="shared" si="4"/>
        <v>-450.97380944384167</v>
      </c>
      <c r="H209" s="30">
        <f t="shared" si="6"/>
        <v>8826.3060456266176</v>
      </c>
      <c r="I209" s="30">
        <f t="shared" si="5"/>
        <v>-433.30604562661756</v>
      </c>
    </row>
    <row r="210" spans="1:9" ht="15" customHeight="1" x14ac:dyDescent="0.25">
      <c r="A210" s="27" t="s">
        <v>155</v>
      </c>
      <c r="B210" s="30">
        <f xml:space="preserve"> 8940</f>
        <v>8940</v>
      </c>
      <c r="C210" s="30">
        <v>1.0057061731177082</v>
      </c>
      <c r="D210" s="30">
        <f t="shared" si="0"/>
        <v>8889.2762508216802</v>
      </c>
      <c r="E210" s="30">
        <f t="shared" si="2"/>
        <v>9095.3537437046598</v>
      </c>
      <c r="F210" s="30">
        <f t="shared" si="3"/>
        <v>9126.6819591436615</v>
      </c>
      <c r="G210" s="30">
        <f t="shared" si="4"/>
        <v>-237.40570832198136</v>
      </c>
      <c r="H210" s="30">
        <f t="shared" si="6"/>
        <v>9178.7603863927998</v>
      </c>
      <c r="I210" s="30">
        <f t="shared" si="5"/>
        <v>-238.76038639279977</v>
      </c>
    </row>
    <row r="211" spans="1:9" ht="15" customHeight="1" x14ac:dyDescent="0.25">
      <c r="A211" s="27" t="s">
        <v>156</v>
      </c>
      <c r="B211" s="30">
        <f xml:space="preserve"> 9710</f>
        <v>9710</v>
      </c>
      <c r="C211" s="30">
        <v>1.083937309437295</v>
      </c>
      <c r="D211" s="30">
        <f t="shared" ref="D211:D262" si="7">B211/C211</f>
        <v>8958.0826450569893</v>
      </c>
      <c r="E211" s="30">
        <f t="shared" si="2"/>
        <v>9077.2393580718162</v>
      </c>
      <c r="F211" s="30">
        <f t="shared" si="3"/>
        <v>9095.3537437046598</v>
      </c>
      <c r="G211" s="30">
        <f t="shared" si="4"/>
        <v>-137.27109864767044</v>
      </c>
      <c r="H211" s="30">
        <f t="shared" ref="H211:H242" si="8">F211*C211</f>
        <v>9858.7932653316584</v>
      </c>
      <c r="I211" s="30">
        <f t="shared" si="5"/>
        <v>-148.7932653316584</v>
      </c>
    </row>
    <row r="212" spans="1:9" ht="15" customHeight="1" x14ac:dyDescent="0.25">
      <c r="A212" s="27" t="s">
        <v>157</v>
      </c>
      <c r="B212" s="30">
        <f xml:space="preserve"> 9392</f>
        <v>9392</v>
      </c>
      <c r="C212" s="30">
        <v>1.1499841763423702</v>
      </c>
      <c r="D212" s="30">
        <f t="shared" si="7"/>
        <v>8167.0688981757257</v>
      </c>
      <c r="E212" s="30">
        <f t="shared" ref="E212:E262" si="9">$B$9*D212+(1-$B$9)*E211</f>
        <v>8957.1326577932869</v>
      </c>
      <c r="F212" s="30">
        <f t="shared" ref="F212:F262" si="10">E211</f>
        <v>9077.2393580718162</v>
      </c>
      <c r="G212" s="30">
        <f t="shared" ref="G212:G262" si="11">D212-F212</f>
        <v>-910.17045989609051</v>
      </c>
      <c r="H212" s="30">
        <f t="shared" si="8"/>
        <v>10438.681626654763</v>
      </c>
      <c r="I212" s="30">
        <f t="shared" ref="I212:I262" si="12">B212-H212</f>
        <v>-1046.681626654763</v>
      </c>
    </row>
    <row r="213" spans="1:9" ht="15" customHeight="1" x14ac:dyDescent="0.25">
      <c r="A213" s="27" t="s">
        <v>158</v>
      </c>
      <c r="B213" s="30">
        <f xml:space="preserve"> 11138</f>
        <v>11138</v>
      </c>
      <c r="C213" s="30">
        <v>1.1534390964451762</v>
      </c>
      <c r="D213" s="30">
        <f t="shared" si="7"/>
        <v>9656.3399266823781</v>
      </c>
      <c r="E213" s="30">
        <f t="shared" si="9"/>
        <v>9049.4005148347242</v>
      </c>
      <c r="F213" s="30">
        <f t="shared" si="10"/>
        <v>8957.1326577932869</v>
      </c>
      <c r="G213" s="30">
        <f t="shared" si="11"/>
        <v>699.20726888909121</v>
      </c>
      <c r="H213" s="30">
        <f t="shared" si="8"/>
        <v>10331.506999544668</v>
      </c>
      <c r="I213" s="30">
        <f t="shared" si="12"/>
        <v>806.49300045533164</v>
      </c>
    </row>
    <row r="214" spans="1:9" ht="15" customHeight="1" x14ac:dyDescent="0.25">
      <c r="A214" s="27" t="s">
        <v>159</v>
      </c>
      <c r="B214" s="30">
        <f xml:space="preserve"> 10664</f>
        <v>10664</v>
      </c>
      <c r="C214" s="30">
        <v>1.1204231588868279</v>
      </c>
      <c r="D214" s="30">
        <f t="shared" si="7"/>
        <v>9517.8325398012894</v>
      </c>
      <c r="E214" s="30">
        <f t="shared" si="9"/>
        <v>9111.2151169367826</v>
      </c>
      <c r="F214" s="30">
        <f t="shared" si="10"/>
        <v>9049.4005148347242</v>
      </c>
      <c r="G214" s="30">
        <f t="shared" si="11"/>
        <v>468.43202496656522</v>
      </c>
      <c r="H214" s="30">
        <f t="shared" si="8"/>
        <v>10139.157910863209</v>
      </c>
      <c r="I214" s="30">
        <f t="shared" si="12"/>
        <v>524.8420891367914</v>
      </c>
    </row>
    <row r="215" spans="1:9" ht="15" customHeight="1" x14ac:dyDescent="0.25">
      <c r="A215" s="27" t="s">
        <v>160</v>
      </c>
      <c r="B215" s="30">
        <f xml:space="preserve"> 9681</f>
        <v>9681</v>
      </c>
      <c r="C215" s="30">
        <v>1.0701050497972113</v>
      </c>
      <c r="D215" s="30">
        <f t="shared" si="7"/>
        <v>9046.775362694143</v>
      </c>
      <c r="E215" s="30">
        <f t="shared" si="9"/>
        <v>9102.7116040346773</v>
      </c>
      <c r="F215" s="30">
        <f t="shared" si="10"/>
        <v>9111.2151169367826</v>
      </c>
      <c r="G215" s="30">
        <f t="shared" si="11"/>
        <v>-64.439754242639538</v>
      </c>
      <c r="H215" s="30">
        <f t="shared" si="8"/>
        <v>9749.9573064227407</v>
      </c>
      <c r="I215" s="30">
        <f t="shared" si="12"/>
        <v>-68.957306422740658</v>
      </c>
    </row>
    <row r="216" spans="1:9" ht="15" customHeight="1" x14ac:dyDescent="0.25">
      <c r="A216" s="27" t="s">
        <v>161</v>
      </c>
      <c r="B216" s="30">
        <f xml:space="preserve"> 8698</f>
        <v>8698</v>
      </c>
      <c r="C216" s="30">
        <v>0.97993531184881255</v>
      </c>
      <c r="D216" s="30">
        <f t="shared" si="7"/>
        <v>8876.0961002515178</v>
      </c>
      <c r="E216" s="30">
        <f t="shared" si="9"/>
        <v>9072.8072711754685</v>
      </c>
      <c r="F216" s="30">
        <f t="shared" si="10"/>
        <v>9102.7116040346773</v>
      </c>
      <c r="G216" s="30">
        <f t="shared" si="11"/>
        <v>-226.61550378315951</v>
      </c>
      <c r="H216" s="30">
        <f t="shared" si="8"/>
        <v>8920.0685343695259</v>
      </c>
      <c r="I216" s="30">
        <f t="shared" si="12"/>
        <v>-222.06853436952588</v>
      </c>
    </row>
    <row r="217" spans="1:9" ht="15" customHeight="1" x14ac:dyDescent="0.25">
      <c r="A217" s="27" t="s">
        <v>162</v>
      </c>
      <c r="B217" s="30">
        <f xml:space="preserve"> 8581</f>
        <v>8581</v>
      </c>
      <c r="C217" s="30">
        <v>0.92224046659864112</v>
      </c>
      <c r="D217" s="30">
        <f t="shared" si="7"/>
        <v>9304.5147234191463</v>
      </c>
      <c r="E217" s="30">
        <f t="shared" si="9"/>
        <v>9103.3835409459807</v>
      </c>
      <c r="F217" s="30">
        <f t="shared" si="10"/>
        <v>9072.8072711754685</v>
      </c>
      <c r="G217" s="30">
        <f t="shared" si="11"/>
        <v>231.70745224367784</v>
      </c>
      <c r="H217" s="30">
        <f t="shared" si="8"/>
        <v>8367.3100111284075</v>
      </c>
      <c r="I217" s="30">
        <f t="shared" si="12"/>
        <v>213.6899888715925</v>
      </c>
    </row>
    <row r="218" spans="1:9" ht="15" customHeight="1" x14ac:dyDescent="0.25">
      <c r="A218" s="27" t="s">
        <v>163</v>
      </c>
      <c r="B218" s="30">
        <f xml:space="preserve"> 6310</f>
        <v>6310</v>
      </c>
      <c r="C218" s="30">
        <v>0.79667756022487357</v>
      </c>
      <c r="D218" s="30">
        <f t="shared" si="7"/>
        <v>7920.3937891998776</v>
      </c>
      <c r="E218" s="30">
        <f t="shared" si="9"/>
        <v>8947.2754251521947</v>
      </c>
      <c r="F218" s="30">
        <f t="shared" si="10"/>
        <v>9103.3835409459807</v>
      </c>
      <c r="G218" s="30">
        <f t="shared" si="11"/>
        <v>-1182.9897517461031</v>
      </c>
      <c r="H218" s="30">
        <f t="shared" si="8"/>
        <v>7252.4613891921144</v>
      </c>
      <c r="I218" s="30">
        <f t="shared" si="12"/>
        <v>-942.46138919211444</v>
      </c>
    </row>
    <row r="219" spans="1:9" ht="15" customHeight="1" x14ac:dyDescent="0.25">
      <c r="A219" s="27" t="s">
        <v>164</v>
      </c>
      <c r="B219" s="30">
        <f xml:space="preserve"> 7357</f>
        <v>7357</v>
      </c>
      <c r="C219" s="30">
        <v>0.86010781790386404</v>
      </c>
      <c r="D219" s="30">
        <f t="shared" si="7"/>
        <v>8553.5788035614696</v>
      </c>
      <c r="E219" s="30">
        <f t="shared" si="9"/>
        <v>8895.3229566712198</v>
      </c>
      <c r="F219" s="30">
        <f t="shared" si="10"/>
        <v>8947.2754251521947</v>
      </c>
      <c r="G219" s="30">
        <f t="shared" si="11"/>
        <v>-393.69662159072504</v>
      </c>
      <c r="H219" s="30">
        <f t="shared" si="8"/>
        <v>7695.6215421125216</v>
      </c>
      <c r="I219" s="30">
        <f t="shared" si="12"/>
        <v>-338.62154211252164</v>
      </c>
    </row>
    <row r="220" spans="1:9" ht="15" customHeight="1" x14ac:dyDescent="0.25">
      <c r="A220" s="27" t="s">
        <v>165</v>
      </c>
      <c r="B220" s="30">
        <f xml:space="preserve"> 8353</f>
        <v>8353</v>
      </c>
      <c r="C220" s="30">
        <v>0.89662146022058675</v>
      </c>
      <c r="D220" s="30">
        <f t="shared" si="7"/>
        <v>9316.0830635762341</v>
      </c>
      <c r="E220" s="30">
        <f t="shared" si="9"/>
        <v>8950.8467407050066</v>
      </c>
      <c r="F220" s="30">
        <f t="shared" si="10"/>
        <v>8895.3229566712198</v>
      </c>
      <c r="G220" s="30">
        <f t="shared" si="11"/>
        <v>420.76010690501425</v>
      </c>
      <c r="H220" s="30">
        <f t="shared" si="8"/>
        <v>7975.7374585442558</v>
      </c>
      <c r="I220" s="30">
        <f t="shared" si="12"/>
        <v>377.26254145574421</v>
      </c>
    </row>
    <row r="221" spans="1:9" ht="15" customHeight="1" x14ac:dyDescent="0.25">
      <c r="A221" s="27" t="s">
        <v>166</v>
      </c>
      <c r="B221" s="30">
        <f xml:space="preserve"> 8292</f>
        <v>8292</v>
      </c>
      <c r="C221" s="30">
        <v>0.96082308230047397</v>
      </c>
      <c r="D221" s="30">
        <f t="shared" si="7"/>
        <v>8630.1007466917617</v>
      </c>
      <c r="E221" s="30">
        <f t="shared" si="9"/>
        <v>8908.5208856416757</v>
      </c>
      <c r="F221" s="30">
        <f t="shared" si="10"/>
        <v>8950.8467407050066</v>
      </c>
      <c r="G221" s="30">
        <f t="shared" si="11"/>
        <v>-320.74599401324485</v>
      </c>
      <c r="H221" s="30">
        <f t="shared" si="8"/>
        <v>8600.1801546033366</v>
      </c>
      <c r="I221" s="30">
        <f t="shared" si="12"/>
        <v>-308.18015460333663</v>
      </c>
    </row>
    <row r="222" spans="1:9" ht="15" customHeight="1" x14ac:dyDescent="0.25">
      <c r="A222" s="27" t="s">
        <v>167</v>
      </c>
      <c r="B222" s="30">
        <f xml:space="preserve"> 9078</f>
        <v>9078</v>
      </c>
      <c r="C222" s="30">
        <v>1.0057061731177082</v>
      </c>
      <c r="D222" s="30">
        <f t="shared" si="7"/>
        <v>9026.4932667739613</v>
      </c>
      <c r="E222" s="30">
        <f t="shared" si="9"/>
        <v>8924.0885996536399</v>
      </c>
      <c r="F222" s="30">
        <f t="shared" si="10"/>
        <v>8908.5208856416757</v>
      </c>
      <c r="G222" s="30">
        <f t="shared" si="11"/>
        <v>117.97238113228559</v>
      </c>
      <c r="H222" s="30">
        <f t="shared" si="8"/>
        <v>8959.354448037866</v>
      </c>
      <c r="I222" s="30">
        <f t="shared" si="12"/>
        <v>118.64555196213405</v>
      </c>
    </row>
    <row r="223" spans="1:9" ht="15" customHeight="1" x14ac:dyDescent="0.25">
      <c r="A223" s="27" t="s">
        <v>168</v>
      </c>
      <c r="B223" s="30">
        <f xml:space="preserve"> 10353</f>
        <v>10353</v>
      </c>
      <c r="C223" s="30">
        <v>1.083937309437295</v>
      </c>
      <c r="D223" s="30">
        <f t="shared" si="7"/>
        <v>9551.290383550464</v>
      </c>
      <c r="E223" s="30">
        <f t="shared" si="9"/>
        <v>9006.8545649226689</v>
      </c>
      <c r="F223" s="30">
        <f t="shared" si="10"/>
        <v>8924.0885996536399</v>
      </c>
      <c r="G223" s="30">
        <f t="shared" si="11"/>
        <v>627.20178389682405</v>
      </c>
      <c r="H223" s="30">
        <f t="shared" si="8"/>
        <v>9673.1525858886052</v>
      </c>
      <c r="I223" s="30">
        <f t="shared" si="12"/>
        <v>679.84741411139476</v>
      </c>
    </row>
    <row r="224" spans="1:9" ht="15" customHeight="1" x14ac:dyDescent="0.25">
      <c r="A224" s="27" t="s">
        <v>169</v>
      </c>
      <c r="B224" s="30">
        <f xml:space="preserve"> 9228</f>
        <v>9228</v>
      </c>
      <c r="C224" s="30">
        <v>1.1499841763423702</v>
      </c>
      <c r="D224" s="30">
        <f t="shared" si="7"/>
        <v>8024.4582402433552</v>
      </c>
      <c r="E224" s="30">
        <f t="shared" si="9"/>
        <v>8877.2168914076901</v>
      </c>
      <c r="F224" s="30">
        <f t="shared" si="10"/>
        <v>9006.8545649226689</v>
      </c>
      <c r="G224" s="30">
        <f t="shared" si="11"/>
        <v>-982.39632467931369</v>
      </c>
      <c r="H224" s="30">
        <f t="shared" si="8"/>
        <v>10357.740228278111</v>
      </c>
      <c r="I224" s="30">
        <f t="shared" si="12"/>
        <v>-1129.7402282781113</v>
      </c>
    </row>
    <row r="225" spans="1:9" ht="15" customHeight="1" x14ac:dyDescent="0.25">
      <c r="A225" s="27" t="s">
        <v>170</v>
      </c>
      <c r="B225" s="30">
        <f xml:space="preserve"> 9420</f>
        <v>9420</v>
      </c>
      <c r="C225" s="30">
        <v>1.1534390964451762</v>
      </c>
      <c r="D225" s="30">
        <f t="shared" si="7"/>
        <v>8166.8811374885972</v>
      </c>
      <c r="E225" s="30">
        <f t="shared" si="9"/>
        <v>8783.4805120674682</v>
      </c>
      <c r="F225" s="30">
        <f t="shared" si="10"/>
        <v>8877.2168914076901</v>
      </c>
      <c r="G225" s="30">
        <f t="shared" si="11"/>
        <v>-710.33575391909289</v>
      </c>
      <c r="H225" s="30">
        <f t="shared" si="8"/>
        <v>10239.329030173141</v>
      </c>
      <c r="I225" s="30">
        <f t="shared" si="12"/>
        <v>-819.32903017314129</v>
      </c>
    </row>
    <row r="226" spans="1:9" ht="15" customHeight="1" x14ac:dyDescent="0.25">
      <c r="A226" s="27" t="s">
        <v>171</v>
      </c>
      <c r="B226" s="30">
        <f xml:space="preserve"> 10636</f>
        <v>10636</v>
      </c>
      <c r="C226" s="30">
        <v>1.1204231588868279</v>
      </c>
      <c r="D226" s="30">
        <f t="shared" si="7"/>
        <v>9492.8419817447957</v>
      </c>
      <c r="E226" s="30">
        <f t="shared" si="9"/>
        <v>8877.0883242100408</v>
      </c>
      <c r="F226" s="30">
        <f t="shared" si="10"/>
        <v>8783.4805120674682</v>
      </c>
      <c r="G226" s="30">
        <f t="shared" si="11"/>
        <v>709.36146967732748</v>
      </c>
      <c r="H226" s="30">
        <f t="shared" si="8"/>
        <v>9841.2149813515243</v>
      </c>
      <c r="I226" s="30">
        <f t="shared" si="12"/>
        <v>794.78501864847567</v>
      </c>
    </row>
    <row r="227" spans="1:9" ht="15" customHeight="1" x14ac:dyDescent="0.25">
      <c r="A227" s="27" t="s">
        <v>172</v>
      </c>
      <c r="B227" s="30">
        <f xml:space="preserve"> 9953</f>
        <v>9953</v>
      </c>
      <c r="C227" s="30">
        <v>1.0701050497972113</v>
      </c>
      <c r="D227" s="30">
        <f t="shared" si="7"/>
        <v>9300.9560153801049</v>
      </c>
      <c r="E227" s="30">
        <f t="shared" si="9"/>
        <v>8933.0221871338363</v>
      </c>
      <c r="F227" s="30">
        <f t="shared" si="10"/>
        <v>8877.0883242100408</v>
      </c>
      <c r="G227" s="30">
        <f t="shared" si="11"/>
        <v>423.86769117006406</v>
      </c>
      <c r="H227" s="30">
        <f t="shared" si="8"/>
        <v>9499.4170432330284</v>
      </c>
      <c r="I227" s="30">
        <f t="shared" si="12"/>
        <v>453.58295676697162</v>
      </c>
    </row>
    <row r="228" spans="1:9" ht="15" customHeight="1" x14ac:dyDescent="0.25">
      <c r="A228" s="27" t="s">
        <v>173</v>
      </c>
      <c r="B228" s="30">
        <f xml:space="preserve"> 9177</f>
        <v>9177</v>
      </c>
      <c r="C228" s="30">
        <v>0.97993531184881255</v>
      </c>
      <c r="D228" s="30">
        <f t="shared" si="7"/>
        <v>9364.903875834465</v>
      </c>
      <c r="E228" s="30">
        <f t="shared" si="9"/>
        <v>8990.0135825109992</v>
      </c>
      <c r="F228" s="30">
        <f t="shared" si="10"/>
        <v>8933.0221871338363</v>
      </c>
      <c r="G228" s="30">
        <f t="shared" si="11"/>
        <v>431.88168870062873</v>
      </c>
      <c r="H228" s="30">
        <f t="shared" si="8"/>
        <v>8753.7838827013566</v>
      </c>
      <c r="I228" s="30">
        <f t="shared" si="12"/>
        <v>423.21611729864344</v>
      </c>
    </row>
    <row r="229" spans="1:9" ht="15" customHeight="1" x14ac:dyDescent="0.25">
      <c r="A229" s="27" t="s">
        <v>174</v>
      </c>
      <c r="B229" s="30">
        <f xml:space="preserve"> 7192</f>
        <v>7192</v>
      </c>
      <c r="C229" s="30">
        <v>0.92224046659864112</v>
      </c>
      <c r="D229" s="30">
        <f t="shared" si="7"/>
        <v>7798.399940663151</v>
      </c>
      <c r="E229" s="30">
        <f t="shared" si="9"/>
        <v>8832.7674524338199</v>
      </c>
      <c r="F229" s="30">
        <f t="shared" si="10"/>
        <v>8990.0135825109992</v>
      </c>
      <c r="G229" s="30">
        <f t="shared" si="11"/>
        <v>-1191.6136418478482</v>
      </c>
      <c r="H229" s="30">
        <f t="shared" si="8"/>
        <v>8290.9543210630654</v>
      </c>
      <c r="I229" s="30">
        <f t="shared" si="12"/>
        <v>-1098.9543210630654</v>
      </c>
    </row>
    <row r="230" spans="1:9" ht="15" customHeight="1" x14ac:dyDescent="0.25">
      <c r="A230" s="27" t="s">
        <v>175</v>
      </c>
      <c r="B230" s="30">
        <f xml:space="preserve"> 6624</f>
        <v>6624</v>
      </c>
      <c r="C230" s="30">
        <v>0.79667756022487357</v>
      </c>
      <c r="D230" s="30">
        <f t="shared" si="7"/>
        <v>8314.5306592171146</v>
      </c>
      <c r="E230" s="30">
        <f t="shared" si="9"/>
        <v>8764.3805799316178</v>
      </c>
      <c r="F230" s="30">
        <f t="shared" si="10"/>
        <v>8832.7674524338199</v>
      </c>
      <c r="G230" s="30">
        <f t="shared" si="11"/>
        <v>-518.23679321670534</v>
      </c>
      <c r="H230" s="30">
        <f t="shared" si="8"/>
        <v>7036.8676240386476</v>
      </c>
      <c r="I230" s="30">
        <f t="shared" si="12"/>
        <v>-412.86762403864759</v>
      </c>
    </row>
    <row r="231" spans="1:9" ht="15" customHeight="1" x14ac:dyDescent="0.25">
      <c r="A231" s="27" t="s">
        <v>176</v>
      </c>
      <c r="B231" s="30">
        <f xml:space="preserve"> 9084</f>
        <v>9084</v>
      </c>
      <c r="C231" s="30">
        <v>0.86010781790386404</v>
      </c>
      <c r="D231" s="30">
        <f t="shared" si="7"/>
        <v>10561.466610242273</v>
      </c>
      <c r="E231" s="30">
        <f t="shared" si="9"/>
        <v>9001.5252497793936</v>
      </c>
      <c r="F231" s="30">
        <f t="shared" si="10"/>
        <v>8764.3805799316178</v>
      </c>
      <c r="G231" s="30">
        <f t="shared" si="11"/>
        <v>1797.0860303106547</v>
      </c>
      <c r="H231" s="30">
        <f t="shared" si="8"/>
        <v>7538.3122558839859</v>
      </c>
      <c r="I231" s="30">
        <f t="shared" si="12"/>
        <v>1545.6877441160141</v>
      </c>
    </row>
    <row r="232" spans="1:9" ht="15" customHeight="1" x14ac:dyDescent="0.25">
      <c r="A232" s="27" t="s">
        <v>177</v>
      </c>
      <c r="B232" s="30">
        <f xml:space="preserve"> 7771</f>
        <v>7771</v>
      </c>
      <c r="C232" s="30">
        <v>0.89662146022058675</v>
      </c>
      <c r="D232" s="30">
        <f t="shared" si="7"/>
        <v>8666.9797063391488</v>
      </c>
      <c r="E232" s="30">
        <f t="shared" si="9"/>
        <v>8957.3783969798842</v>
      </c>
      <c r="F232" s="30">
        <f t="shared" si="10"/>
        <v>9001.5252497793936</v>
      </c>
      <c r="G232" s="30">
        <f t="shared" si="11"/>
        <v>-334.54554344024473</v>
      </c>
      <c r="H232" s="30">
        <f t="shared" si="8"/>
        <v>8070.9607136696814</v>
      </c>
      <c r="I232" s="30">
        <f t="shared" si="12"/>
        <v>-299.96071366968135</v>
      </c>
    </row>
    <row r="233" spans="1:9" ht="15" customHeight="1" x14ac:dyDescent="0.25">
      <c r="A233" s="27" t="s">
        <v>178</v>
      </c>
      <c r="B233" s="30">
        <f xml:space="preserve"> 9400</f>
        <v>9400</v>
      </c>
      <c r="C233" s="30">
        <v>0.96082308230047397</v>
      </c>
      <c r="D233" s="30">
        <f t="shared" si="7"/>
        <v>9783.2787046433368</v>
      </c>
      <c r="E233" s="30">
        <f t="shared" si="9"/>
        <v>9066.3647518257712</v>
      </c>
      <c r="F233" s="30">
        <f t="shared" si="10"/>
        <v>8957.3783969798842</v>
      </c>
      <c r="G233" s="30">
        <f t="shared" si="11"/>
        <v>825.90030766345262</v>
      </c>
      <c r="H233" s="30">
        <f t="shared" si="8"/>
        <v>8606.4559207178918</v>
      </c>
      <c r="I233" s="30">
        <f t="shared" si="12"/>
        <v>793.54407928210821</v>
      </c>
    </row>
    <row r="234" spans="1:9" ht="15" customHeight="1" x14ac:dyDescent="0.25">
      <c r="A234" s="27" t="s">
        <v>179</v>
      </c>
      <c r="B234" s="30">
        <f xml:space="preserve"> 9194</f>
        <v>9194</v>
      </c>
      <c r="C234" s="30">
        <v>1.0057061731177082</v>
      </c>
      <c r="D234" s="30">
        <f t="shared" si="7"/>
        <v>9141.8351062700804</v>
      </c>
      <c r="E234" s="30">
        <f t="shared" si="9"/>
        <v>9076.3238700795009</v>
      </c>
      <c r="F234" s="30">
        <f t="shared" si="10"/>
        <v>9066.3647518257712</v>
      </c>
      <c r="G234" s="30">
        <f t="shared" si="11"/>
        <v>75.470354444309123</v>
      </c>
      <c r="H234" s="30">
        <f t="shared" si="8"/>
        <v>9118.0989986479763</v>
      </c>
      <c r="I234" s="30">
        <f t="shared" si="12"/>
        <v>75.901001352023741</v>
      </c>
    </row>
    <row r="235" spans="1:9" ht="15" customHeight="1" x14ac:dyDescent="0.25">
      <c r="A235" s="27" t="s">
        <v>180</v>
      </c>
      <c r="B235" s="30">
        <f xml:space="preserve"> 10002</f>
        <v>10002</v>
      </c>
      <c r="C235" s="30">
        <v>1.083937309437295</v>
      </c>
      <c r="D235" s="30">
        <f t="shared" si="7"/>
        <v>9227.4709182142124</v>
      </c>
      <c r="E235" s="30">
        <f t="shared" si="9"/>
        <v>9096.269335251347</v>
      </c>
      <c r="F235" s="30">
        <f t="shared" si="10"/>
        <v>9076.3238700795009</v>
      </c>
      <c r="G235" s="30">
        <f t="shared" si="11"/>
        <v>151.14704813471144</v>
      </c>
      <c r="H235" s="30">
        <f t="shared" si="8"/>
        <v>9838.166075315472</v>
      </c>
      <c r="I235" s="30">
        <f t="shared" si="12"/>
        <v>163.83392468452803</v>
      </c>
    </row>
    <row r="236" spans="1:9" ht="15" customHeight="1" x14ac:dyDescent="0.25">
      <c r="A236" s="27" t="s">
        <v>181</v>
      </c>
      <c r="B236" s="30">
        <f xml:space="preserve"> 10538</f>
        <v>10538</v>
      </c>
      <c r="C236" s="30">
        <v>1.1499841763423702</v>
      </c>
      <c r="D236" s="30">
        <f t="shared" si="7"/>
        <v>9163.6043493372872</v>
      </c>
      <c r="E236" s="30">
        <f t="shared" si="9"/>
        <v>9105.1549085713104</v>
      </c>
      <c r="F236" s="30">
        <f t="shared" si="10"/>
        <v>9096.269335251347</v>
      </c>
      <c r="G236" s="30">
        <f t="shared" si="11"/>
        <v>67.335014085940202</v>
      </c>
      <c r="H236" s="30">
        <f t="shared" si="8"/>
        <v>10460.565799287378</v>
      </c>
      <c r="I236" s="30">
        <f t="shared" si="12"/>
        <v>77.434200712621532</v>
      </c>
    </row>
    <row r="237" spans="1:9" ht="15" customHeight="1" x14ac:dyDescent="0.25">
      <c r="A237" s="27" t="s">
        <v>182</v>
      </c>
      <c r="B237" s="30">
        <f xml:space="preserve"> 8717</f>
        <v>8717</v>
      </c>
      <c r="C237" s="30">
        <v>1.1534390964451762</v>
      </c>
      <c r="D237" s="30">
        <f t="shared" si="7"/>
        <v>7557.3994559966141</v>
      </c>
      <c r="E237" s="30">
        <f t="shared" si="9"/>
        <v>8900.9120678752151</v>
      </c>
      <c r="F237" s="30">
        <f t="shared" si="10"/>
        <v>9105.1549085713104</v>
      </c>
      <c r="G237" s="30">
        <f t="shared" si="11"/>
        <v>-1547.7554525746964</v>
      </c>
      <c r="H237" s="30">
        <f t="shared" si="8"/>
        <v>10502.241650735852</v>
      </c>
      <c r="I237" s="30">
        <f t="shared" si="12"/>
        <v>-1785.2416507358521</v>
      </c>
    </row>
    <row r="238" spans="1:9" ht="15" customHeight="1" x14ac:dyDescent="0.25">
      <c r="A238" s="27" t="s">
        <v>183</v>
      </c>
      <c r="B238" s="30">
        <f xml:space="preserve"> 11071</f>
        <v>11071</v>
      </c>
      <c r="C238" s="30">
        <v>1.1204231588868279</v>
      </c>
      <c r="D238" s="30">
        <f t="shared" si="7"/>
        <v>9881.0881515510191</v>
      </c>
      <c r="E238" s="30">
        <f t="shared" si="9"/>
        <v>9030.2567569081621</v>
      </c>
      <c r="F238" s="30">
        <f t="shared" si="10"/>
        <v>8900.9120678752151</v>
      </c>
      <c r="G238" s="30">
        <f t="shared" si="11"/>
        <v>980.17608367580397</v>
      </c>
      <c r="H238" s="30">
        <f t="shared" si="8"/>
        <v>9972.7880160626355</v>
      </c>
      <c r="I238" s="30">
        <f t="shared" si="12"/>
        <v>1098.2119839373645</v>
      </c>
    </row>
    <row r="239" spans="1:9" ht="15" customHeight="1" x14ac:dyDescent="0.25">
      <c r="A239" s="27" t="s">
        <v>184</v>
      </c>
      <c r="B239" s="30">
        <f xml:space="preserve"> 9441</f>
        <v>9441</v>
      </c>
      <c r="C239" s="30">
        <v>1.0701050497972113</v>
      </c>
      <c r="D239" s="30">
        <f t="shared" si="7"/>
        <v>8822.4983162065291</v>
      </c>
      <c r="E239" s="30">
        <f t="shared" si="9"/>
        <v>9002.8408146564943</v>
      </c>
      <c r="F239" s="30">
        <f t="shared" si="10"/>
        <v>9030.2567569081621</v>
      </c>
      <c r="G239" s="30">
        <f t="shared" si="11"/>
        <v>-207.75844070163294</v>
      </c>
      <c r="H239" s="30">
        <f t="shared" si="8"/>
        <v>9663.3233565328137</v>
      </c>
      <c r="I239" s="30">
        <f t="shared" si="12"/>
        <v>-222.3233565328137</v>
      </c>
    </row>
    <row r="240" spans="1:9" ht="15" customHeight="1" x14ac:dyDescent="0.25">
      <c r="A240" s="27" t="s">
        <v>185</v>
      </c>
      <c r="B240" s="30">
        <f xml:space="preserve"> 8548</f>
        <v>8548</v>
      </c>
      <c r="C240" s="30">
        <v>0.97993531184881255</v>
      </c>
      <c r="D240" s="30">
        <f t="shared" si="7"/>
        <v>8723.024771780867</v>
      </c>
      <c r="E240" s="30">
        <f t="shared" si="9"/>
        <v>8965.9161032143948</v>
      </c>
      <c r="F240" s="30">
        <f t="shared" si="10"/>
        <v>9002.8408146564943</v>
      </c>
      <c r="G240" s="30">
        <f t="shared" si="11"/>
        <v>-279.81604287562732</v>
      </c>
      <c r="H240" s="30">
        <f t="shared" si="8"/>
        <v>8822.2016212356302</v>
      </c>
      <c r="I240" s="30">
        <f t="shared" si="12"/>
        <v>-274.20162123563023</v>
      </c>
    </row>
    <row r="241" spans="1:9" ht="15" customHeight="1" x14ac:dyDescent="0.25">
      <c r="A241" s="27" t="s">
        <v>186</v>
      </c>
      <c r="B241" s="30">
        <f xml:space="preserve"> 8566</f>
        <v>8566</v>
      </c>
      <c r="C241" s="30">
        <v>0.92224046659864112</v>
      </c>
      <c r="D241" s="30">
        <f t="shared" si="7"/>
        <v>9288.2499849444594</v>
      </c>
      <c r="E241" s="30">
        <f t="shared" si="9"/>
        <v>9008.4514969987504</v>
      </c>
      <c r="F241" s="30">
        <f t="shared" si="10"/>
        <v>8965.9161032143948</v>
      </c>
      <c r="G241" s="30">
        <f t="shared" si="11"/>
        <v>322.3338817300646</v>
      </c>
      <c r="H241" s="30">
        <f t="shared" si="8"/>
        <v>8268.7306505127144</v>
      </c>
      <c r="I241" s="30">
        <f t="shared" si="12"/>
        <v>297.26934948728558</v>
      </c>
    </row>
    <row r="242" spans="1:9" ht="15" customHeight="1" x14ac:dyDescent="0.25">
      <c r="A242" s="27" t="s">
        <v>187</v>
      </c>
      <c r="B242" s="30">
        <f xml:space="preserve"> 7876</f>
        <v>7876</v>
      </c>
      <c r="C242" s="30">
        <v>0.79667756022487357</v>
      </c>
      <c r="D242" s="30">
        <f t="shared" si="7"/>
        <v>9886.0572874387053</v>
      </c>
      <c r="E242" s="30">
        <f t="shared" si="9"/>
        <v>9124.260941800012</v>
      </c>
      <c r="F242" s="30">
        <f t="shared" si="10"/>
        <v>9008.4514969987504</v>
      </c>
      <c r="G242" s="30">
        <f t="shared" si="11"/>
        <v>877.60579043995494</v>
      </c>
      <c r="H242" s="30">
        <f t="shared" si="8"/>
        <v>7176.8311600330744</v>
      </c>
      <c r="I242" s="30">
        <f t="shared" si="12"/>
        <v>699.16883996692559</v>
      </c>
    </row>
    <row r="243" spans="1:9" ht="15" customHeight="1" x14ac:dyDescent="0.25">
      <c r="A243" s="27" t="s">
        <v>188</v>
      </c>
      <c r="B243" s="30">
        <f xml:space="preserve"> 7534</f>
        <v>7534</v>
      </c>
      <c r="C243" s="30">
        <v>0.86010781790386404</v>
      </c>
      <c r="D243" s="30">
        <f t="shared" si="7"/>
        <v>8759.3669574598498</v>
      </c>
      <c r="E243" s="30">
        <f t="shared" si="9"/>
        <v>9076.1092885200487</v>
      </c>
      <c r="F243" s="30">
        <f t="shared" si="10"/>
        <v>9124.260941800012</v>
      </c>
      <c r="G243" s="30">
        <f t="shared" si="11"/>
        <v>-364.89398434016221</v>
      </c>
      <c r="H243" s="30">
        <f t="shared" ref="H243:H270" si="13">F243*C243</f>
        <v>7847.8481686370633</v>
      </c>
      <c r="I243" s="30">
        <f t="shared" si="12"/>
        <v>-313.84816863706328</v>
      </c>
    </row>
    <row r="244" spans="1:9" ht="15" customHeight="1" x14ac:dyDescent="0.25">
      <c r="A244" s="27" t="s">
        <v>189</v>
      </c>
      <c r="B244" s="30">
        <f xml:space="preserve"> 7125</f>
        <v>7125</v>
      </c>
      <c r="C244" s="30">
        <v>0.89662146022058675</v>
      </c>
      <c r="D244" s="30">
        <f t="shared" si="7"/>
        <v>7946.4972857632783</v>
      </c>
      <c r="E244" s="30">
        <f t="shared" si="9"/>
        <v>8927.0449360452094</v>
      </c>
      <c r="F244" s="30">
        <f t="shared" si="10"/>
        <v>9076.1092885200487</v>
      </c>
      <c r="G244" s="30">
        <f t="shared" si="11"/>
        <v>-1129.6120027567704</v>
      </c>
      <c r="H244" s="30">
        <f t="shared" si="13"/>
        <v>8137.8343633944769</v>
      </c>
      <c r="I244" s="30">
        <f t="shared" si="12"/>
        <v>-1012.8343633944769</v>
      </c>
    </row>
    <row r="245" spans="1:9" ht="15" customHeight="1" x14ac:dyDescent="0.25">
      <c r="A245" s="27" t="s">
        <v>190</v>
      </c>
      <c r="B245" s="30">
        <f xml:space="preserve"> 8743</f>
        <v>8743</v>
      </c>
      <c r="C245" s="30">
        <v>0.96082308230047397</v>
      </c>
      <c r="D245" s="30">
        <f t="shared" si="7"/>
        <v>9099.4899696485845</v>
      </c>
      <c r="E245" s="30">
        <f t="shared" si="9"/>
        <v>8949.8008975690391</v>
      </c>
      <c r="F245" s="30">
        <f t="shared" si="10"/>
        <v>8927.0449360452094</v>
      </c>
      <c r="G245" s="30">
        <f t="shared" si="11"/>
        <v>172.44503360337512</v>
      </c>
      <c r="H245" s="30">
        <f t="shared" si="13"/>
        <v>8577.3108312857948</v>
      </c>
      <c r="I245" s="30">
        <f t="shared" si="12"/>
        <v>165.68916871420515</v>
      </c>
    </row>
    <row r="246" spans="1:9" ht="15" customHeight="1" x14ac:dyDescent="0.25">
      <c r="A246" s="27" t="s">
        <v>191</v>
      </c>
      <c r="B246" s="30">
        <f xml:space="preserve"> 9070</f>
        <v>9070</v>
      </c>
      <c r="C246" s="30">
        <v>1.0057061731177082</v>
      </c>
      <c r="D246" s="30">
        <f t="shared" si="7"/>
        <v>9018.5386571535382</v>
      </c>
      <c r="E246" s="30">
        <f t="shared" si="9"/>
        <v>8958.8715781195551</v>
      </c>
      <c r="F246" s="30">
        <f t="shared" si="10"/>
        <v>8949.8008975690391</v>
      </c>
      <c r="G246" s="30">
        <f t="shared" si="11"/>
        <v>68.737759584499145</v>
      </c>
      <c r="H246" s="30">
        <f t="shared" si="13"/>
        <v>9000.8700108595876</v>
      </c>
      <c r="I246" s="30">
        <f t="shared" si="12"/>
        <v>69.129989140412363</v>
      </c>
    </row>
    <row r="247" spans="1:9" ht="15" customHeight="1" x14ac:dyDescent="0.25">
      <c r="A247" s="27" t="s">
        <v>192</v>
      </c>
      <c r="B247" s="30">
        <f xml:space="preserve"> 9132</f>
        <v>9132</v>
      </c>
      <c r="C247" s="30">
        <v>1.083937309437295</v>
      </c>
      <c r="D247" s="30">
        <f t="shared" si="7"/>
        <v>8424.8414742183759</v>
      </c>
      <c r="E247" s="30">
        <f t="shared" si="9"/>
        <v>8888.4006098173159</v>
      </c>
      <c r="F247" s="30">
        <f t="shared" si="10"/>
        <v>8958.8715781195551</v>
      </c>
      <c r="G247" s="30">
        <f t="shared" si="11"/>
        <v>-534.03010390117925</v>
      </c>
      <c r="H247" s="30">
        <f t="shared" si="13"/>
        <v>9710.8551539811633</v>
      </c>
      <c r="I247" s="30">
        <f t="shared" si="12"/>
        <v>-578.85515398116331</v>
      </c>
    </row>
    <row r="248" spans="1:9" ht="15" customHeight="1" x14ac:dyDescent="0.25">
      <c r="A248" s="27" t="s">
        <v>193</v>
      </c>
      <c r="B248" s="30">
        <f xml:space="preserve"> 10237</f>
        <v>10237</v>
      </c>
      <c r="C248" s="30">
        <v>1.1499841763423702</v>
      </c>
      <c r="D248" s="30">
        <f t="shared" si="7"/>
        <v>8901.8616174004364</v>
      </c>
      <c r="E248" s="30">
        <f t="shared" si="9"/>
        <v>8890.1769333462271</v>
      </c>
      <c r="F248" s="30">
        <f t="shared" si="10"/>
        <v>8888.4006098173159</v>
      </c>
      <c r="G248" s="30">
        <f t="shared" si="11"/>
        <v>13.46100758312059</v>
      </c>
      <c r="H248" s="30">
        <f t="shared" si="13"/>
        <v>10221.520054281787</v>
      </c>
      <c r="I248" s="30">
        <f t="shared" si="12"/>
        <v>15.479945718212548</v>
      </c>
    </row>
    <row r="249" spans="1:9" ht="15" customHeight="1" x14ac:dyDescent="0.25">
      <c r="A249" s="27" t="s">
        <v>194</v>
      </c>
      <c r="B249" s="30">
        <f xml:space="preserve"> 9414</f>
        <v>9414</v>
      </c>
      <c r="C249" s="30">
        <v>1.1534390964451762</v>
      </c>
      <c r="D249" s="30">
        <f t="shared" si="7"/>
        <v>8161.679302369178</v>
      </c>
      <c r="E249" s="30">
        <f t="shared" si="9"/>
        <v>8794.0439006092947</v>
      </c>
      <c r="F249" s="30">
        <f t="shared" si="10"/>
        <v>8890.1769333462271</v>
      </c>
      <c r="G249" s="30">
        <f t="shared" si="11"/>
        <v>-728.49763097704908</v>
      </c>
      <c r="H249" s="30">
        <f t="shared" si="13"/>
        <v>10254.277649236619</v>
      </c>
      <c r="I249" s="30">
        <f t="shared" si="12"/>
        <v>-840.27764923661925</v>
      </c>
    </row>
    <row r="250" spans="1:9" ht="15" customHeight="1" x14ac:dyDescent="0.25">
      <c r="A250" s="27" t="s">
        <v>195</v>
      </c>
      <c r="B250" s="30">
        <f xml:space="preserve"> 9033</f>
        <v>9033</v>
      </c>
      <c r="C250" s="30">
        <v>1.1204231588868279</v>
      </c>
      <c r="D250" s="30">
        <f t="shared" si="7"/>
        <v>8062.1325330106001</v>
      </c>
      <c r="E250" s="30">
        <f t="shared" si="9"/>
        <v>8697.4603889134069</v>
      </c>
      <c r="F250" s="30">
        <f t="shared" si="10"/>
        <v>8794.0439006092947</v>
      </c>
      <c r="G250" s="30">
        <f t="shared" si="11"/>
        <v>-731.9113675986946</v>
      </c>
      <c r="H250" s="30">
        <f t="shared" si="13"/>
        <v>9853.0504465101076</v>
      </c>
      <c r="I250" s="30">
        <f t="shared" si="12"/>
        <v>-820.05044651010758</v>
      </c>
    </row>
    <row r="251" spans="1:9" ht="15" customHeight="1" x14ac:dyDescent="0.25">
      <c r="A251" s="27" t="s">
        <v>196</v>
      </c>
      <c r="B251" s="30">
        <f xml:space="preserve"> 8375</f>
        <v>8375</v>
      </c>
      <c r="C251" s="30">
        <v>1.0701050497972113</v>
      </c>
      <c r="D251" s="30">
        <f t="shared" si="7"/>
        <v>7826.3344347240409</v>
      </c>
      <c r="E251" s="30">
        <f t="shared" si="9"/>
        <v>8582.5060276208897</v>
      </c>
      <c r="F251" s="30">
        <f t="shared" si="10"/>
        <v>8697.4603889134069</v>
      </c>
      <c r="G251" s="30">
        <f t="shared" si="11"/>
        <v>-871.12595418936598</v>
      </c>
      <c r="H251" s="30">
        <f t="shared" si="13"/>
        <v>9307.1962825874543</v>
      </c>
      <c r="I251" s="30">
        <f t="shared" si="12"/>
        <v>-932.19628258745433</v>
      </c>
    </row>
    <row r="252" spans="1:9" ht="15" customHeight="1" x14ac:dyDescent="0.25">
      <c r="A252" s="27" t="s">
        <v>197</v>
      </c>
      <c r="B252" s="30">
        <f xml:space="preserve"> 8906</f>
        <v>8906</v>
      </c>
      <c r="C252" s="30">
        <v>0.97993531184881255</v>
      </c>
      <c r="D252" s="30">
        <f t="shared" si="7"/>
        <v>9088.3550090641547</v>
      </c>
      <c r="E252" s="30">
        <f t="shared" si="9"/>
        <v>8649.2581962282329</v>
      </c>
      <c r="F252" s="30">
        <f t="shared" si="10"/>
        <v>8582.5060276208897</v>
      </c>
      <c r="G252" s="30">
        <f t="shared" si="11"/>
        <v>505.84898144326507</v>
      </c>
      <c r="H252" s="30">
        <f t="shared" si="13"/>
        <v>8410.3007206209895</v>
      </c>
      <c r="I252" s="30">
        <f t="shared" si="12"/>
        <v>495.69927937901048</v>
      </c>
    </row>
    <row r="253" spans="1:9" ht="15" customHeight="1" x14ac:dyDescent="0.25">
      <c r="A253" s="27" t="s">
        <v>198</v>
      </c>
      <c r="B253" s="30">
        <f xml:space="preserve"> 7122</f>
        <v>7122</v>
      </c>
      <c r="C253" s="30">
        <v>0.92224046659864112</v>
      </c>
      <c r="D253" s="30">
        <f t="shared" si="7"/>
        <v>7722.4978277812797</v>
      </c>
      <c r="E253" s="30">
        <f t="shared" si="9"/>
        <v>8526.962280564494</v>
      </c>
      <c r="F253" s="30">
        <f t="shared" si="10"/>
        <v>8649.2581962282329</v>
      </c>
      <c r="G253" s="30">
        <f t="shared" si="11"/>
        <v>-926.76036844695318</v>
      </c>
      <c r="H253" s="30">
        <f t="shared" si="13"/>
        <v>7976.6959146216468</v>
      </c>
      <c r="I253" s="30">
        <f t="shared" si="12"/>
        <v>-854.69591462164681</v>
      </c>
    </row>
    <row r="254" spans="1:9" ht="15" customHeight="1" x14ac:dyDescent="0.25">
      <c r="A254" s="27" t="s">
        <v>199</v>
      </c>
      <c r="B254" s="30">
        <f xml:space="preserve"> 7193</f>
        <v>7193</v>
      </c>
      <c r="C254" s="30">
        <v>0.79667756022487357</v>
      </c>
      <c r="D254" s="30">
        <f t="shared" si="7"/>
        <v>9028.7468345031248</v>
      </c>
      <c r="E254" s="30">
        <f t="shared" si="9"/>
        <v>8593.1781046104461</v>
      </c>
      <c r="F254" s="30">
        <f t="shared" si="10"/>
        <v>8526.962280564494</v>
      </c>
      <c r="G254" s="30">
        <f t="shared" si="11"/>
        <v>501.78455393863078</v>
      </c>
      <c r="H254" s="30">
        <f t="shared" si="13"/>
        <v>6793.2395058096454</v>
      </c>
      <c r="I254" s="30">
        <f t="shared" si="12"/>
        <v>399.76049419035462</v>
      </c>
    </row>
    <row r="255" spans="1:9" ht="15" customHeight="1" x14ac:dyDescent="0.25">
      <c r="A255" s="27" t="s">
        <v>200</v>
      </c>
      <c r="B255" s="30">
        <f xml:space="preserve"> 7619</f>
        <v>7619</v>
      </c>
      <c r="C255" s="30">
        <v>0.86010781790386404</v>
      </c>
      <c r="D255" s="30">
        <f t="shared" si="7"/>
        <v>8858.1917771285625</v>
      </c>
      <c r="E255" s="30">
        <f t="shared" si="9"/>
        <v>8628.1494853982604</v>
      </c>
      <c r="F255" s="30">
        <f t="shared" si="10"/>
        <v>8593.1781046104461</v>
      </c>
      <c r="G255" s="30">
        <f t="shared" si="11"/>
        <v>265.01367251811644</v>
      </c>
      <c r="H255" s="30">
        <f t="shared" si="13"/>
        <v>7391.0596684157526</v>
      </c>
      <c r="I255" s="30">
        <f t="shared" si="12"/>
        <v>227.94033158424736</v>
      </c>
    </row>
    <row r="256" spans="1:9" ht="15" customHeight="1" x14ac:dyDescent="0.25">
      <c r="A256" s="27" t="s">
        <v>201</v>
      </c>
      <c r="B256" s="30">
        <f xml:space="preserve"> 7793</f>
        <v>7793</v>
      </c>
      <c r="C256" s="30">
        <v>0.89662146022058675</v>
      </c>
      <c r="D256" s="30">
        <f t="shared" si="7"/>
        <v>8691.516259361857</v>
      </c>
      <c r="E256" s="30">
        <f t="shared" si="9"/>
        <v>8636.5114071078842</v>
      </c>
      <c r="F256" s="30">
        <f t="shared" si="10"/>
        <v>8628.1494853982604</v>
      </c>
      <c r="G256" s="30">
        <f t="shared" si="11"/>
        <v>63.366773963596643</v>
      </c>
      <c r="H256" s="30">
        <f t="shared" si="13"/>
        <v>7736.183990599292</v>
      </c>
      <c r="I256" s="30">
        <f t="shared" si="12"/>
        <v>56.816009400708026</v>
      </c>
    </row>
    <row r="257" spans="1:9" ht="15" customHeight="1" x14ac:dyDescent="0.25">
      <c r="A257" s="27" t="s">
        <v>202</v>
      </c>
      <c r="B257" s="30">
        <f xml:space="preserve"> 7434</f>
        <v>7434</v>
      </c>
      <c r="C257" s="30">
        <v>0.96082308230047397</v>
      </c>
      <c r="D257" s="30">
        <f t="shared" si="7"/>
        <v>7737.1163713104861</v>
      </c>
      <c r="E257" s="30">
        <f t="shared" si="9"/>
        <v>8517.8266389724195</v>
      </c>
      <c r="F257" s="30">
        <f t="shared" si="10"/>
        <v>8636.5114071078842</v>
      </c>
      <c r="G257" s="30">
        <f t="shared" si="11"/>
        <v>-899.39503579739812</v>
      </c>
      <c r="H257" s="30">
        <f t="shared" si="13"/>
        <v>8298.1595105006018</v>
      </c>
      <c r="I257" s="30">
        <f t="shared" si="12"/>
        <v>-864.15951050060175</v>
      </c>
    </row>
    <row r="258" spans="1:9" ht="15" customHeight="1" x14ac:dyDescent="0.25">
      <c r="A258" s="27" t="s">
        <v>203</v>
      </c>
      <c r="B258" s="30">
        <f xml:space="preserve"> 10299</f>
        <v>10299</v>
      </c>
      <c r="C258" s="30">
        <v>1.0057061731177082</v>
      </c>
      <c r="D258" s="30">
        <f t="shared" si="7"/>
        <v>10240.565560090881</v>
      </c>
      <c r="E258" s="30">
        <f t="shared" si="9"/>
        <v>8745.1604147582821</v>
      </c>
      <c r="F258" s="30">
        <f t="shared" si="10"/>
        <v>8517.8266389724195</v>
      </c>
      <c r="G258" s="30">
        <f t="shared" si="11"/>
        <v>1722.7389211184618</v>
      </c>
      <c r="H258" s="30">
        <f t="shared" si="13"/>
        <v>8566.4308323610221</v>
      </c>
      <c r="I258" s="30">
        <f t="shared" si="12"/>
        <v>1732.5691676389779</v>
      </c>
    </row>
    <row r="259" spans="1:9" ht="15" customHeight="1" x14ac:dyDescent="0.25">
      <c r="A259" s="27" t="s">
        <v>204</v>
      </c>
      <c r="B259" s="30">
        <f xml:space="preserve"> 9082</f>
        <v>9082</v>
      </c>
      <c r="C259" s="30">
        <v>1.083937309437295</v>
      </c>
      <c r="D259" s="30">
        <f t="shared" si="7"/>
        <v>8378.7133452530979</v>
      </c>
      <c r="E259" s="30">
        <f t="shared" si="9"/>
        <v>8696.8038153252164</v>
      </c>
      <c r="F259" s="30">
        <f t="shared" si="10"/>
        <v>8745.1604147582821</v>
      </c>
      <c r="G259" s="30">
        <f t="shared" si="11"/>
        <v>-366.44706950518412</v>
      </c>
      <c r="H259" s="30">
        <f t="shared" si="13"/>
        <v>9479.2056505706314</v>
      </c>
      <c r="I259" s="30">
        <f t="shared" si="12"/>
        <v>-397.20565057063141</v>
      </c>
    </row>
    <row r="260" spans="1:9" ht="15" customHeight="1" x14ac:dyDescent="0.25">
      <c r="A260" s="27" t="s">
        <v>205</v>
      </c>
      <c r="B260" s="30">
        <f xml:space="preserve"> 9805</f>
        <v>9805</v>
      </c>
      <c r="C260" s="30">
        <v>1.1499841763423702</v>
      </c>
      <c r="D260" s="30">
        <f t="shared" si="7"/>
        <v>8526.204274554193</v>
      </c>
      <c r="E260" s="30">
        <f t="shared" si="9"/>
        <v>8674.2913862650821</v>
      </c>
      <c r="F260" s="30">
        <f t="shared" si="10"/>
        <v>8696.8038153252164</v>
      </c>
      <c r="G260" s="30">
        <f t="shared" si="11"/>
        <v>-170.59954077102338</v>
      </c>
      <c r="H260" s="30">
        <f t="shared" si="13"/>
        <v>10001.186772377951</v>
      </c>
      <c r="I260" s="30">
        <f t="shared" si="12"/>
        <v>-196.18677237795055</v>
      </c>
    </row>
    <row r="261" spans="1:9" ht="15" customHeight="1" x14ac:dyDescent="0.25">
      <c r="A261" s="27" t="s">
        <v>206</v>
      </c>
      <c r="B261" s="30">
        <f xml:space="preserve"> 10482</f>
        <v>10482</v>
      </c>
      <c r="C261" s="30">
        <v>1.1534390964451762</v>
      </c>
      <c r="D261" s="30">
        <f t="shared" si="7"/>
        <v>9087.6059536258472</v>
      </c>
      <c r="E261" s="30">
        <f t="shared" si="9"/>
        <v>8728.8326519401053</v>
      </c>
      <c r="F261" s="30">
        <f t="shared" si="10"/>
        <v>8674.2913862650821</v>
      </c>
      <c r="G261" s="30">
        <f t="shared" si="11"/>
        <v>413.31456736076507</v>
      </c>
      <c r="H261" s="30">
        <f t="shared" si="13"/>
        <v>10005.266818875771</v>
      </c>
      <c r="I261" s="30">
        <f t="shared" si="12"/>
        <v>476.7331811242293</v>
      </c>
    </row>
    <row r="262" spans="1:9" ht="15" customHeight="1" x14ac:dyDescent="0.25">
      <c r="A262" s="40" t="s">
        <v>207</v>
      </c>
      <c r="B262" s="41">
        <f xml:space="preserve"> 10858</f>
        <v>10858</v>
      </c>
      <c r="C262" s="41">
        <v>1.1204231588868279</v>
      </c>
      <c r="D262" s="41">
        <f t="shared" si="7"/>
        <v>9690.9814063355589</v>
      </c>
      <c r="E262" s="41">
        <f t="shared" si="9"/>
        <v>8855.7984425907143</v>
      </c>
      <c r="F262" s="41">
        <f t="shared" si="10"/>
        <v>8728.8326519401053</v>
      </c>
      <c r="G262" s="41">
        <f t="shared" si="11"/>
        <v>962.14875439545358</v>
      </c>
      <c r="H262" s="41">
        <f t="shared" si="13"/>
        <v>9779.9862532812203</v>
      </c>
      <c r="I262" s="41">
        <f t="shared" si="12"/>
        <v>1078.0137467187797</v>
      </c>
    </row>
    <row r="263" spans="1:9" ht="15" customHeight="1" x14ac:dyDescent="0.25">
      <c r="A263" s="27" t="s">
        <v>208</v>
      </c>
      <c r="B263" s="30"/>
      <c r="C263" s="30">
        <v>1.0701050497972113</v>
      </c>
      <c r="D263" s="30"/>
      <c r="E263" s="30"/>
      <c r="F263" s="30">
        <f>E262</f>
        <v>8855.7984425907143</v>
      </c>
      <c r="G263" s="30"/>
      <c r="H263" s="30">
        <f t="shared" si="13"/>
        <v>9476.634633402602</v>
      </c>
      <c r="I263" s="30"/>
    </row>
    <row r="264" spans="1:9" ht="15" customHeight="1" x14ac:dyDescent="0.25">
      <c r="A264" s="27" t="s">
        <v>213</v>
      </c>
      <c r="B264" s="30"/>
      <c r="C264" s="30">
        <v>0.97993531184881255</v>
      </c>
      <c r="D264" s="30"/>
      <c r="E264" s="30"/>
      <c r="F264" s="30">
        <f>E262</f>
        <v>8855.7984425907143</v>
      </c>
      <c r="G264" s="30"/>
      <c r="H264" s="30">
        <f t="shared" si="13"/>
        <v>8678.10960851036</v>
      </c>
      <c r="I264" s="30"/>
    </row>
    <row r="265" spans="1:9" ht="15" customHeight="1" x14ac:dyDescent="0.25">
      <c r="A265" s="27" t="s">
        <v>214</v>
      </c>
      <c r="B265" s="30"/>
      <c r="C265" s="30">
        <v>0.92224046659864112</v>
      </c>
      <c r="D265" s="30"/>
      <c r="E265" s="30"/>
      <c r="F265" s="30">
        <f>E262</f>
        <v>8855.7984425907143</v>
      </c>
      <c r="G265" s="30"/>
      <c r="H265" s="30">
        <f t="shared" si="13"/>
        <v>8167.1756877983798</v>
      </c>
      <c r="I265" s="30"/>
    </row>
    <row r="266" spans="1:9" ht="15" customHeight="1" x14ac:dyDescent="0.25">
      <c r="A266" s="27" t="s">
        <v>215</v>
      </c>
      <c r="B266" s="30"/>
      <c r="C266" s="30">
        <v>0.79667756022487357</v>
      </c>
      <c r="D266" s="30"/>
      <c r="E266" s="30"/>
      <c r="F266" s="30">
        <f>E262</f>
        <v>8855.7984425907143</v>
      </c>
      <c r="G266" s="30"/>
      <c r="H266" s="30">
        <f t="shared" si="13"/>
        <v>7055.2158970864057</v>
      </c>
      <c r="I266" s="30"/>
    </row>
    <row r="267" spans="1:9" ht="15" customHeight="1" x14ac:dyDescent="0.25">
      <c r="A267" s="27" t="s">
        <v>216</v>
      </c>
      <c r="B267" s="30"/>
      <c r="C267" s="30">
        <v>0.86010781790386404</v>
      </c>
      <c r="D267" s="30"/>
      <c r="E267" s="30"/>
      <c r="F267" s="30">
        <f>E262</f>
        <v>8855.7984425907143</v>
      </c>
      <c r="G267" s="30"/>
      <c r="H267" s="30">
        <f t="shared" si="13"/>
        <v>7616.9414742531371</v>
      </c>
      <c r="I267" s="30"/>
    </row>
    <row r="268" spans="1:9" ht="15" customHeight="1" x14ac:dyDescent="0.25">
      <c r="A268" s="27" t="s">
        <v>217</v>
      </c>
      <c r="B268" s="30"/>
      <c r="C268" s="30">
        <v>0.89662146022058675</v>
      </c>
      <c r="D268" s="30"/>
      <c r="E268" s="30"/>
      <c r="F268" s="30">
        <f>E262</f>
        <v>8855.7984425907143</v>
      </c>
      <c r="G268" s="30"/>
      <c r="H268" s="30">
        <f t="shared" si="13"/>
        <v>7940.2989310148841</v>
      </c>
      <c r="I268" s="30"/>
    </row>
    <row r="269" spans="1:9" ht="15" customHeight="1" x14ac:dyDescent="0.25">
      <c r="A269" s="27" t="s">
        <v>218</v>
      </c>
      <c r="B269" s="30"/>
      <c r="C269" s="30">
        <v>0.96082308230047397</v>
      </c>
      <c r="D269" s="30"/>
      <c r="E269" s="30"/>
      <c r="F269" s="30">
        <f>E262</f>
        <v>8855.7984425907143</v>
      </c>
      <c r="G269" s="30"/>
      <c r="H269" s="30">
        <f t="shared" si="13"/>
        <v>8508.8555558417465</v>
      </c>
      <c r="I269" s="30"/>
    </row>
    <row r="270" spans="1:9" ht="15" customHeight="1" x14ac:dyDescent="0.25">
      <c r="A270" s="27" t="s">
        <v>219</v>
      </c>
      <c r="B270" s="30"/>
      <c r="C270" s="30">
        <v>1.0057061731177082</v>
      </c>
      <c r="D270" s="30"/>
      <c r="E270" s="30"/>
      <c r="F270" s="30">
        <f>E262</f>
        <v>8855.7984425907143</v>
      </c>
      <c r="G270" s="30"/>
      <c r="H270" s="30">
        <f t="shared" si="13"/>
        <v>8906.3311615996681</v>
      </c>
      <c r="I270" s="30"/>
    </row>
  </sheetData>
  <pageMargins left="0.7" right="0.7" top="0.75" bottom="0.75" header="0.3" footer="0.3"/>
  <pageSetup paperSize="9" orientation="portrait" r:id="rId1"/>
  <drawing r:id="rId2"/>
  <legacyDrawing r:id="rId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71"/>
  <sheetViews>
    <sheetView showGridLines="0" workbookViewId="0">
      <selection activeCell="H30" sqref="H30"/>
    </sheetView>
  </sheetViews>
  <sheetFormatPr defaultColWidth="12.7109375" defaultRowHeight="15" x14ac:dyDescent="0.25"/>
  <cols>
    <col min="1" max="1" width="34.140625" bestFit="1" customWidth="1"/>
    <col min="2" max="10" width="12.7109375" customWidth="1"/>
  </cols>
  <sheetData>
    <row r="1" spans="1:3" s="16" customFormat="1" ht="18.75" x14ac:dyDescent="0.3">
      <c r="A1" s="22" t="s">
        <v>75</v>
      </c>
      <c r="B1" s="20"/>
    </row>
    <row r="2" spans="1:3" s="16" customFormat="1" ht="11.25" x14ac:dyDescent="0.2">
      <c r="A2" s="18" t="s">
        <v>76</v>
      </c>
      <c r="B2" s="20" t="s">
        <v>77</v>
      </c>
    </row>
    <row r="3" spans="1:3" s="16" customFormat="1" ht="11.25" x14ac:dyDescent="0.2">
      <c r="A3" s="18" t="s">
        <v>78</v>
      </c>
      <c r="B3" s="20" t="s">
        <v>79</v>
      </c>
    </row>
    <row r="4" spans="1:3" s="16" customFormat="1" ht="11.25" x14ac:dyDescent="0.2">
      <c r="A4" s="18" t="s">
        <v>80</v>
      </c>
      <c r="B4" s="23">
        <v>45067</v>
      </c>
    </row>
    <row r="5" spans="1:3" s="17" customFormat="1" ht="11.25" x14ac:dyDescent="0.2">
      <c r="A5" s="19" t="s">
        <v>81</v>
      </c>
      <c r="B5" s="21" t="s">
        <v>82</v>
      </c>
    </row>
    <row r="7" spans="1:3" ht="15" customHeight="1" x14ac:dyDescent="0.25">
      <c r="A7" s="28" t="s">
        <v>302</v>
      </c>
      <c r="B7" s="25"/>
    </row>
    <row r="8" spans="1:3" ht="15" customHeight="1" thickBot="1" x14ac:dyDescent="0.3">
      <c r="A8" s="39" t="s">
        <v>226</v>
      </c>
      <c r="B8" s="38"/>
    </row>
    <row r="9" spans="1:3" ht="15" customHeight="1" thickTop="1" x14ac:dyDescent="0.25">
      <c r="A9" s="27" t="s">
        <v>229</v>
      </c>
      <c r="B9" s="35">
        <v>0.139625</v>
      </c>
    </row>
    <row r="10" spans="1:3" ht="15" customHeight="1" x14ac:dyDescent="0.25">
      <c r="A10" s="27" t="s">
        <v>230</v>
      </c>
      <c r="B10" s="35">
        <v>0</v>
      </c>
    </row>
    <row r="11" spans="1:3" ht="15" customHeight="1" x14ac:dyDescent="0.25"/>
    <row r="12" spans="1:3" ht="15" customHeight="1" x14ac:dyDescent="0.25">
      <c r="A12" s="28"/>
      <c r="B12" s="25"/>
      <c r="C12" s="25" t="s">
        <v>220</v>
      </c>
    </row>
    <row r="13" spans="1:3" ht="15" customHeight="1" thickBot="1" x14ac:dyDescent="0.3">
      <c r="A13" s="39" t="s">
        <v>299</v>
      </c>
      <c r="B13" s="38"/>
      <c r="C13" s="38" t="s">
        <v>225</v>
      </c>
    </row>
    <row r="14" spans="1:3" ht="15" customHeight="1" thickTop="1" x14ac:dyDescent="0.25">
      <c r="A14" s="27" t="s">
        <v>88</v>
      </c>
      <c r="B14" s="30">
        <f>_xll.StatMeanAbs(J148:J263)</f>
        <v>577.69151119029959</v>
      </c>
      <c r="C14" s="30">
        <f>_xll.StatMeanAbs(H148:H263)</f>
        <v>578.20284954652527</v>
      </c>
    </row>
    <row r="15" spans="1:3" ht="15" customHeight="1" x14ac:dyDescent="0.25">
      <c r="A15" s="27" t="s">
        <v>89</v>
      </c>
      <c r="B15" s="30">
        <f>SQRT(SUMSQ(J148:J263)/_xll.StatCount(J148:J263))</f>
        <v>754.05771617535333</v>
      </c>
      <c r="C15" s="30">
        <f>SQRT(SUMSQ(H148:H263)/_xll.StatCount(H148:H263))</f>
        <v>755.43305448445813</v>
      </c>
    </row>
    <row r="16" spans="1:3" ht="15" customHeight="1" x14ac:dyDescent="0.25">
      <c r="A16" s="27" t="s">
        <v>90</v>
      </c>
      <c r="B16" s="33">
        <f>_xll.StatPairMeanAbsQuotient(J148:J263,B148:B263)</f>
        <v>6.5932079662675169E-2</v>
      </c>
      <c r="C16" s="33">
        <f>_xll.StatPairMeanAbsQuotient(H148:H263,D148:D263)</f>
        <v>6.5932079662675183E-2</v>
      </c>
    </row>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spans="1:10" ht="15" customHeight="1" x14ac:dyDescent="0.25">
      <c r="A145" s="28"/>
      <c r="B145" s="25"/>
      <c r="C145" s="25" t="s">
        <v>222</v>
      </c>
      <c r="D145" s="25" t="s">
        <v>220</v>
      </c>
      <c r="E145" s="25" t="s">
        <v>220</v>
      </c>
      <c r="F145" s="25" t="s">
        <v>220</v>
      </c>
      <c r="G145" s="25" t="s">
        <v>220</v>
      </c>
      <c r="H145" s="25" t="s">
        <v>220</v>
      </c>
      <c r="I145" s="25" t="s">
        <v>222</v>
      </c>
      <c r="J145" s="25" t="s">
        <v>222</v>
      </c>
    </row>
    <row r="146" spans="1:10" ht="15" customHeight="1" thickBot="1" x14ac:dyDescent="0.3">
      <c r="A146" s="39" t="s">
        <v>86</v>
      </c>
      <c r="B146" s="38" t="s">
        <v>3</v>
      </c>
      <c r="C146" s="38" t="s">
        <v>223</v>
      </c>
      <c r="D146" s="38" t="s">
        <v>3</v>
      </c>
      <c r="E146" s="38" t="s">
        <v>232</v>
      </c>
      <c r="F146" s="38" t="s">
        <v>212</v>
      </c>
      <c r="G146" s="38" t="s">
        <v>77</v>
      </c>
      <c r="H146" s="38" t="s">
        <v>224</v>
      </c>
      <c r="I146" s="38" t="s">
        <v>77</v>
      </c>
      <c r="J146" s="38" t="s">
        <v>224</v>
      </c>
    </row>
    <row r="147" spans="1:10" ht="15" customHeight="1" thickTop="1" x14ac:dyDescent="0.25">
      <c r="A147" s="27" t="s">
        <v>91</v>
      </c>
      <c r="B147" s="30">
        <f xml:space="preserve"> 8164</f>
        <v>8164</v>
      </c>
      <c r="C147" s="30">
        <v>0.79667756022487357</v>
      </c>
      <c r="D147" s="30">
        <f>B147/C147</f>
        <v>10247.558620448146</v>
      </c>
      <c r="E147" s="30">
        <f>D147</f>
        <v>10247.558620448146</v>
      </c>
      <c r="F147" s="30">
        <f>(D263-D147)/117</f>
        <v>-4.7570702060904884</v>
      </c>
      <c r="G147" s="30"/>
      <c r="H147" s="30"/>
      <c r="I147" s="30"/>
      <c r="J147" s="30"/>
    </row>
    <row r="148" spans="1:10" ht="15" customHeight="1" x14ac:dyDescent="0.25">
      <c r="A148" s="27" t="s">
        <v>92</v>
      </c>
      <c r="B148" s="30">
        <f xml:space="preserve"> 6751</f>
        <v>6751</v>
      </c>
      <c r="C148" s="30">
        <v>0.86010781790386404</v>
      </c>
      <c r="D148" s="30">
        <f t="shared" ref="D148:D211" si="0">B148/C148</f>
        <v>7849.0159715704067</v>
      </c>
      <c r="E148" s="30">
        <f>$B$9*D148+(1-$B$9)*(E147+F147)</f>
        <v>9908.5692388200259</v>
      </c>
      <c r="F148" s="30">
        <f>$B$10*(E148-E147)+(1-$B$10)*F147</f>
        <v>-4.7570702060904884</v>
      </c>
      <c r="G148" s="30">
        <f>E147+F147</f>
        <v>10242.801550242055</v>
      </c>
      <c r="H148" s="30">
        <f>D148-G148</f>
        <v>-2393.7855786716482</v>
      </c>
      <c r="I148" s="30">
        <f t="shared" ref="I148:I179" si="1">G148*C148</f>
        <v>8809.9136906010099</v>
      </c>
      <c r="J148" s="30">
        <f>B148-I148</f>
        <v>-2058.9136906010099</v>
      </c>
    </row>
    <row r="149" spans="1:10" ht="15" customHeight="1" x14ac:dyDescent="0.25">
      <c r="A149" s="27" t="s">
        <v>93</v>
      </c>
      <c r="B149" s="30">
        <f xml:space="preserve"> 8435</f>
        <v>8435</v>
      </c>
      <c r="C149" s="30">
        <v>0.89662146022058675</v>
      </c>
      <c r="D149" s="30">
        <f t="shared" si="0"/>
        <v>9407.5374884790526</v>
      </c>
      <c r="E149" s="30">
        <f t="shared" ref="E149:E212" si="2">$B$9*D149+(1-$B$9)*(E148+F148)</f>
        <v>9834.5198164001013</v>
      </c>
      <c r="F149" s="30">
        <f t="shared" ref="F149:F212" si="3">$B$10*(E149-E148)+(1-$B$10)*F148</f>
        <v>-4.7570702060904884</v>
      </c>
      <c r="G149" s="30">
        <f t="shared" ref="G149:G212" si="4">E148+F148</f>
        <v>9903.8121686139348</v>
      </c>
      <c r="H149" s="30">
        <f t="shared" ref="H149:H212" si="5">D149-G149</f>
        <v>-496.27468013488215</v>
      </c>
      <c r="I149" s="30">
        <f t="shared" si="1"/>
        <v>8879.9705283730418</v>
      </c>
      <c r="J149" s="30">
        <f t="shared" ref="J149:J212" si="6">B149-I149</f>
        <v>-444.97052837304182</v>
      </c>
    </row>
    <row r="150" spans="1:10" ht="15" customHeight="1" x14ac:dyDescent="0.25">
      <c r="A150" s="27" t="s">
        <v>94</v>
      </c>
      <c r="B150" s="30">
        <f xml:space="preserve"> 8628</f>
        <v>8628</v>
      </c>
      <c r="C150" s="30">
        <v>0.96082308230047397</v>
      </c>
      <c r="D150" s="30">
        <f t="shared" si="0"/>
        <v>8979.8009216662467</v>
      </c>
      <c r="E150" s="30">
        <f t="shared" si="2"/>
        <v>9711.0868264443197</v>
      </c>
      <c r="F150" s="30">
        <f t="shared" si="3"/>
        <v>-4.7570702060904884</v>
      </c>
      <c r="G150" s="30">
        <f t="shared" si="4"/>
        <v>9829.7627461940101</v>
      </c>
      <c r="H150" s="30">
        <f t="shared" si="5"/>
        <v>-849.96182452776338</v>
      </c>
      <c r="I150" s="30">
        <f t="shared" si="1"/>
        <v>9444.6629400804995</v>
      </c>
      <c r="J150" s="30">
        <f t="shared" si="6"/>
        <v>-816.66294008049954</v>
      </c>
    </row>
    <row r="151" spans="1:10" ht="15" customHeight="1" x14ac:dyDescent="0.25">
      <c r="A151" s="27" t="s">
        <v>95</v>
      </c>
      <c r="B151" s="30">
        <f xml:space="preserve"> 8327</f>
        <v>8327</v>
      </c>
      <c r="C151" s="30">
        <v>1.0057061731177082</v>
      </c>
      <c r="D151" s="30">
        <f t="shared" si="0"/>
        <v>8279.7542886568372</v>
      </c>
      <c r="E151" s="30">
        <f t="shared" si="2"/>
        <v>9507.1441565771765</v>
      </c>
      <c r="F151" s="30">
        <f t="shared" si="3"/>
        <v>-4.7570702060904884</v>
      </c>
      <c r="G151" s="30">
        <f t="shared" si="4"/>
        <v>9706.3297562382286</v>
      </c>
      <c r="H151" s="30">
        <f t="shared" si="5"/>
        <v>-1426.5754675813914</v>
      </c>
      <c r="I151" s="30">
        <f t="shared" si="1"/>
        <v>9761.7157541648867</v>
      </c>
      <c r="J151" s="30">
        <f t="shared" si="6"/>
        <v>-1434.7157541648867</v>
      </c>
    </row>
    <row r="152" spans="1:10" ht="15" customHeight="1" x14ac:dyDescent="0.25">
      <c r="A152" s="27" t="s">
        <v>96</v>
      </c>
      <c r="B152" s="30">
        <f xml:space="preserve"> 10286</f>
        <v>10286</v>
      </c>
      <c r="C152" s="30">
        <v>1.083937309437295</v>
      </c>
      <c r="D152" s="30">
        <f t="shared" si="0"/>
        <v>9489.4786907369908</v>
      </c>
      <c r="E152" s="30">
        <f t="shared" si="2"/>
        <v>9500.5847516306749</v>
      </c>
      <c r="F152" s="30">
        <f t="shared" si="3"/>
        <v>-4.7570702060904884</v>
      </c>
      <c r="G152" s="30">
        <f t="shared" si="4"/>
        <v>9502.3870863710854</v>
      </c>
      <c r="H152" s="30">
        <f t="shared" si="5"/>
        <v>-12.908395634094632</v>
      </c>
      <c r="I152" s="30">
        <f t="shared" si="1"/>
        <v>10299.991891632772</v>
      </c>
      <c r="J152" s="30">
        <f t="shared" si="6"/>
        <v>-13.991891632771512</v>
      </c>
    </row>
    <row r="153" spans="1:10" ht="15" customHeight="1" x14ac:dyDescent="0.25">
      <c r="A153" s="27" t="s">
        <v>97</v>
      </c>
      <c r="B153" s="30">
        <f xml:space="preserve"> 10368</f>
        <v>10368</v>
      </c>
      <c r="C153" s="30">
        <v>1.1499841763423702</v>
      </c>
      <c r="D153" s="30">
        <f t="shared" si="0"/>
        <v>9015.7762283098291</v>
      </c>
      <c r="E153" s="30">
        <f t="shared" si="2"/>
        <v>9428.8004972834351</v>
      </c>
      <c r="F153" s="30">
        <f t="shared" si="3"/>
        <v>-4.7570702060904884</v>
      </c>
      <c r="G153" s="30">
        <f t="shared" si="4"/>
        <v>9495.8276814245837</v>
      </c>
      <c r="H153" s="30">
        <f t="shared" si="5"/>
        <v>-480.05145311475462</v>
      </c>
      <c r="I153" s="30">
        <f t="shared" si="1"/>
        <v>10920.051574912128</v>
      </c>
      <c r="J153" s="30">
        <f t="shared" si="6"/>
        <v>-552.05157491212776</v>
      </c>
    </row>
    <row r="154" spans="1:10" ht="15" customHeight="1" x14ac:dyDescent="0.25">
      <c r="A154" s="27" t="s">
        <v>98</v>
      </c>
      <c r="B154" s="30">
        <f xml:space="preserve"> 11926</f>
        <v>11926</v>
      </c>
      <c r="C154" s="30">
        <v>1.1534390964451762</v>
      </c>
      <c r="D154" s="30">
        <f t="shared" si="0"/>
        <v>10339.514272366137</v>
      </c>
      <c r="E154" s="30">
        <f t="shared" si="2"/>
        <v>9551.8660438507923</v>
      </c>
      <c r="F154" s="30">
        <f t="shared" si="3"/>
        <v>-4.7570702060904884</v>
      </c>
      <c r="G154" s="30">
        <f t="shared" si="4"/>
        <v>9424.0434270773439</v>
      </c>
      <c r="H154" s="30">
        <f t="shared" si="5"/>
        <v>915.4708452887935</v>
      </c>
      <c r="I154" s="30">
        <f t="shared" si="1"/>
        <v>10870.060135388194</v>
      </c>
      <c r="J154" s="30">
        <f t="shared" si="6"/>
        <v>1055.9398646118061</v>
      </c>
    </row>
    <row r="155" spans="1:10" ht="15" customHeight="1" x14ac:dyDescent="0.25">
      <c r="A155" s="27" t="s">
        <v>99</v>
      </c>
      <c r="B155" s="30">
        <f xml:space="preserve"> 10230</f>
        <v>10230</v>
      </c>
      <c r="C155" s="30">
        <v>1.1204231588868279</v>
      </c>
      <c r="D155" s="30">
        <f t="shared" si="0"/>
        <v>9130.4788899256546</v>
      </c>
      <c r="E155" s="30">
        <f t="shared" si="2"/>
        <v>9488.9369982054286</v>
      </c>
      <c r="F155" s="30">
        <f t="shared" si="3"/>
        <v>-4.7570702060904884</v>
      </c>
      <c r="G155" s="30">
        <f t="shared" si="4"/>
        <v>9547.1089736447011</v>
      </c>
      <c r="H155" s="30">
        <f t="shared" si="5"/>
        <v>-416.63008371904652</v>
      </c>
      <c r="I155" s="30">
        <f t="shared" si="1"/>
        <v>10696.801994487778</v>
      </c>
      <c r="J155" s="30">
        <f t="shared" si="6"/>
        <v>-466.80199448777785</v>
      </c>
    </row>
    <row r="156" spans="1:10" ht="15" customHeight="1" x14ac:dyDescent="0.25">
      <c r="A156" s="27" t="s">
        <v>100</v>
      </c>
      <c r="B156" s="30">
        <f xml:space="preserve"> 8359</f>
        <v>8359</v>
      </c>
      <c r="C156" s="30">
        <v>1.0701050497972113</v>
      </c>
      <c r="D156" s="30">
        <f t="shared" si="0"/>
        <v>7811.3826316248669</v>
      </c>
      <c r="E156" s="30">
        <f t="shared" si="2"/>
        <v>9250.6156054930525</v>
      </c>
      <c r="F156" s="30">
        <f t="shared" si="3"/>
        <v>-4.7570702060904884</v>
      </c>
      <c r="G156" s="30">
        <f t="shared" si="4"/>
        <v>9484.1799279993375</v>
      </c>
      <c r="H156" s="30">
        <f t="shared" si="5"/>
        <v>-1672.7972963744705</v>
      </c>
      <c r="I156" s="30">
        <f t="shared" si="1"/>
        <v>10149.068834137443</v>
      </c>
      <c r="J156" s="30">
        <f t="shared" si="6"/>
        <v>-1790.0688341374425</v>
      </c>
    </row>
    <row r="157" spans="1:10" ht="15" customHeight="1" x14ac:dyDescent="0.25">
      <c r="A157" s="27" t="s">
        <v>101</v>
      </c>
      <c r="B157" s="30">
        <f xml:space="preserve"> 7776</f>
        <v>7776</v>
      </c>
      <c r="C157" s="30">
        <v>0.97993531184881255</v>
      </c>
      <c r="D157" s="30">
        <f t="shared" si="0"/>
        <v>7935.2176679185795</v>
      </c>
      <c r="E157" s="30">
        <f t="shared" si="2"/>
        <v>9062.8603041806509</v>
      </c>
      <c r="F157" s="30">
        <f t="shared" si="3"/>
        <v>-4.7570702060904884</v>
      </c>
      <c r="G157" s="30">
        <f t="shared" si="4"/>
        <v>9245.8585352869613</v>
      </c>
      <c r="H157" s="30">
        <f t="shared" si="5"/>
        <v>-1310.6408673683818</v>
      </c>
      <c r="I157" s="30">
        <f t="shared" si="1"/>
        <v>9060.3432670864331</v>
      </c>
      <c r="J157" s="30">
        <f t="shared" si="6"/>
        <v>-1284.3432670864331</v>
      </c>
    </row>
    <row r="158" spans="1:10" ht="15" customHeight="1" x14ac:dyDescent="0.25">
      <c r="A158" s="27" t="s">
        <v>102</v>
      </c>
      <c r="B158" s="30">
        <f xml:space="preserve"> 8243</f>
        <v>8243</v>
      </c>
      <c r="C158" s="30">
        <v>0.92224046659864112</v>
      </c>
      <c r="D158" s="30">
        <f t="shared" si="0"/>
        <v>8938.0159497895384</v>
      </c>
      <c r="E158" s="30">
        <f t="shared" si="2"/>
        <v>9041.3360469202271</v>
      </c>
      <c r="F158" s="30">
        <f t="shared" si="3"/>
        <v>-4.7570702060904884</v>
      </c>
      <c r="G158" s="30">
        <f t="shared" si="4"/>
        <v>9058.1032339745598</v>
      </c>
      <c r="H158" s="30">
        <f t="shared" si="5"/>
        <v>-120.08728418502142</v>
      </c>
      <c r="I158" s="30">
        <f t="shared" si="1"/>
        <v>8353.749352999359</v>
      </c>
      <c r="J158" s="30">
        <f t="shared" si="6"/>
        <v>-110.74935299935896</v>
      </c>
    </row>
    <row r="159" spans="1:10" ht="15" customHeight="1" x14ac:dyDescent="0.25">
      <c r="A159" s="27" t="s">
        <v>103</v>
      </c>
      <c r="B159" s="30">
        <f xml:space="preserve"> 7212</f>
        <v>7212</v>
      </c>
      <c r="C159" s="30">
        <v>0.79667756022487357</v>
      </c>
      <c r="D159" s="30">
        <f t="shared" si="0"/>
        <v>9052.5958807780535</v>
      </c>
      <c r="E159" s="30">
        <f t="shared" si="2"/>
        <v>9038.8153369440606</v>
      </c>
      <c r="F159" s="30">
        <f t="shared" si="3"/>
        <v>-4.7570702060904884</v>
      </c>
      <c r="G159" s="30">
        <f t="shared" si="4"/>
        <v>9036.5789767141359</v>
      </c>
      <c r="H159" s="30">
        <f t="shared" si="5"/>
        <v>16.016904063917536</v>
      </c>
      <c r="I159" s="30">
        <f t="shared" si="1"/>
        <v>7199.2396919480025</v>
      </c>
      <c r="J159" s="30">
        <f t="shared" si="6"/>
        <v>12.760308051997526</v>
      </c>
    </row>
    <row r="160" spans="1:10" ht="15" customHeight="1" x14ac:dyDescent="0.25">
      <c r="A160" s="27" t="s">
        <v>104</v>
      </c>
      <c r="B160" s="30">
        <f xml:space="preserve"> 7208</f>
        <v>7208</v>
      </c>
      <c r="C160" s="30">
        <v>0.86010781790386404</v>
      </c>
      <c r="D160" s="30">
        <f t="shared" si="0"/>
        <v>8380.344707906901</v>
      </c>
      <c r="E160" s="30">
        <f t="shared" si="2"/>
        <v>8942.7835110861815</v>
      </c>
      <c r="F160" s="30">
        <f t="shared" si="3"/>
        <v>-4.7570702060904884</v>
      </c>
      <c r="G160" s="30">
        <f t="shared" si="4"/>
        <v>9034.0582667379695</v>
      </c>
      <c r="H160" s="30">
        <f t="shared" si="5"/>
        <v>-653.71355883106844</v>
      </c>
      <c r="I160" s="30">
        <f t="shared" si="1"/>
        <v>7770.2641426203591</v>
      </c>
      <c r="J160" s="30">
        <f t="shared" si="6"/>
        <v>-562.26414262035905</v>
      </c>
    </row>
    <row r="161" spans="1:10" ht="15" customHeight="1" x14ac:dyDescent="0.25">
      <c r="A161" s="27" t="s">
        <v>105</v>
      </c>
      <c r="B161" s="30">
        <f xml:space="preserve"> 7257</f>
        <v>7257</v>
      </c>
      <c r="C161" s="30">
        <v>0.89662146022058675</v>
      </c>
      <c r="D161" s="30">
        <f t="shared" si="0"/>
        <v>8093.7166038995247</v>
      </c>
      <c r="E161" s="30">
        <f t="shared" si="2"/>
        <v>8820.1396798916794</v>
      </c>
      <c r="F161" s="30">
        <f t="shared" si="3"/>
        <v>-4.7570702060904884</v>
      </c>
      <c r="G161" s="30">
        <f t="shared" si="4"/>
        <v>8938.0264408800904</v>
      </c>
      <c r="H161" s="30">
        <f t="shared" si="5"/>
        <v>-844.30983698056571</v>
      </c>
      <c r="I161" s="30">
        <f t="shared" si="1"/>
        <v>8014.0263189121206</v>
      </c>
      <c r="J161" s="30">
        <f t="shared" si="6"/>
        <v>-757.02631891212059</v>
      </c>
    </row>
    <row r="162" spans="1:10" ht="15" customHeight="1" x14ac:dyDescent="0.25">
      <c r="A162" s="27" t="s">
        <v>106</v>
      </c>
      <c r="B162" s="30">
        <f xml:space="preserve"> 8513</f>
        <v>8513</v>
      </c>
      <c r="C162" s="30">
        <v>0.96082308230047397</v>
      </c>
      <c r="D162" s="30">
        <f t="shared" si="0"/>
        <v>8860.1118736839071</v>
      </c>
      <c r="E162" s="30">
        <f t="shared" si="2"/>
        <v>8821.627933171354</v>
      </c>
      <c r="F162" s="30">
        <f t="shared" si="3"/>
        <v>-4.7570702060904884</v>
      </c>
      <c r="G162" s="30">
        <f t="shared" si="4"/>
        <v>8815.3826096855882</v>
      </c>
      <c r="H162" s="30">
        <f t="shared" si="5"/>
        <v>44.729263998318856</v>
      </c>
      <c r="I162" s="30">
        <f t="shared" si="1"/>
        <v>8470.0230906961024</v>
      </c>
      <c r="J162" s="30">
        <f t="shared" si="6"/>
        <v>42.976909303897628</v>
      </c>
    </row>
    <row r="163" spans="1:10" ht="15" customHeight="1" x14ac:dyDescent="0.25">
      <c r="A163" s="27" t="s">
        <v>107</v>
      </c>
      <c r="B163" s="30">
        <f xml:space="preserve"> 8647</f>
        <v>8647</v>
      </c>
      <c r="C163" s="30">
        <v>1.0057061731177082</v>
      </c>
      <c r="D163" s="30">
        <f t="shared" si="0"/>
        <v>8597.9386734737218</v>
      </c>
      <c r="E163" s="30">
        <f t="shared" si="2"/>
        <v>8786.3024560075064</v>
      </c>
      <c r="F163" s="30">
        <f t="shared" si="3"/>
        <v>-4.7570702060904884</v>
      </c>
      <c r="G163" s="30">
        <f t="shared" si="4"/>
        <v>8816.8708629652629</v>
      </c>
      <c r="H163" s="30">
        <f t="shared" si="5"/>
        <v>-218.93218949154107</v>
      </c>
      <c r="I163" s="30">
        <f t="shared" si="1"/>
        <v>8867.1814544658191</v>
      </c>
      <c r="J163" s="30">
        <f t="shared" si="6"/>
        <v>-220.18145446581912</v>
      </c>
    </row>
    <row r="164" spans="1:10" ht="15" customHeight="1" x14ac:dyDescent="0.25">
      <c r="A164" s="27" t="s">
        <v>108</v>
      </c>
      <c r="B164" s="30">
        <f xml:space="preserve"> 8797</f>
        <v>8797</v>
      </c>
      <c r="C164" s="30">
        <v>1.083937309437295</v>
      </c>
      <c r="D164" s="30">
        <f t="shared" si="0"/>
        <v>8115.7830101510126</v>
      </c>
      <c r="E164" s="30">
        <f t="shared" si="2"/>
        <v>8688.5883141012273</v>
      </c>
      <c r="F164" s="30">
        <f t="shared" si="3"/>
        <v>-4.7570702060904884</v>
      </c>
      <c r="G164" s="30">
        <f t="shared" si="4"/>
        <v>8781.5453858014153</v>
      </c>
      <c r="H164" s="30">
        <f t="shared" si="5"/>
        <v>-665.76237565040265</v>
      </c>
      <c r="I164" s="30">
        <f t="shared" si="1"/>
        <v>9518.64467818708</v>
      </c>
      <c r="J164" s="30">
        <f t="shared" si="6"/>
        <v>-721.64467818707999</v>
      </c>
    </row>
    <row r="165" spans="1:10" ht="15" customHeight="1" x14ac:dyDescent="0.25">
      <c r="A165" s="27" t="s">
        <v>109</v>
      </c>
      <c r="B165" s="30">
        <f xml:space="preserve"> 10465</f>
        <v>10465</v>
      </c>
      <c r="C165" s="30">
        <v>1.1499841763423702</v>
      </c>
      <c r="D165" s="30">
        <f t="shared" si="0"/>
        <v>9100.1252150137316</v>
      </c>
      <c r="E165" s="30">
        <f t="shared" si="2"/>
        <v>8741.9562896125699</v>
      </c>
      <c r="F165" s="30">
        <f t="shared" si="3"/>
        <v>-4.7570702060904884</v>
      </c>
      <c r="G165" s="30">
        <f t="shared" si="4"/>
        <v>8683.8312438951361</v>
      </c>
      <c r="H165" s="30">
        <f t="shared" si="5"/>
        <v>416.29397111859544</v>
      </c>
      <c r="I165" s="30">
        <f t="shared" si="1"/>
        <v>9986.2685205068883</v>
      </c>
      <c r="J165" s="30">
        <f t="shared" si="6"/>
        <v>478.73147949311169</v>
      </c>
    </row>
    <row r="166" spans="1:10" ht="15" customHeight="1" x14ac:dyDescent="0.25">
      <c r="A166" s="27" t="s">
        <v>110</v>
      </c>
      <c r="B166" s="30">
        <f xml:space="preserve"> 11803</f>
        <v>11803</v>
      </c>
      <c r="C166" s="30">
        <v>1.1534390964451762</v>
      </c>
      <c r="D166" s="30">
        <f t="shared" si="0"/>
        <v>10232.876652418037</v>
      </c>
      <c r="E166" s="30">
        <f t="shared" si="2"/>
        <v>8946.0331809907184</v>
      </c>
      <c r="F166" s="30">
        <f t="shared" si="3"/>
        <v>-4.7570702060904884</v>
      </c>
      <c r="G166" s="30">
        <f t="shared" si="4"/>
        <v>8737.1992194064787</v>
      </c>
      <c r="H166" s="30">
        <f t="shared" si="5"/>
        <v>1495.6774330115586</v>
      </c>
      <c r="I166" s="30">
        <f t="shared" si="1"/>
        <v>10077.827173093707</v>
      </c>
      <c r="J166" s="30">
        <f t="shared" si="6"/>
        <v>1725.1728269062933</v>
      </c>
    </row>
    <row r="167" spans="1:10" ht="15" customHeight="1" x14ac:dyDescent="0.25">
      <c r="A167" s="27" t="s">
        <v>111</v>
      </c>
      <c r="B167" s="30">
        <f xml:space="preserve"> 10281</f>
        <v>10281</v>
      </c>
      <c r="C167" s="30">
        <v>1.1204231588868279</v>
      </c>
      <c r="D167" s="30">
        <f t="shared" si="0"/>
        <v>9175.9974063856953</v>
      </c>
      <c r="E167" s="30">
        <f t="shared" si="2"/>
        <v>8974.0490716829263</v>
      </c>
      <c r="F167" s="30">
        <f t="shared" si="3"/>
        <v>-4.7570702060904884</v>
      </c>
      <c r="G167" s="30">
        <f t="shared" si="4"/>
        <v>8941.2761107846272</v>
      </c>
      <c r="H167" s="30">
        <f t="shared" si="5"/>
        <v>234.72129560106805</v>
      </c>
      <c r="I167" s="30">
        <f t="shared" si="1"/>
        <v>10018.012824524643</v>
      </c>
      <c r="J167" s="30">
        <f t="shared" si="6"/>
        <v>262.98717547535671</v>
      </c>
    </row>
    <row r="168" spans="1:10" ht="15" customHeight="1" x14ac:dyDescent="0.25">
      <c r="A168" s="27" t="s">
        <v>112</v>
      </c>
      <c r="B168" s="30">
        <f xml:space="preserve"> 10386</f>
        <v>10386</v>
      </c>
      <c r="C168" s="30">
        <v>1.0701050497972113</v>
      </c>
      <c r="D168" s="30">
        <f t="shared" si="0"/>
        <v>9705.5891867515093</v>
      </c>
      <c r="E168" s="30">
        <f t="shared" si="2"/>
        <v>9072.097495970811</v>
      </c>
      <c r="F168" s="30">
        <f t="shared" si="3"/>
        <v>-4.7570702060904884</v>
      </c>
      <c r="G168" s="30">
        <f t="shared" si="4"/>
        <v>8969.2920014768351</v>
      </c>
      <c r="H168" s="30">
        <f t="shared" si="5"/>
        <v>736.29718527467412</v>
      </c>
      <c r="I168" s="30">
        <f t="shared" si="1"/>
        <v>9598.0846638860985</v>
      </c>
      <c r="J168" s="30">
        <f t="shared" si="6"/>
        <v>787.9153361139015</v>
      </c>
    </row>
    <row r="169" spans="1:10" ht="15" customHeight="1" x14ac:dyDescent="0.25">
      <c r="A169" s="27" t="s">
        <v>113</v>
      </c>
      <c r="B169" s="30">
        <f xml:space="preserve"> 8028</f>
        <v>8028</v>
      </c>
      <c r="C169" s="30">
        <v>0.97993531184881255</v>
      </c>
      <c r="D169" s="30">
        <f t="shared" si="0"/>
        <v>8192.3774997492746</v>
      </c>
      <c r="E169" s="30">
        <f t="shared" si="2"/>
        <v>8945.1737272198134</v>
      </c>
      <c r="F169" s="30">
        <f t="shared" si="3"/>
        <v>-4.7570702060904884</v>
      </c>
      <c r="G169" s="30">
        <f t="shared" si="4"/>
        <v>9067.3404257647198</v>
      </c>
      <c r="H169" s="30">
        <f t="shared" si="5"/>
        <v>-874.96292601544519</v>
      </c>
      <c r="I169" s="30">
        <f t="shared" si="1"/>
        <v>8885.4070677610962</v>
      </c>
      <c r="J169" s="30">
        <f t="shared" si="6"/>
        <v>-857.40706776109619</v>
      </c>
    </row>
    <row r="170" spans="1:10" ht="15" customHeight="1" x14ac:dyDescent="0.25">
      <c r="A170" s="27" t="s">
        <v>114</v>
      </c>
      <c r="B170" s="30">
        <f xml:space="preserve"> 7788</f>
        <v>7788</v>
      </c>
      <c r="C170" s="30">
        <v>0.92224046659864112</v>
      </c>
      <c r="D170" s="30">
        <f t="shared" si="0"/>
        <v>8444.6522160573732</v>
      </c>
      <c r="E170" s="30">
        <f t="shared" si="2"/>
        <v>8871.1955469451932</v>
      </c>
      <c r="F170" s="30">
        <f t="shared" si="3"/>
        <v>-4.7570702060904884</v>
      </c>
      <c r="G170" s="30">
        <f t="shared" si="4"/>
        <v>8940.4166570137222</v>
      </c>
      <c r="H170" s="30">
        <f t="shared" si="5"/>
        <v>-495.76444095634906</v>
      </c>
      <c r="I170" s="30">
        <f t="shared" si="1"/>
        <v>8245.2140293505981</v>
      </c>
      <c r="J170" s="30">
        <f t="shared" si="6"/>
        <v>-457.21402935059814</v>
      </c>
    </row>
    <row r="171" spans="1:10" ht="15" customHeight="1" x14ac:dyDescent="0.25">
      <c r="A171" s="27" t="s">
        <v>115</v>
      </c>
      <c r="B171" s="30">
        <f xml:space="preserve"> 7109</f>
        <v>7109</v>
      </c>
      <c r="C171" s="30">
        <v>0.79667756022487357</v>
      </c>
      <c r="D171" s="30">
        <f t="shared" si="0"/>
        <v>8923.3089457087044</v>
      </c>
      <c r="E171" s="30">
        <f t="shared" si="2"/>
        <v>8874.3790159689834</v>
      </c>
      <c r="F171" s="30">
        <f t="shared" si="3"/>
        <v>-4.7570702060904884</v>
      </c>
      <c r="G171" s="30">
        <f t="shared" si="4"/>
        <v>8866.438476739102</v>
      </c>
      <c r="H171" s="30">
        <f t="shared" si="5"/>
        <v>56.870468969602371</v>
      </c>
      <c r="I171" s="30">
        <f t="shared" si="1"/>
        <v>7063.6925735324521</v>
      </c>
      <c r="J171" s="30">
        <f t="shared" si="6"/>
        <v>45.307426467547884</v>
      </c>
    </row>
    <row r="172" spans="1:10" ht="15" customHeight="1" x14ac:dyDescent="0.25">
      <c r="A172" s="27" t="s">
        <v>116</v>
      </c>
      <c r="B172" s="30">
        <f xml:space="preserve"> 7597</f>
        <v>7597</v>
      </c>
      <c r="C172" s="30">
        <v>0.86010781790386404</v>
      </c>
      <c r="D172" s="30">
        <f t="shared" si="0"/>
        <v>8832.6135885084259</v>
      </c>
      <c r="E172" s="30">
        <f t="shared" si="2"/>
        <v>8864.4546538812374</v>
      </c>
      <c r="F172" s="30">
        <f t="shared" si="3"/>
        <v>-4.7570702060904884</v>
      </c>
      <c r="G172" s="30">
        <f t="shared" si="4"/>
        <v>8869.6219457628922</v>
      </c>
      <c r="H172" s="30">
        <f t="shared" si="5"/>
        <v>-37.008357254466318</v>
      </c>
      <c r="I172" s="30">
        <f t="shared" si="1"/>
        <v>7628.8311774023459</v>
      </c>
      <c r="J172" s="30">
        <f t="shared" si="6"/>
        <v>-31.831177402345929</v>
      </c>
    </row>
    <row r="173" spans="1:10" ht="15" customHeight="1" x14ac:dyDescent="0.25">
      <c r="A173" s="27" t="s">
        <v>117</v>
      </c>
      <c r="B173" s="30">
        <f xml:space="preserve"> 8260</f>
        <v>8260</v>
      </c>
      <c r="C173" s="30">
        <v>0.89662146022058675</v>
      </c>
      <c r="D173" s="30">
        <f t="shared" si="0"/>
        <v>9212.3603621620605</v>
      </c>
      <c r="E173" s="30">
        <f t="shared" si="2"/>
        <v>8908.9381241213814</v>
      </c>
      <c r="F173" s="30">
        <f t="shared" si="3"/>
        <v>-4.7570702060904884</v>
      </c>
      <c r="G173" s="30">
        <f t="shared" si="4"/>
        <v>8859.6975836751462</v>
      </c>
      <c r="H173" s="30">
        <f t="shared" si="5"/>
        <v>352.66277848691425</v>
      </c>
      <c r="I173" s="30">
        <f t="shared" si="1"/>
        <v>7943.7949845876137</v>
      </c>
      <c r="J173" s="30">
        <f t="shared" si="6"/>
        <v>316.20501541238627</v>
      </c>
    </row>
    <row r="174" spans="1:10" ht="15" customHeight="1" x14ac:dyDescent="0.25">
      <c r="A174" s="27" t="s">
        <v>118</v>
      </c>
      <c r="B174" s="30">
        <f xml:space="preserve"> 8672</f>
        <v>8672</v>
      </c>
      <c r="C174" s="30">
        <v>0.96082308230047397</v>
      </c>
      <c r="D174" s="30">
        <f t="shared" si="0"/>
        <v>9025.5949921986194</v>
      </c>
      <c r="E174" s="30">
        <f t="shared" si="2"/>
        <v>8921.1334750481001</v>
      </c>
      <c r="F174" s="30">
        <f t="shared" si="3"/>
        <v>-4.7570702060904884</v>
      </c>
      <c r="G174" s="30">
        <f t="shared" si="4"/>
        <v>8904.1810539152902</v>
      </c>
      <c r="H174" s="30">
        <f t="shared" si="5"/>
        <v>121.41393828332912</v>
      </c>
      <c r="I174" s="30">
        <f t="shared" si="1"/>
        <v>8555.3426855843718</v>
      </c>
      <c r="J174" s="30">
        <f t="shared" si="6"/>
        <v>116.65731441562821</v>
      </c>
    </row>
    <row r="175" spans="1:10" ht="15" customHeight="1" x14ac:dyDescent="0.25">
      <c r="A175" s="27" t="s">
        <v>119</v>
      </c>
      <c r="B175" s="30">
        <f xml:space="preserve"> 7380</f>
        <v>7380</v>
      </c>
      <c r="C175" s="30">
        <v>1.0057061731177082</v>
      </c>
      <c r="D175" s="30">
        <f t="shared" si="0"/>
        <v>7338.1273748393733</v>
      </c>
      <c r="E175" s="30">
        <f t="shared" si="2"/>
        <v>8696.0133840278904</v>
      </c>
      <c r="F175" s="30">
        <f t="shared" si="3"/>
        <v>-4.7570702060904884</v>
      </c>
      <c r="G175" s="30">
        <f t="shared" si="4"/>
        <v>8916.3764048420089</v>
      </c>
      <c r="H175" s="30">
        <f t="shared" si="5"/>
        <v>-1578.2490300026357</v>
      </c>
      <c r="I175" s="30">
        <f t="shared" si="1"/>
        <v>8967.2547921906862</v>
      </c>
      <c r="J175" s="30">
        <f t="shared" si="6"/>
        <v>-1587.2547921906862</v>
      </c>
    </row>
    <row r="176" spans="1:10" ht="15" customHeight="1" x14ac:dyDescent="0.25">
      <c r="A176" s="27" t="s">
        <v>120</v>
      </c>
      <c r="B176" s="30">
        <f xml:space="preserve"> 9645</f>
        <v>9645</v>
      </c>
      <c r="C176" s="30">
        <v>1.083937309437295</v>
      </c>
      <c r="D176" s="30">
        <f t="shared" si="0"/>
        <v>8898.1160774021282</v>
      </c>
      <c r="E176" s="30">
        <f t="shared" si="2"/>
        <v>8720.1391083117032</v>
      </c>
      <c r="F176" s="30">
        <f t="shared" si="3"/>
        <v>-4.7570702060904884</v>
      </c>
      <c r="G176" s="30">
        <f t="shared" si="4"/>
        <v>8691.2563138217993</v>
      </c>
      <c r="H176" s="30">
        <f t="shared" si="5"/>
        <v>206.85976358032894</v>
      </c>
      <c r="I176" s="30">
        <f t="shared" si="1"/>
        <v>9420.7769844339036</v>
      </c>
      <c r="J176" s="30">
        <f t="shared" si="6"/>
        <v>224.22301556609636</v>
      </c>
    </row>
    <row r="177" spans="1:10" ht="15" customHeight="1" x14ac:dyDescent="0.25">
      <c r="A177" s="27" t="s">
        <v>121</v>
      </c>
      <c r="B177" s="30">
        <f xml:space="preserve"> 10674</f>
        <v>10674</v>
      </c>
      <c r="C177" s="30">
        <v>1.1499841763423702</v>
      </c>
      <c r="D177" s="30">
        <f t="shared" si="0"/>
        <v>9281.8668461592515</v>
      </c>
      <c r="E177" s="30">
        <f t="shared" si="2"/>
        <v>8794.4774794301011</v>
      </c>
      <c r="F177" s="30">
        <f t="shared" si="3"/>
        <v>-4.7570702060904884</v>
      </c>
      <c r="G177" s="30">
        <f t="shared" si="4"/>
        <v>8715.3820381056121</v>
      </c>
      <c r="H177" s="30">
        <f t="shared" si="5"/>
        <v>566.48480805363943</v>
      </c>
      <c r="I177" s="30">
        <f t="shared" si="1"/>
        <v>10022.551434599969</v>
      </c>
      <c r="J177" s="30">
        <f t="shared" si="6"/>
        <v>651.44856540003093</v>
      </c>
    </row>
    <row r="178" spans="1:10" ht="15" customHeight="1" x14ac:dyDescent="0.25">
      <c r="A178" s="27" t="s">
        <v>122</v>
      </c>
      <c r="B178" s="30">
        <f xml:space="preserve"> 10131</f>
        <v>10131</v>
      </c>
      <c r="C178" s="30">
        <v>1.1534390964451762</v>
      </c>
      <c r="D178" s="30">
        <f t="shared" si="0"/>
        <v>8783.2985991398073</v>
      </c>
      <c r="E178" s="30">
        <f t="shared" si="2"/>
        <v>8788.8237639910039</v>
      </c>
      <c r="F178" s="30">
        <f t="shared" si="3"/>
        <v>-4.7570702060904884</v>
      </c>
      <c r="G178" s="30">
        <f t="shared" si="4"/>
        <v>8789.7204092240099</v>
      </c>
      <c r="H178" s="30">
        <f t="shared" si="5"/>
        <v>-6.4218100842026615</v>
      </c>
      <c r="I178" s="30">
        <f t="shared" si="1"/>
        <v>10138.407166821065</v>
      </c>
      <c r="J178" s="30">
        <f t="shared" si="6"/>
        <v>-7.4071668210654025</v>
      </c>
    </row>
    <row r="179" spans="1:10" ht="15" customHeight="1" x14ac:dyDescent="0.25">
      <c r="A179" s="27" t="s">
        <v>123</v>
      </c>
      <c r="B179" s="30">
        <f xml:space="preserve"> 9684</f>
        <v>9684</v>
      </c>
      <c r="C179" s="30">
        <v>1.1204231588868279</v>
      </c>
      <c r="D179" s="30">
        <f t="shared" si="0"/>
        <v>8643.1630078240505</v>
      </c>
      <c r="E179" s="30">
        <f t="shared" si="2"/>
        <v>8764.3930166326281</v>
      </c>
      <c r="F179" s="30">
        <f t="shared" si="3"/>
        <v>-4.7570702060904884</v>
      </c>
      <c r="G179" s="30">
        <f t="shared" si="4"/>
        <v>8784.0666937849128</v>
      </c>
      <c r="H179" s="30">
        <f t="shared" si="5"/>
        <v>-140.90368596086228</v>
      </c>
      <c r="I179" s="30">
        <f t="shared" si="1"/>
        <v>9841.8717529230653</v>
      </c>
      <c r="J179" s="30">
        <f t="shared" si="6"/>
        <v>-157.87175292306529</v>
      </c>
    </row>
    <row r="180" spans="1:10" ht="15" customHeight="1" x14ac:dyDescent="0.25">
      <c r="A180" s="27" t="s">
        <v>124</v>
      </c>
      <c r="B180" s="30">
        <f xml:space="preserve"> 9870</f>
        <v>9870</v>
      </c>
      <c r="C180" s="30">
        <v>1.0701050497972113</v>
      </c>
      <c r="D180" s="30">
        <f t="shared" si="0"/>
        <v>9223.393536803138</v>
      </c>
      <c r="E180" s="30">
        <f t="shared" si="2"/>
        <v>8824.3880999828689</v>
      </c>
      <c r="F180" s="30">
        <f t="shared" si="3"/>
        <v>-4.7570702060904884</v>
      </c>
      <c r="G180" s="30">
        <f t="shared" si="4"/>
        <v>8759.635946426537</v>
      </c>
      <c r="H180" s="30">
        <f t="shared" si="5"/>
        <v>463.757590376601</v>
      </c>
      <c r="I180" s="30">
        <f t="shared" ref="I180:I211" si="7">G180*C180</f>
        <v>9373.7306606562124</v>
      </c>
      <c r="J180" s="30">
        <f t="shared" si="6"/>
        <v>496.26933934378758</v>
      </c>
    </row>
    <row r="181" spans="1:10" ht="15" customHeight="1" x14ac:dyDescent="0.25">
      <c r="A181" s="27" t="s">
        <v>125</v>
      </c>
      <c r="B181" s="30">
        <f xml:space="preserve"> 8504</f>
        <v>8504</v>
      </c>
      <c r="C181" s="30">
        <v>0.97993531184881255</v>
      </c>
      <c r="D181" s="30">
        <f t="shared" si="0"/>
        <v>8678.1238487628088</v>
      </c>
      <c r="E181" s="30">
        <f t="shared" si="2"/>
        <v>8799.8730896277011</v>
      </c>
      <c r="F181" s="30">
        <f t="shared" si="3"/>
        <v>-4.7570702060904884</v>
      </c>
      <c r="G181" s="30">
        <f t="shared" si="4"/>
        <v>8819.6310297767777</v>
      </c>
      <c r="H181" s="30">
        <f t="shared" si="5"/>
        <v>-141.50718101396888</v>
      </c>
      <c r="I181" s="30">
        <f t="shared" si="7"/>
        <v>8642.6678835557705</v>
      </c>
      <c r="J181" s="30">
        <f t="shared" si="6"/>
        <v>-138.66788355577046</v>
      </c>
    </row>
    <row r="182" spans="1:10" ht="15" customHeight="1" x14ac:dyDescent="0.25">
      <c r="A182" s="27" t="s">
        <v>126</v>
      </c>
      <c r="B182" s="30">
        <f xml:space="preserve"> 8544</f>
        <v>8544</v>
      </c>
      <c r="C182" s="30">
        <v>0.92224046659864112</v>
      </c>
      <c r="D182" s="30">
        <f t="shared" si="0"/>
        <v>9264.3950351815856</v>
      </c>
      <c r="E182" s="30">
        <f t="shared" si="2"/>
        <v>8860.6391019970961</v>
      </c>
      <c r="F182" s="30">
        <f t="shared" si="3"/>
        <v>-4.7570702060904884</v>
      </c>
      <c r="G182" s="30">
        <f t="shared" si="4"/>
        <v>8795.11601942161</v>
      </c>
      <c r="H182" s="30">
        <f t="shared" si="5"/>
        <v>469.27901575997566</v>
      </c>
      <c r="I182" s="30">
        <f t="shared" si="7"/>
        <v>8111.2119015405688</v>
      </c>
      <c r="J182" s="30">
        <f t="shared" si="6"/>
        <v>432.78809845943124</v>
      </c>
    </row>
    <row r="183" spans="1:10" ht="15" customHeight="1" x14ac:dyDescent="0.25">
      <c r="A183" s="27" t="s">
        <v>127</v>
      </c>
      <c r="B183" s="30">
        <f xml:space="preserve"> 7496</f>
        <v>7496</v>
      </c>
      <c r="C183" s="30">
        <v>0.79667756022487357</v>
      </c>
      <c r="D183" s="30">
        <f t="shared" si="0"/>
        <v>9409.0763619401405</v>
      </c>
      <c r="E183" s="30">
        <f t="shared" si="2"/>
        <v>8933.1217901380769</v>
      </c>
      <c r="F183" s="30">
        <f t="shared" si="3"/>
        <v>-4.7570702060904884</v>
      </c>
      <c r="G183" s="30">
        <f t="shared" si="4"/>
        <v>8855.8820317910049</v>
      </c>
      <c r="H183" s="30">
        <f t="shared" si="5"/>
        <v>553.19433014913557</v>
      </c>
      <c r="I183" s="30">
        <f t="shared" si="7"/>
        <v>7055.282490726554</v>
      </c>
      <c r="J183" s="30">
        <f t="shared" si="6"/>
        <v>440.71750927344601</v>
      </c>
    </row>
    <row r="184" spans="1:10" ht="15" customHeight="1" x14ac:dyDescent="0.25">
      <c r="A184" s="27" t="s">
        <v>128</v>
      </c>
      <c r="B184" s="30">
        <f xml:space="preserve"> 7528</f>
        <v>7528</v>
      </c>
      <c r="C184" s="30">
        <v>0.86010781790386404</v>
      </c>
      <c r="D184" s="30">
        <f t="shared" si="0"/>
        <v>8752.3910878361767</v>
      </c>
      <c r="E184" s="30">
        <f t="shared" si="2"/>
        <v>8903.7944015506073</v>
      </c>
      <c r="F184" s="30">
        <f t="shared" si="3"/>
        <v>-4.7570702060904884</v>
      </c>
      <c r="G184" s="30">
        <f t="shared" si="4"/>
        <v>8928.3647199319857</v>
      </c>
      <c r="H184" s="30">
        <f t="shared" si="5"/>
        <v>-175.97363209580908</v>
      </c>
      <c r="I184" s="30">
        <f t="shared" si="7"/>
        <v>7679.3562967105445</v>
      </c>
      <c r="J184" s="30">
        <f t="shared" si="6"/>
        <v>-151.35629671054448</v>
      </c>
    </row>
    <row r="185" spans="1:10" ht="15" customHeight="1" x14ac:dyDescent="0.25">
      <c r="A185" s="27" t="s">
        <v>129</v>
      </c>
      <c r="B185" s="30">
        <f xml:space="preserve"> 8295</f>
        <v>8295</v>
      </c>
      <c r="C185" s="30">
        <v>0.89662146022058675</v>
      </c>
      <c r="D185" s="30">
        <f t="shared" si="0"/>
        <v>9251.3957874254593</v>
      </c>
      <c r="E185" s="30">
        <f t="shared" si="2"/>
        <v>8948.2353807748186</v>
      </c>
      <c r="F185" s="30">
        <f t="shared" si="3"/>
        <v>-4.7570702060904884</v>
      </c>
      <c r="G185" s="30">
        <f t="shared" si="4"/>
        <v>8899.0373313445161</v>
      </c>
      <c r="H185" s="30">
        <f t="shared" si="5"/>
        <v>352.35845608094314</v>
      </c>
      <c r="I185" s="30">
        <f t="shared" si="7"/>
        <v>7979.0678465876335</v>
      </c>
      <c r="J185" s="30">
        <f t="shared" si="6"/>
        <v>315.93215341236646</v>
      </c>
    </row>
    <row r="186" spans="1:10" ht="15" customHeight="1" x14ac:dyDescent="0.25">
      <c r="A186" s="27" t="s">
        <v>130</v>
      </c>
      <c r="B186" s="30">
        <f xml:space="preserve"> 7942</f>
        <v>7942</v>
      </c>
      <c r="C186" s="30">
        <v>0.96082308230047397</v>
      </c>
      <c r="D186" s="30">
        <f t="shared" si="0"/>
        <v>8265.8297310933394</v>
      </c>
      <c r="E186" s="30">
        <f t="shared" si="2"/>
        <v>8848.8616276594767</v>
      </c>
      <c r="F186" s="30">
        <f t="shared" si="3"/>
        <v>-4.7570702060904884</v>
      </c>
      <c r="G186" s="30">
        <f t="shared" si="4"/>
        <v>8943.4783105687275</v>
      </c>
      <c r="H186" s="30">
        <f t="shared" si="5"/>
        <v>-677.64857947538803</v>
      </c>
      <c r="I186" s="30">
        <f t="shared" si="7"/>
        <v>8593.10039684808</v>
      </c>
      <c r="J186" s="30">
        <f t="shared" si="6"/>
        <v>-651.10039684807998</v>
      </c>
    </row>
    <row r="187" spans="1:10" ht="15" customHeight="1" x14ac:dyDescent="0.25">
      <c r="A187" s="27" t="s">
        <v>131</v>
      </c>
      <c r="B187" s="30">
        <f xml:space="preserve"> 9686</f>
        <v>9686</v>
      </c>
      <c r="C187" s="30">
        <v>1.0057061731177082</v>
      </c>
      <c r="D187" s="30">
        <f t="shared" si="0"/>
        <v>9631.0435979260383</v>
      </c>
      <c r="E187" s="30">
        <f t="shared" si="2"/>
        <v>8953.9809209793784</v>
      </c>
      <c r="F187" s="30">
        <f t="shared" si="3"/>
        <v>-4.7570702060904884</v>
      </c>
      <c r="G187" s="30">
        <f t="shared" si="4"/>
        <v>8844.1045574533855</v>
      </c>
      <c r="H187" s="30">
        <f t="shared" si="5"/>
        <v>786.93904047265278</v>
      </c>
      <c r="I187" s="30">
        <f t="shared" si="7"/>
        <v>8894.5705491293265</v>
      </c>
      <c r="J187" s="30">
        <f t="shared" si="6"/>
        <v>791.42945087067346</v>
      </c>
    </row>
    <row r="188" spans="1:10" ht="15" customHeight="1" x14ac:dyDescent="0.25">
      <c r="A188" s="27" t="s">
        <v>132</v>
      </c>
      <c r="B188" s="30">
        <f xml:space="preserve"> 10214</f>
        <v>10214</v>
      </c>
      <c r="C188" s="30">
        <v>1.083937309437295</v>
      </c>
      <c r="D188" s="30">
        <f t="shared" si="0"/>
        <v>9423.054185026991</v>
      </c>
      <c r="E188" s="30">
        <f t="shared" si="2"/>
        <v>9015.3824111934609</v>
      </c>
      <c r="F188" s="30">
        <f t="shared" si="3"/>
        <v>-4.7570702060904884</v>
      </c>
      <c r="G188" s="30">
        <f t="shared" si="4"/>
        <v>8949.2238507732873</v>
      </c>
      <c r="H188" s="30">
        <f t="shared" si="5"/>
        <v>473.83033425370377</v>
      </c>
      <c r="I188" s="30">
        <f t="shared" si="7"/>
        <v>9700.3976223592654</v>
      </c>
      <c r="J188" s="30">
        <f t="shared" si="6"/>
        <v>513.60237764073463</v>
      </c>
    </row>
    <row r="189" spans="1:10" ht="15" customHeight="1" x14ac:dyDescent="0.25">
      <c r="A189" s="27" t="s">
        <v>133</v>
      </c>
      <c r="B189" s="30">
        <f xml:space="preserve"> 11050</f>
        <v>11050</v>
      </c>
      <c r="C189" s="30">
        <v>1.1499841763423702</v>
      </c>
      <c r="D189" s="30">
        <f t="shared" si="0"/>
        <v>9608.8278667846862</v>
      </c>
      <c r="E189" s="30">
        <f t="shared" si="2"/>
        <v>9094.1493686518206</v>
      </c>
      <c r="F189" s="30">
        <f t="shared" si="3"/>
        <v>-4.7570702060904884</v>
      </c>
      <c r="G189" s="30">
        <f t="shared" si="4"/>
        <v>9010.6253409873698</v>
      </c>
      <c r="H189" s="30">
        <f t="shared" si="5"/>
        <v>598.20252579731641</v>
      </c>
      <c r="I189" s="30">
        <f t="shared" si="7"/>
        <v>10362.076561085049</v>
      </c>
      <c r="J189" s="30">
        <f t="shared" si="6"/>
        <v>687.92343891495148</v>
      </c>
    </row>
    <row r="190" spans="1:10" ht="15" customHeight="1" x14ac:dyDescent="0.25">
      <c r="A190" s="27" t="s">
        <v>134</v>
      </c>
      <c r="B190" s="30">
        <f xml:space="preserve"> 10320</f>
        <v>10320</v>
      </c>
      <c r="C190" s="30">
        <v>1.1534390964451762</v>
      </c>
      <c r="D190" s="30">
        <f t="shared" si="0"/>
        <v>8947.1564054015198</v>
      </c>
      <c r="E190" s="30">
        <f t="shared" si="2"/>
        <v>9069.532611879431</v>
      </c>
      <c r="F190" s="30">
        <f t="shared" si="3"/>
        <v>-4.7570702060904884</v>
      </c>
      <c r="G190" s="30">
        <f t="shared" si="4"/>
        <v>9089.3922984457295</v>
      </c>
      <c r="H190" s="30">
        <f t="shared" si="5"/>
        <v>-142.23589304420966</v>
      </c>
      <c r="I190" s="30">
        <f t="shared" si="7"/>
        <v>10484.060439954985</v>
      </c>
      <c r="J190" s="30">
        <f t="shared" si="6"/>
        <v>-164.06043995498476</v>
      </c>
    </row>
    <row r="191" spans="1:10" ht="15" customHeight="1" x14ac:dyDescent="0.25">
      <c r="A191" s="27" t="s">
        <v>135</v>
      </c>
      <c r="B191" s="30">
        <f xml:space="preserve"> 8270</f>
        <v>8270</v>
      </c>
      <c r="C191" s="30">
        <v>1.1204231588868279</v>
      </c>
      <c r="D191" s="30">
        <f t="shared" si="0"/>
        <v>7381.1398259711796</v>
      </c>
      <c r="E191" s="30">
        <f t="shared" si="2"/>
        <v>8829.6979048684261</v>
      </c>
      <c r="F191" s="30">
        <f t="shared" si="3"/>
        <v>-4.7570702060904884</v>
      </c>
      <c r="G191" s="30">
        <f t="shared" si="4"/>
        <v>9064.7755416733398</v>
      </c>
      <c r="H191" s="30">
        <f t="shared" si="5"/>
        <v>-1683.6357157021603</v>
      </c>
      <c r="I191" s="30">
        <f t="shared" si="7"/>
        <v>10156.384447001699</v>
      </c>
      <c r="J191" s="30">
        <f t="shared" si="6"/>
        <v>-1886.3844470016993</v>
      </c>
    </row>
    <row r="192" spans="1:10" ht="15" customHeight="1" x14ac:dyDescent="0.25">
      <c r="A192" s="27" t="s">
        <v>136</v>
      </c>
      <c r="B192" s="30">
        <f xml:space="preserve"> 9556</f>
        <v>9556</v>
      </c>
      <c r="C192" s="30">
        <v>1.0701050497972113</v>
      </c>
      <c r="D192" s="30">
        <f t="shared" si="0"/>
        <v>8929.9644009818439</v>
      </c>
      <c r="E192" s="30">
        <f t="shared" si="2"/>
        <v>8839.6047501096964</v>
      </c>
      <c r="F192" s="30">
        <f t="shared" si="3"/>
        <v>-4.7570702060904884</v>
      </c>
      <c r="G192" s="30">
        <f t="shared" si="4"/>
        <v>8824.940834662335</v>
      </c>
      <c r="H192" s="30">
        <f t="shared" si="5"/>
        <v>105.02356631950897</v>
      </c>
      <c r="I192" s="30">
        <f t="shared" si="7"/>
        <v>9443.6137513337817</v>
      </c>
      <c r="J192" s="30">
        <f t="shared" si="6"/>
        <v>112.38624866621831</v>
      </c>
    </row>
    <row r="193" spans="1:10" ht="15" customHeight="1" x14ac:dyDescent="0.25">
      <c r="A193" s="27" t="s">
        <v>137</v>
      </c>
      <c r="B193" s="30">
        <f xml:space="preserve"> 10349</f>
        <v>10349</v>
      </c>
      <c r="C193" s="30">
        <v>0.97993531184881255</v>
      </c>
      <c r="D193" s="30">
        <f t="shared" si="0"/>
        <v>10560.901188951822</v>
      </c>
      <c r="E193" s="30">
        <f t="shared" si="2"/>
        <v>9075.8479011044619</v>
      </c>
      <c r="F193" s="30">
        <f t="shared" si="3"/>
        <v>-4.7570702060904884</v>
      </c>
      <c r="G193" s="30">
        <f t="shared" si="4"/>
        <v>8834.8476799036052</v>
      </c>
      <c r="H193" s="30">
        <f t="shared" si="5"/>
        <v>1726.0535090482172</v>
      </c>
      <c r="I193" s="30">
        <f t="shared" si="7"/>
        <v>8657.5792163430979</v>
      </c>
      <c r="J193" s="30">
        <f t="shared" si="6"/>
        <v>1691.4207836569021</v>
      </c>
    </row>
    <row r="194" spans="1:10" ht="15" customHeight="1" x14ac:dyDescent="0.25">
      <c r="A194" s="27" t="s">
        <v>138</v>
      </c>
      <c r="B194" s="30">
        <f xml:space="preserve"> 7938</f>
        <v>7938</v>
      </c>
      <c r="C194" s="30">
        <v>0.92224046659864112</v>
      </c>
      <c r="D194" s="30">
        <f t="shared" si="0"/>
        <v>8607.299600804241</v>
      </c>
      <c r="E194" s="30">
        <f t="shared" si="2"/>
        <v>9006.3339803964773</v>
      </c>
      <c r="F194" s="30">
        <f t="shared" si="3"/>
        <v>-4.7570702060904884</v>
      </c>
      <c r="G194" s="30">
        <f t="shared" si="4"/>
        <v>9071.0908308983708</v>
      </c>
      <c r="H194" s="30">
        <f t="shared" si="5"/>
        <v>-463.79123009412979</v>
      </c>
      <c r="I194" s="30">
        <f t="shared" si="7"/>
        <v>8365.7270404463688</v>
      </c>
      <c r="J194" s="30">
        <f t="shared" si="6"/>
        <v>-427.72704044636885</v>
      </c>
    </row>
    <row r="195" spans="1:10" ht="15" customHeight="1" x14ac:dyDescent="0.25">
      <c r="A195" s="27" t="s">
        <v>139</v>
      </c>
      <c r="B195" s="30">
        <f xml:space="preserve"> 6467</f>
        <v>6467</v>
      </c>
      <c r="C195" s="30">
        <v>0.79667756022487357</v>
      </c>
      <c r="D195" s="30">
        <f t="shared" si="0"/>
        <v>8117.4622242084961</v>
      </c>
      <c r="E195" s="30">
        <f t="shared" si="2"/>
        <v>8878.1323971601651</v>
      </c>
      <c r="F195" s="30">
        <f t="shared" si="3"/>
        <v>-4.7570702060904884</v>
      </c>
      <c r="G195" s="30">
        <f t="shared" si="4"/>
        <v>9001.5769101903861</v>
      </c>
      <c r="H195" s="30">
        <f t="shared" si="5"/>
        <v>-884.11468598189003</v>
      </c>
      <c r="I195" s="30">
        <f t="shared" si="7"/>
        <v>7171.3543309870329</v>
      </c>
      <c r="J195" s="30">
        <f t="shared" si="6"/>
        <v>-704.35433098703288</v>
      </c>
    </row>
    <row r="196" spans="1:10" ht="15" customHeight="1" x14ac:dyDescent="0.25">
      <c r="A196" s="27" t="s">
        <v>140</v>
      </c>
      <c r="B196" s="30">
        <f xml:space="preserve"> 7837</f>
        <v>7837</v>
      </c>
      <c r="C196" s="30">
        <v>0.86010781790386404</v>
      </c>
      <c r="D196" s="30">
        <f t="shared" si="0"/>
        <v>9111.6483734553822</v>
      </c>
      <c r="E196" s="30">
        <f t="shared" si="2"/>
        <v>8906.6442010718201</v>
      </c>
      <c r="F196" s="30">
        <f t="shared" si="3"/>
        <v>-4.7570702060904884</v>
      </c>
      <c r="G196" s="30">
        <f t="shared" si="4"/>
        <v>8873.3753269540739</v>
      </c>
      <c r="H196" s="30">
        <f t="shared" si="5"/>
        <v>238.27304650130827</v>
      </c>
      <c r="I196" s="30">
        <f t="shared" si="7"/>
        <v>7632.0594899084545</v>
      </c>
      <c r="J196" s="30">
        <f t="shared" si="6"/>
        <v>204.94051009154555</v>
      </c>
    </row>
    <row r="197" spans="1:10" ht="15" customHeight="1" x14ac:dyDescent="0.25">
      <c r="A197" s="27" t="s">
        <v>141</v>
      </c>
      <c r="B197" s="30">
        <f xml:space="preserve"> 8325</f>
        <v>8325</v>
      </c>
      <c r="C197" s="30">
        <v>0.89662146022058675</v>
      </c>
      <c r="D197" s="30">
        <f t="shared" si="0"/>
        <v>9284.8547233655154</v>
      </c>
      <c r="E197" s="30">
        <f t="shared" si="2"/>
        <v>8955.3589809685127</v>
      </c>
      <c r="F197" s="30">
        <f t="shared" si="3"/>
        <v>-4.7570702060904884</v>
      </c>
      <c r="G197" s="30">
        <f t="shared" si="4"/>
        <v>8901.887130865729</v>
      </c>
      <c r="H197" s="30">
        <f t="shared" si="5"/>
        <v>382.96759249978641</v>
      </c>
      <c r="I197" s="30">
        <f t="shared" si="7"/>
        <v>7981.6230379956796</v>
      </c>
      <c r="J197" s="30">
        <f t="shared" si="6"/>
        <v>343.37696200432038</v>
      </c>
    </row>
    <row r="198" spans="1:10" ht="15" customHeight="1" x14ac:dyDescent="0.25">
      <c r="A198" s="27" t="s">
        <v>142</v>
      </c>
      <c r="B198" s="30">
        <f xml:space="preserve"> 8532</f>
        <v>8532</v>
      </c>
      <c r="C198" s="30">
        <v>0.96082308230047397</v>
      </c>
      <c r="D198" s="30">
        <f t="shared" si="0"/>
        <v>8879.8865859592515</v>
      </c>
      <c r="E198" s="30">
        <f t="shared" si="2"/>
        <v>8940.7282835367787</v>
      </c>
      <c r="F198" s="30">
        <f t="shared" si="3"/>
        <v>-4.7570702060904884</v>
      </c>
      <c r="G198" s="30">
        <f t="shared" si="4"/>
        <v>8950.6019107624215</v>
      </c>
      <c r="H198" s="30">
        <f t="shared" si="5"/>
        <v>-70.715324803170006</v>
      </c>
      <c r="I198" s="30">
        <f t="shared" si="7"/>
        <v>8599.9449163432619</v>
      </c>
      <c r="J198" s="30">
        <f t="shared" si="6"/>
        <v>-67.944916343261866</v>
      </c>
    </row>
    <row r="199" spans="1:10" ht="15" customHeight="1" x14ac:dyDescent="0.25">
      <c r="A199" s="27" t="s">
        <v>143</v>
      </c>
      <c r="B199" s="30">
        <f xml:space="preserve"> 9786</f>
        <v>9786</v>
      </c>
      <c r="C199" s="30">
        <v>1.0057061731177082</v>
      </c>
      <c r="D199" s="30">
        <f t="shared" si="0"/>
        <v>9730.4762181813148</v>
      </c>
      <c r="E199" s="30">
        <f t="shared" si="2"/>
        <v>9046.9039746329563</v>
      </c>
      <c r="F199" s="30">
        <f t="shared" si="3"/>
        <v>-4.7570702060904884</v>
      </c>
      <c r="G199" s="30">
        <f t="shared" si="4"/>
        <v>8935.9712133306875</v>
      </c>
      <c r="H199" s="30">
        <f t="shared" si="5"/>
        <v>794.5050048506273</v>
      </c>
      <c r="I199" s="30">
        <f t="shared" si="7"/>
        <v>8986.9614120488095</v>
      </c>
      <c r="J199" s="30">
        <f t="shared" si="6"/>
        <v>799.03858795119049</v>
      </c>
    </row>
    <row r="200" spans="1:10" ht="15" customHeight="1" x14ac:dyDescent="0.25">
      <c r="A200" s="27" t="s">
        <v>144</v>
      </c>
      <c r="B200" s="30">
        <f xml:space="preserve"> 9492</f>
        <v>9492</v>
      </c>
      <c r="C200" s="30">
        <v>1.083937309437295</v>
      </c>
      <c r="D200" s="30">
        <f t="shared" si="0"/>
        <v>8756.9640027683763</v>
      </c>
      <c r="E200" s="30">
        <f t="shared" si="2"/>
        <v>9002.3282417827977</v>
      </c>
      <c r="F200" s="30">
        <f t="shared" si="3"/>
        <v>-4.7570702060904884</v>
      </c>
      <c r="G200" s="30">
        <f t="shared" si="4"/>
        <v>9042.1469044268651</v>
      </c>
      <c r="H200" s="30">
        <f t="shared" si="5"/>
        <v>-285.18290165848884</v>
      </c>
      <c r="I200" s="30">
        <f t="shared" si="7"/>
        <v>9801.1203871212219</v>
      </c>
      <c r="J200" s="30">
        <f t="shared" si="6"/>
        <v>-309.12038712122194</v>
      </c>
    </row>
    <row r="201" spans="1:10" ht="15" customHeight="1" x14ac:dyDescent="0.25">
      <c r="A201" s="27" t="s">
        <v>145</v>
      </c>
      <c r="B201" s="30">
        <f xml:space="preserve"> 10284</f>
        <v>10284</v>
      </c>
      <c r="C201" s="30">
        <v>1.1499841763423702</v>
      </c>
      <c r="D201" s="30">
        <f t="shared" si="0"/>
        <v>8942.7317449786151</v>
      </c>
      <c r="E201" s="30">
        <f t="shared" si="2"/>
        <v>8989.9142166379479</v>
      </c>
      <c r="F201" s="30">
        <f t="shared" si="3"/>
        <v>-4.7570702060904884</v>
      </c>
      <c r="G201" s="30">
        <f t="shared" si="4"/>
        <v>8997.5711715767065</v>
      </c>
      <c r="H201" s="30">
        <f t="shared" si="5"/>
        <v>-54.83942659809145</v>
      </c>
      <c r="I201" s="30">
        <f t="shared" si="7"/>
        <v>10347.064472827493</v>
      </c>
      <c r="J201" s="30">
        <f t="shared" si="6"/>
        <v>-63.064472827492864</v>
      </c>
    </row>
    <row r="202" spans="1:10" ht="15" customHeight="1" x14ac:dyDescent="0.25">
      <c r="A202" s="27" t="s">
        <v>146</v>
      </c>
      <c r="B202" s="30">
        <f xml:space="preserve"> 9606</f>
        <v>9606</v>
      </c>
      <c r="C202" s="30">
        <v>1.1534390964451762</v>
      </c>
      <c r="D202" s="30">
        <f t="shared" si="0"/>
        <v>8328.1380261906015</v>
      </c>
      <c r="E202" s="30">
        <f t="shared" si="2"/>
        <v>8893.4208517681709</v>
      </c>
      <c r="F202" s="30">
        <f t="shared" si="3"/>
        <v>-4.7570702060904884</v>
      </c>
      <c r="G202" s="30">
        <f t="shared" si="4"/>
        <v>8985.1571464318567</v>
      </c>
      <c r="H202" s="30">
        <f t="shared" si="5"/>
        <v>-657.01912024125522</v>
      </c>
      <c r="I202" s="30">
        <f t="shared" si="7"/>
        <v>10363.831540398278</v>
      </c>
      <c r="J202" s="30">
        <f t="shared" si="6"/>
        <v>-757.83154039827787</v>
      </c>
    </row>
    <row r="203" spans="1:10" ht="15" customHeight="1" x14ac:dyDescent="0.25">
      <c r="A203" s="27" t="s">
        <v>147</v>
      </c>
      <c r="B203" s="30">
        <f xml:space="preserve"> 10037</f>
        <v>10037</v>
      </c>
      <c r="C203" s="30">
        <v>1.1204231588868279</v>
      </c>
      <c r="D203" s="30">
        <f t="shared" si="0"/>
        <v>8958.2225433219755</v>
      </c>
      <c r="E203" s="30">
        <f t="shared" si="2"/>
        <v>8898.3759236728056</v>
      </c>
      <c r="F203" s="30">
        <f t="shared" si="3"/>
        <v>-4.7570702060904884</v>
      </c>
      <c r="G203" s="30">
        <f t="shared" si="4"/>
        <v>8888.6637815620797</v>
      </c>
      <c r="H203" s="30">
        <f t="shared" si="5"/>
        <v>69.558761759895788</v>
      </c>
      <c r="I203" s="30">
        <f t="shared" si="7"/>
        <v>9959.0647524207216</v>
      </c>
      <c r="J203" s="30">
        <f t="shared" si="6"/>
        <v>77.935247579278439</v>
      </c>
    </row>
    <row r="204" spans="1:10" ht="15" customHeight="1" x14ac:dyDescent="0.25">
      <c r="A204" s="27" t="s">
        <v>148</v>
      </c>
      <c r="B204" s="30">
        <f xml:space="preserve"> 10208</f>
        <v>10208</v>
      </c>
      <c r="C204" s="30">
        <v>1.0701050497972113</v>
      </c>
      <c r="D204" s="30">
        <f t="shared" si="0"/>
        <v>9539.2503772731961</v>
      </c>
      <c r="E204" s="30">
        <f t="shared" si="2"/>
        <v>8983.7651549781949</v>
      </c>
      <c r="F204" s="30">
        <f t="shared" si="3"/>
        <v>-4.7570702060904884</v>
      </c>
      <c r="G204" s="30">
        <f t="shared" si="4"/>
        <v>8893.6188534667144</v>
      </c>
      <c r="H204" s="30">
        <f t="shared" si="5"/>
        <v>645.63152380648171</v>
      </c>
      <c r="I204" s="30">
        <f t="shared" si="7"/>
        <v>9517.1064460664165</v>
      </c>
      <c r="J204" s="30">
        <f t="shared" si="6"/>
        <v>690.89355393358346</v>
      </c>
    </row>
    <row r="205" spans="1:10" ht="15" customHeight="1" x14ac:dyDescent="0.25">
      <c r="A205" s="27" t="s">
        <v>149</v>
      </c>
      <c r="B205" s="30">
        <f xml:space="preserve"> 8585</f>
        <v>8585</v>
      </c>
      <c r="C205" s="30">
        <v>0.97993531184881255</v>
      </c>
      <c r="D205" s="30">
        <f t="shared" si="0"/>
        <v>8760.7823661369603</v>
      </c>
      <c r="E205" s="30">
        <f t="shared" si="2"/>
        <v>8948.5383188076721</v>
      </c>
      <c r="F205" s="30">
        <f t="shared" si="3"/>
        <v>-4.7570702060904884</v>
      </c>
      <c r="G205" s="30">
        <f t="shared" si="4"/>
        <v>8979.0080847721038</v>
      </c>
      <c r="H205" s="30">
        <f t="shared" si="5"/>
        <v>-218.22571863514349</v>
      </c>
      <c r="I205" s="30">
        <f t="shared" si="7"/>
        <v>8798.8470876441606</v>
      </c>
      <c r="J205" s="30">
        <f t="shared" si="6"/>
        <v>-213.84708764416064</v>
      </c>
    </row>
    <row r="206" spans="1:10" ht="15" customHeight="1" x14ac:dyDescent="0.25">
      <c r="A206" s="27" t="s">
        <v>150</v>
      </c>
      <c r="B206" s="30">
        <f xml:space="preserve"> 10054</f>
        <v>10054</v>
      </c>
      <c r="C206" s="30">
        <v>0.92224046659864112</v>
      </c>
      <c r="D206" s="30">
        <f t="shared" si="0"/>
        <v>10901.712041633387</v>
      </c>
      <c r="E206" s="30">
        <f t="shared" si="2"/>
        <v>9217.1573355786459</v>
      </c>
      <c r="F206" s="30">
        <f t="shared" si="3"/>
        <v>-4.7570702060904884</v>
      </c>
      <c r="G206" s="30">
        <f t="shared" si="4"/>
        <v>8943.781248601581</v>
      </c>
      <c r="H206" s="30">
        <f t="shared" si="5"/>
        <v>1957.9307930318064</v>
      </c>
      <c r="I206" s="30">
        <f t="shared" si="7"/>
        <v>8248.3169918664989</v>
      </c>
      <c r="J206" s="30">
        <f t="shared" si="6"/>
        <v>1805.6830081335011</v>
      </c>
    </row>
    <row r="207" spans="1:10" ht="15" customHeight="1" x14ac:dyDescent="0.25">
      <c r="A207" s="27" t="s">
        <v>151</v>
      </c>
      <c r="B207" s="30">
        <f xml:space="preserve"> 7521</f>
        <v>7521</v>
      </c>
      <c r="C207" s="30">
        <v>0.79667756022487357</v>
      </c>
      <c r="D207" s="30">
        <f t="shared" si="0"/>
        <v>9440.4566859860988</v>
      </c>
      <c r="E207" s="30">
        <f t="shared" si="2"/>
        <v>9244.2426431007207</v>
      </c>
      <c r="F207" s="30">
        <f t="shared" si="3"/>
        <v>-4.7570702060904884</v>
      </c>
      <c r="G207" s="30">
        <f t="shared" si="4"/>
        <v>9212.4002653725547</v>
      </c>
      <c r="H207" s="30">
        <f t="shared" si="5"/>
        <v>228.05642061354411</v>
      </c>
      <c r="I207" s="30">
        <f t="shared" si="7"/>
        <v>7339.3125672319848</v>
      </c>
      <c r="J207" s="30">
        <f t="shared" si="6"/>
        <v>181.68743276801524</v>
      </c>
    </row>
    <row r="208" spans="1:10" ht="15" customHeight="1" x14ac:dyDescent="0.25">
      <c r="A208" s="27" t="s">
        <v>152</v>
      </c>
      <c r="B208" s="30">
        <f xml:space="preserve"> 7092</f>
        <v>7092</v>
      </c>
      <c r="C208" s="30">
        <v>0.86010781790386404</v>
      </c>
      <c r="D208" s="30">
        <f t="shared" si="0"/>
        <v>8245.4778951825392</v>
      </c>
      <c r="E208" s="30">
        <f t="shared" si="2"/>
        <v>9100.697250894078</v>
      </c>
      <c r="F208" s="30">
        <f t="shared" si="3"/>
        <v>-4.7570702060904884</v>
      </c>
      <c r="G208" s="30">
        <f t="shared" si="4"/>
        <v>9239.4855728946295</v>
      </c>
      <c r="H208" s="30">
        <f t="shared" si="5"/>
        <v>-994.0076777120903</v>
      </c>
      <c r="I208" s="30">
        <f t="shared" si="7"/>
        <v>7946.953774656633</v>
      </c>
      <c r="J208" s="30">
        <f t="shared" si="6"/>
        <v>-854.95377465663296</v>
      </c>
    </row>
    <row r="209" spans="1:10" ht="15" customHeight="1" x14ac:dyDescent="0.25">
      <c r="A209" s="27" t="s">
        <v>153</v>
      </c>
      <c r="B209" s="30">
        <f xml:space="preserve"> 8594</f>
        <v>8594</v>
      </c>
      <c r="C209" s="30">
        <v>0.89662146022058675</v>
      </c>
      <c r="D209" s="30">
        <f t="shared" si="0"/>
        <v>9584.8698489613489</v>
      </c>
      <c r="E209" s="30">
        <f t="shared" si="2"/>
        <v>9164.2069856206545</v>
      </c>
      <c r="F209" s="30">
        <f t="shared" si="3"/>
        <v>-4.7570702060904884</v>
      </c>
      <c r="G209" s="30">
        <f t="shared" si="4"/>
        <v>9095.9401806879869</v>
      </c>
      <c r="H209" s="30">
        <f t="shared" si="5"/>
        <v>488.92966827336204</v>
      </c>
      <c r="I209" s="30">
        <f t="shared" si="7"/>
        <v>8155.6151668875709</v>
      </c>
      <c r="J209" s="30">
        <f t="shared" si="6"/>
        <v>438.38483311242908</v>
      </c>
    </row>
    <row r="210" spans="1:10" ht="15" customHeight="1" x14ac:dyDescent="0.25">
      <c r="A210" s="27" t="s">
        <v>154</v>
      </c>
      <c r="B210" s="30">
        <f xml:space="preserve"> 8393</f>
        <v>8393</v>
      </c>
      <c r="C210" s="30">
        <v>0.96082308230047397</v>
      </c>
      <c r="D210" s="30">
        <f t="shared" si="0"/>
        <v>8735.2189540501622</v>
      </c>
      <c r="E210" s="30">
        <f t="shared" si="2"/>
        <v>9100.2166674340588</v>
      </c>
      <c r="F210" s="30">
        <f t="shared" si="3"/>
        <v>-4.7570702060904884</v>
      </c>
      <c r="G210" s="30">
        <f t="shared" si="4"/>
        <v>9159.4499154145633</v>
      </c>
      <c r="H210" s="30">
        <f t="shared" si="5"/>
        <v>-424.23096136440108</v>
      </c>
      <c r="I210" s="30">
        <f t="shared" si="7"/>
        <v>8800.6108999054359</v>
      </c>
      <c r="J210" s="30">
        <f t="shared" si="6"/>
        <v>-407.61089990543587</v>
      </c>
    </row>
    <row r="211" spans="1:10" ht="15" customHeight="1" x14ac:dyDescent="0.25">
      <c r="A211" s="27" t="s">
        <v>155</v>
      </c>
      <c r="B211" s="30">
        <f xml:space="preserve"> 8940</f>
        <v>8940</v>
      </c>
      <c r="C211" s="30">
        <v>1.0057061731177082</v>
      </c>
      <c r="D211" s="30">
        <f t="shared" si="0"/>
        <v>8889.2762508216802</v>
      </c>
      <c r="E211" s="30">
        <f t="shared" si="2"/>
        <v>9066.6712474859905</v>
      </c>
      <c r="F211" s="30">
        <f t="shared" si="3"/>
        <v>-4.7570702060904884</v>
      </c>
      <c r="G211" s="30">
        <f t="shared" si="4"/>
        <v>9095.4595972279676</v>
      </c>
      <c r="H211" s="30">
        <f t="shared" si="5"/>
        <v>-206.18334640628746</v>
      </c>
      <c r="I211" s="30">
        <f t="shared" si="7"/>
        <v>9147.3598642748711</v>
      </c>
      <c r="J211" s="30">
        <f t="shared" si="6"/>
        <v>-207.35986427487114</v>
      </c>
    </row>
    <row r="212" spans="1:10" ht="15" customHeight="1" x14ac:dyDescent="0.25">
      <c r="A212" s="27" t="s">
        <v>156</v>
      </c>
      <c r="B212" s="30">
        <f xml:space="preserve"> 9710</f>
        <v>9710</v>
      </c>
      <c r="C212" s="30">
        <v>1.083937309437295</v>
      </c>
      <c r="D212" s="30">
        <f t="shared" ref="D212:D263" si="8">B212/C212</f>
        <v>8958.0826450569893</v>
      </c>
      <c r="E212" s="30">
        <f t="shared" si="2"/>
        <v>9047.4166995932756</v>
      </c>
      <c r="F212" s="30">
        <f t="shared" si="3"/>
        <v>-4.7570702060904884</v>
      </c>
      <c r="G212" s="30">
        <f t="shared" si="4"/>
        <v>9061.9141772798994</v>
      </c>
      <c r="H212" s="30">
        <f t="shared" si="5"/>
        <v>-103.83153222291003</v>
      </c>
      <c r="I212" s="30">
        <f t="shared" ref="I212:I243" si="9">G212*C212</f>
        <v>9822.5468716724536</v>
      </c>
      <c r="J212" s="30">
        <f t="shared" si="6"/>
        <v>-112.54687167245356</v>
      </c>
    </row>
    <row r="213" spans="1:10" ht="15" customHeight="1" x14ac:dyDescent="0.25">
      <c r="A213" s="27" t="s">
        <v>157</v>
      </c>
      <c r="B213" s="30">
        <f xml:space="preserve"> 9392</f>
        <v>9392</v>
      </c>
      <c r="C213" s="30">
        <v>1.1499841763423702</v>
      </c>
      <c r="D213" s="30">
        <f t="shared" si="8"/>
        <v>8167.0688981757257</v>
      </c>
      <c r="E213" s="30">
        <f t="shared" ref="E213:E263" si="10">$B$9*D213+(1-$B$9)*(E212+F212)</f>
        <v>8920.4052735417845</v>
      </c>
      <c r="F213" s="30">
        <f t="shared" ref="F213:F263" si="11">$B$10*(E213-E212)+(1-$B$10)*F212</f>
        <v>-4.7570702060904884</v>
      </c>
      <c r="G213" s="30">
        <f t="shared" ref="G213:G263" si="12">E212+F212</f>
        <v>9042.6596293871844</v>
      </c>
      <c r="H213" s="30">
        <f t="shared" ref="H213:H263" si="13">D213-G213</f>
        <v>-875.59073121145866</v>
      </c>
      <c r="I213" s="30">
        <f t="shared" si="9"/>
        <v>10398.915485845224</v>
      </c>
      <c r="J213" s="30">
        <f t="shared" ref="J213:J263" si="14">B213-I213</f>
        <v>-1006.9154858452239</v>
      </c>
    </row>
    <row r="214" spans="1:10" ht="15" customHeight="1" x14ac:dyDescent="0.25">
      <c r="A214" s="27" t="s">
        <v>158</v>
      </c>
      <c r="B214" s="30">
        <f xml:space="preserve"> 11138</f>
        <v>11138</v>
      </c>
      <c r="C214" s="30">
        <v>1.1534390964451762</v>
      </c>
      <c r="D214" s="30">
        <f t="shared" si="8"/>
        <v>9656.3399266823781</v>
      </c>
      <c r="E214" s="30">
        <f t="shared" si="10"/>
        <v>9019.0672852079733</v>
      </c>
      <c r="F214" s="30">
        <f t="shared" si="11"/>
        <v>-4.7570702060904884</v>
      </c>
      <c r="G214" s="30">
        <f t="shared" si="12"/>
        <v>8915.6482033356933</v>
      </c>
      <c r="H214" s="30">
        <f t="shared" si="13"/>
        <v>740.69172334668474</v>
      </c>
      <c r="I214" s="30">
        <f t="shared" si="9"/>
        <v>10283.657207878581</v>
      </c>
      <c r="J214" s="30">
        <f t="shared" si="14"/>
        <v>854.34279212141882</v>
      </c>
    </row>
    <row r="215" spans="1:10" ht="15" customHeight="1" x14ac:dyDescent="0.25">
      <c r="A215" s="27" t="s">
        <v>159</v>
      </c>
      <c r="B215" s="30">
        <f xml:space="preserve"> 10664</f>
        <v>10664</v>
      </c>
      <c r="C215" s="30">
        <v>1.1204231588868279</v>
      </c>
      <c r="D215" s="30">
        <f t="shared" si="8"/>
        <v>9517.8325398012894</v>
      </c>
      <c r="E215" s="30">
        <f t="shared" si="10"/>
        <v>9084.6145196019988</v>
      </c>
      <c r="F215" s="30">
        <f t="shared" si="11"/>
        <v>-4.7570702060904884</v>
      </c>
      <c r="G215" s="30">
        <f t="shared" si="12"/>
        <v>9014.3102150018822</v>
      </c>
      <c r="H215" s="30">
        <f t="shared" si="13"/>
        <v>503.52232479940722</v>
      </c>
      <c r="I215" s="30">
        <f t="shared" si="9"/>
        <v>10099.84192627821</v>
      </c>
      <c r="J215" s="30">
        <f t="shared" si="14"/>
        <v>564.15807372179006</v>
      </c>
    </row>
    <row r="216" spans="1:10" ht="15" customHeight="1" x14ac:dyDescent="0.25">
      <c r="A216" s="27" t="s">
        <v>160</v>
      </c>
      <c r="B216" s="30">
        <f xml:space="preserve"> 9681</f>
        <v>9681</v>
      </c>
      <c r="C216" s="30">
        <v>1.0701050497972113</v>
      </c>
      <c r="D216" s="30">
        <f t="shared" si="8"/>
        <v>9046.775362694143</v>
      </c>
      <c r="E216" s="30">
        <f t="shared" si="10"/>
        <v>9075.2383630401746</v>
      </c>
      <c r="F216" s="30">
        <f t="shared" si="11"/>
        <v>-4.7570702060904884</v>
      </c>
      <c r="G216" s="30">
        <f t="shared" si="12"/>
        <v>9079.8574493959077</v>
      </c>
      <c r="H216" s="30">
        <f t="shared" si="13"/>
        <v>-33.082086701764638</v>
      </c>
      <c r="I216" s="30">
        <f t="shared" si="9"/>
        <v>9716.4013080373879</v>
      </c>
      <c r="J216" s="30">
        <f t="shared" si="14"/>
        <v>-35.401308037387935</v>
      </c>
    </row>
    <row r="217" spans="1:10" ht="15" customHeight="1" x14ac:dyDescent="0.25">
      <c r="A217" s="27" t="s">
        <v>161</v>
      </c>
      <c r="B217" s="30">
        <f xml:space="preserve"> 8698</f>
        <v>8698</v>
      </c>
      <c r="C217" s="30">
        <v>0.97993531184881255</v>
      </c>
      <c r="D217" s="30">
        <f t="shared" si="8"/>
        <v>8876.0961002515178</v>
      </c>
      <c r="E217" s="30">
        <f t="shared" si="10"/>
        <v>9043.3402603197428</v>
      </c>
      <c r="F217" s="30">
        <f t="shared" si="11"/>
        <v>-4.7570702060904884</v>
      </c>
      <c r="G217" s="30">
        <f t="shared" si="12"/>
        <v>9070.4812928340834</v>
      </c>
      <c r="H217" s="30">
        <f t="shared" si="13"/>
        <v>-194.38519258256565</v>
      </c>
      <c r="I217" s="30">
        <f t="shared" si="9"/>
        <v>8888.4849143121883</v>
      </c>
      <c r="J217" s="30">
        <f t="shared" si="14"/>
        <v>-190.48491431218827</v>
      </c>
    </row>
    <row r="218" spans="1:10" ht="15" customHeight="1" x14ac:dyDescent="0.25">
      <c r="A218" s="27" t="s">
        <v>162</v>
      </c>
      <c r="B218" s="30">
        <f xml:space="preserve"> 8581</f>
        <v>8581</v>
      </c>
      <c r="C218" s="30">
        <v>0.92224046659864112</v>
      </c>
      <c r="D218" s="30">
        <f t="shared" si="8"/>
        <v>9304.5147234191463</v>
      </c>
      <c r="E218" s="30">
        <f t="shared" si="10"/>
        <v>9075.7138804514307</v>
      </c>
      <c r="F218" s="30">
        <f t="shared" si="11"/>
        <v>-4.7570702060904884</v>
      </c>
      <c r="G218" s="30">
        <f t="shared" si="12"/>
        <v>9038.5831901136517</v>
      </c>
      <c r="H218" s="30">
        <f t="shared" si="13"/>
        <v>265.93153330549467</v>
      </c>
      <c r="I218" s="30">
        <f t="shared" si="9"/>
        <v>8335.7471786410479</v>
      </c>
      <c r="J218" s="30">
        <f t="shared" si="14"/>
        <v>245.25282135895213</v>
      </c>
    </row>
    <row r="219" spans="1:10" ht="15" customHeight="1" x14ac:dyDescent="0.25">
      <c r="A219" s="27" t="s">
        <v>163</v>
      </c>
      <c r="B219" s="30">
        <f xml:space="preserve"> 6310</f>
        <v>6310</v>
      </c>
      <c r="C219" s="30">
        <v>0.79667756022487357</v>
      </c>
      <c r="D219" s="30">
        <f t="shared" si="8"/>
        <v>7920.3937891998776</v>
      </c>
      <c r="E219" s="30">
        <f t="shared" si="10"/>
        <v>8910.3094484318663</v>
      </c>
      <c r="F219" s="30">
        <f t="shared" si="11"/>
        <v>-4.7570702060904884</v>
      </c>
      <c r="G219" s="30">
        <f t="shared" si="12"/>
        <v>9070.9568102453395</v>
      </c>
      <c r="H219" s="30">
        <f t="shared" si="13"/>
        <v>-1150.5630210454619</v>
      </c>
      <c r="I219" s="30">
        <f t="shared" si="9"/>
        <v>7226.6277404914581</v>
      </c>
      <c r="J219" s="30">
        <f t="shared" si="14"/>
        <v>-916.6277404914581</v>
      </c>
    </row>
    <row r="220" spans="1:10" ht="15" customHeight="1" x14ac:dyDescent="0.25">
      <c r="A220" s="27" t="s">
        <v>164</v>
      </c>
      <c r="B220" s="30">
        <f xml:space="preserve"> 7357</f>
        <v>7357</v>
      </c>
      <c r="C220" s="30">
        <v>0.86010781790386404</v>
      </c>
      <c r="D220" s="30">
        <f t="shared" si="8"/>
        <v>8553.5788035614696</v>
      </c>
      <c r="E220" s="30">
        <f t="shared" si="10"/>
        <v>8856.4080678632708</v>
      </c>
      <c r="F220" s="30">
        <f t="shared" si="11"/>
        <v>-4.7570702060904884</v>
      </c>
      <c r="G220" s="30">
        <f t="shared" si="12"/>
        <v>8905.5523782257751</v>
      </c>
      <c r="H220" s="30">
        <f t="shared" si="13"/>
        <v>-351.97357466430549</v>
      </c>
      <c r="I220" s="30">
        <f t="shared" si="9"/>
        <v>7659.7352232643379</v>
      </c>
      <c r="J220" s="30">
        <f t="shared" si="14"/>
        <v>-302.73522326433795</v>
      </c>
    </row>
    <row r="221" spans="1:10" ht="15" customHeight="1" x14ac:dyDescent="0.25">
      <c r="A221" s="27" t="s">
        <v>165</v>
      </c>
      <c r="B221" s="30">
        <f xml:space="preserve"> 8353</f>
        <v>8353</v>
      </c>
      <c r="C221" s="30">
        <v>0.89662146022058675</v>
      </c>
      <c r="D221" s="30">
        <f t="shared" si="8"/>
        <v>9316.0830635762341</v>
      </c>
      <c r="E221" s="30">
        <f t="shared" si="10"/>
        <v>8916.4973248611277</v>
      </c>
      <c r="F221" s="30">
        <f t="shared" si="11"/>
        <v>-4.7570702060904884</v>
      </c>
      <c r="G221" s="30">
        <f t="shared" si="12"/>
        <v>8851.6509976571797</v>
      </c>
      <c r="H221" s="30">
        <f t="shared" si="13"/>
        <v>464.43206591905437</v>
      </c>
      <c r="I221" s="30">
        <f t="shared" si="9"/>
        <v>7936.5802428823936</v>
      </c>
      <c r="J221" s="30">
        <f t="shared" si="14"/>
        <v>416.41975711760642</v>
      </c>
    </row>
    <row r="222" spans="1:10" ht="15" customHeight="1" x14ac:dyDescent="0.25">
      <c r="A222" s="27" t="s">
        <v>166</v>
      </c>
      <c r="B222" s="30">
        <f xml:space="preserve"> 8292</f>
        <v>8292</v>
      </c>
      <c r="C222" s="30">
        <v>0.96082308230047397</v>
      </c>
      <c r="D222" s="30">
        <f t="shared" si="8"/>
        <v>8630.1007466917617</v>
      </c>
      <c r="E222" s="30">
        <f t="shared" si="10"/>
        <v>8872.4163383556643</v>
      </c>
      <c r="F222" s="30">
        <f t="shared" si="11"/>
        <v>-4.7570702060904884</v>
      </c>
      <c r="G222" s="30">
        <f t="shared" si="12"/>
        <v>8911.7402546550366</v>
      </c>
      <c r="H222" s="30">
        <f t="shared" si="13"/>
        <v>-281.63950796327481</v>
      </c>
      <c r="I222" s="30">
        <f t="shared" si="9"/>
        <v>8562.6057401388625</v>
      </c>
      <c r="J222" s="30">
        <f t="shared" si="14"/>
        <v>-270.60574013886253</v>
      </c>
    </row>
    <row r="223" spans="1:10" ht="15" customHeight="1" x14ac:dyDescent="0.25">
      <c r="A223" s="27" t="s">
        <v>167</v>
      </c>
      <c r="B223" s="30">
        <f xml:space="preserve"> 9078</f>
        <v>9078</v>
      </c>
      <c r="C223" s="30">
        <v>1.0057061731177082</v>
      </c>
      <c r="D223" s="30">
        <f t="shared" si="8"/>
        <v>9026.4932667739613</v>
      </c>
      <c r="E223" s="30">
        <f t="shared" si="10"/>
        <v>8889.8364652075034</v>
      </c>
      <c r="F223" s="30">
        <f t="shared" si="11"/>
        <v>-4.7570702060904884</v>
      </c>
      <c r="G223" s="30">
        <f t="shared" si="12"/>
        <v>8867.6592681495731</v>
      </c>
      <c r="H223" s="30">
        <f t="shared" si="13"/>
        <v>158.83399862438819</v>
      </c>
      <c r="I223" s="30">
        <f t="shared" si="9"/>
        <v>8918.2596670824842</v>
      </c>
      <c r="J223" s="30">
        <f t="shared" si="14"/>
        <v>159.74033291751584</v>
      </c>
    </row>
    <row r="224" spans="1:10" ht="15" customHeight="1" x14ac:dyDescent="0.25">
      <c r="A224" s="27" t="s">
        <v>168</v>
      </c>
      <c r="B224" s="30">
        <f xml:space="preserve"> 10353</f>
        <v>10353</v>
      </c>
      <c r="C224" s="30">
        <v>1.083937309437295</v>
      </c>
      <c r="D224" s="30">
        <f t="shared" si="8"/>
        <v>9551.290383550464</v>
      </c>
      <c r="E224" s="30">
        <f t="shared" si="10"/>
        <v>8978.0991042775731</v>
      </c>
      <c r="F224" s="30">
        <f t="shared" si="11"/>
        <v>-4.7570702060904884</v>
      </c>
      <c r="G224" s="30">
        <f t="shared" si="12"/>
        <v>8885.0793950014122</v>
      </c>
      <c r="H224" s="30">
        <f t="shared" si="13"/>
        <v>666.21098854905176</v>
      </c>
      <c r="I224" s="30">
        <f t="shared" si="9"/>
        <v>9630.8690535545793</v>
      </c>
      <c r="J224" s="30">
        <f t="shared" si="14"/>
        <v>722.1309464454207</v>
      </c>
    </row>
    <row r="225" spans="1:10" ht="15" customHeight="1" x14ac:dyDescent="0.25">
      <c r="A225" s="27" t="s">
        <v>169</v>
      </c>
      <c r="B225" s="30">
        <f xml:space="preserve"> 9228</f>
        <v>9228</v>
      </c>
      <c r="C225" s="30">
        <v>1.1499841763423702</v>
      </c>
      <c r="D225" s="30">
        <f t="shared" si="8"/>
        <v>8024.4582402433552</v>
      </c>
      <c r="E225" s="30">
        <f t="shared" si="10"/>
        <v>8840.8541343582292</v>
      </c>
      <c r="F225" s="30">
        <f t="shared" si="11"/>
        <v>-4.7570702060904884</v>
      </c>
      <c r="G225" s="30">
        <f t="shared" si="12"/>
        <v>8973.342034071482</v>
      </c>
      <c r="H225" s="30">
        <f t="shared" si="13"/>
        <v>-948.88379382812673</v>
      </c>
      <c r="I225" s="30">
        <f t="shared" si="9"/>
        <v>10319.201348090062</v>
      </c>
      <c r="J225" s="30">
        <f t="shared" si="14"/>
        <v>-1091.2013480900623</v>
      </c>
    </row>
    <row r="226" spans="1:10" ht="15" customHeight="1" x14ac:dyDescent="0.25">
      <c r="A226" s="27" t="s">
        <v>170</v>
      </c>
      <c r="B226" s="30">
        <f xml:space="preserve"> 9420</f>
        <v>9420</v>
      </c>
      <c r="C226" s="30">
        <v>1.1534390964451762</v>
      </c>
      <c r="D226" s="30">
        <f t="shared" si="8"/>
        <v>8166.8811374885972</v>
      </c>
      <c r="E226" s="30">
        <f t="shared" si="10"/>
        <v>8742.6577903917405</v>
      </c>
      <c r="F226" s="30">
        <f t="shared" si="11"/>
        <v>-4.7570702060904884</v>
      </c>
      <c r="G226" s="30">
        <f t="shared" si="12"/>
        <v>8836.097064152138</v>
      </c>
      <c r="H226" s="30">
        <f t="shared" si="13"/>
        <v>-669.21592666354081</v>
      </c>
      <c r="I226" s="30">
        <f t="shared" si="9"/>
        <v>10191.899813777516</v>
      </c>
      <c r="J226" s="30">
        <f t="shared" si="14"/>
        <v>-771.8998137775161</v>
      </c>
    </row>
    <row r="227" spans="1:10" ht="15" customHeight="1" x14ac:dyDescent="0.25">
      <c r="A227" s="27" t="s">
        <v>171</v>
      </c>
      <c r="B227" s="30">
        <f xml:space="preserve"> 10636</f>
        <v>10636</v>
      </c>
      <c r="C227" s="30">
        <v>1.1204231588868279</v>
      </c>
      <c r="D227" s="30">
        <f t="shared" si="8"/>
        <v>9492.8419817447957</v>
      </c>
      <c r="E227" s="30">
        <f t="shared" si="10"/>
        <v>8843.3093938308448</v>
      </c>
      <c r="F227" s="30">
        <f t="shared" si="11"/>
        <v>-4.7570702060904884</v>
      </c>
      <c r="G227" s="30">
        <f t="shared" si="12"/>
        <v>8737.9007201856493</v>
      </c>
      <c r="H227" s="30">
        <f t="shared" si="13"/>
        <v>754.94126155914637</v>
      </c>
      <c r="I227" s="30">
        <f t="shared" si="9"/>
        <v>9790.1463269498927</v>
      </c>
      <c r="J227" s="30">
        <f t="shared" si="14"/>
        <v>845.85367305010732</v>
      </c>
    </row>
    <row r="228" spans="1:10" ht="15" customHeight="1" x14ac:dyDescent="0.25">
      <c r="A228" s="27" t="s">
        <v>172</v>
      </c>
      <c r="B228" s="30">
        <f xml:space="preserve"> 9953</f>
        <v>9953</v>
      </c>
      <c r="C228" s="30">
        <v>1.0701050497972113</v>
      </c>
      <c r="D228" s="30">
        <f t="shared" si="8"/>
        <v>9300.9560153801049</v>
      </c>
      <c r="E228" s="30">
        <f t="shared" si="10"/>
        <v>8903.1154390860956</v>
      </c>
      <c r="F228" s="30">
        <f t="shared" si="11"/>
        <v>-4.7570702060904884</v>
      </c>
      <c r="G228" s="30">
        <f t="shared" si="12"/>
        <v>8838.5523236247536</v>
      </c>
      <c r="H228" s="30">
        <f t="shared" si="13"/>
        <v>462.40369175535125</v>
      </c>
      <c r="I228" s="30">
        <f t="shared" si="9"/>
        <v>9458.1794744077251</v>
      </c>
      <c r="J228" s="30">
        <f t="shared" si="14"/>
        <v>494.82052559227486</v>
      </c>
    </row>
    <row r="229" spans="1:10" ht="15" customHeight="1" x14ac:dyDescent="0.25">
      <c r="A229" s="27" t="s">
        <v>173</v>
      </c>
      <c r="B229" s="30">
        <f xml:space="preserve"> 9177</f>
        <v>9177</v>
      </c>
      <c r="C229" s="30">
        <v>0.97993531184881255</v>
      </c>
      <c r="D229" s="30">
        <f t="shared" si="8"/>
        <v>9364.903875834465</v>
      </c>
      <c r="E229" s="30">
        <f t="shared" si="10"/>
        <v>8963.4997852885208</v>
      </c>
      <c r="F229" s="30">
        <f t="shared" si="11"/>
        <v>-4.7570702060904884</v>
      </c>
      <c r="G229" s="30">
        <f t="shared" si="12"/>
        <v>8898.3583688800045</v>
      </c>
      <c r="H229" s="30">
        <f t="shared" si="13"/>
        <v>466.54550695446051</v>
      </c>
      <c r="I229" s="30">
        <f t="shared" si="9"/>
        <v>8719.8155831509175</v>
      </c>
      <c r="J229" s="30">
        <f t="shared" si="14"/>
        <v>457.18441684908248</v>
      </c>
    </row>
    <row r="230" spans="1:10" ht="15" customHeight="1" x14ac:dyDescent="0.25">
      <c r="A230" s="27" t="s">
        <v>174</v>
      </c>
      <c r="B230" s="30">
        <f xml:space="preserve"> 7192</f>
        <v>7192</v>
      </c>
      <c r="C230" s="30">
        <v>0.92224046659864112</v>
      </c>
      <c r="D230" s="30">
        <f t="shared" si="8"/>
        <v>7798.399940663151</v>
      </c>
      <c r="E230" s="30">
        <f t="shared" si="10"/>
        <v>8796.7298552041375</v>
      </c>
      <c r="F230" s="30">
        <f t="shared" si="11"/>
        <v>-4.7570702060904884</v>
      </c>
      <c r="G230" s="30">
        <f t="shared" si="12"/>
        <v>8958.7427150824296</v>
      </c>
      <c r="H230" s="30">
        <f t="shared" si="13"/>
        <v>-1160.3427744192786</v>
      </c>
      <c r="I230" s="30">
        <f t="shared" si="9"/>
        <v>8262.1150616947962</v>
      </c>
      <c r="J230" s="30">
        <f t="shared" si="14"/>
        <v>-1070.1150616947962</v>
      </c>
    </row>
    <row r="231" spans="1:10" ht="15" customHeight="1" x14ac:dyDescent="0.25">
      <c r="A231" s="27" t="s">
        <v>175</v>
      </c>
      <c r="B231" s="30">
        <f xml:space="preserve"> 6624</f>
        <v>6624</v>
      </c>
      <c r="C231" s="30">
        <v>0.79667756022487357</v>
      </c>
      <c r="D231" s="30">
        <f t="shared" si="8"/>
        <v>8314.5306592171146</v>
      </c>
      <c r="E231" s="30">
        <f t="shared" si="10"/>
        <v>8725.3099281858831</v>
      </c>
      <c r="F231" s="30">
        <f t="shared" si="11"/>
        <v>-4.7570702060904884</v>
      </c>
      <c r="G231" s="30">
        <f t="shared" si="12"/>
        <v>8791.9727849980463</v>
      </c>
      <c r="H231" s="30">
        <f t="shared" si="13"/>
        <v>-477.44212578093175</v>
      </c>
      <c r="I231" s="30">
        <f t="shared" si="9"/>
        <v>7004.3674279157303</v>
      </c>
      <c r="J231" s="30">
        <f t="shared" si="14"/>
        <v>-380.36742791573033</v>
      </c>
    </row>
    <row r="232" spans="1:10" ht="15" customHeight="1" x14ac:dyDescent="0.25">
      <c r="A232" s="27" t="s">
        <v>176</v>
      </c>
      <c r="B232" s="30">
        <f xml:space="preserve"> 9084</f>
        <v>9084</v>
      </c>
      <c r="C232" s="30">
        <v>0.86010781790386404</v>
      </c>
      <c r="D232" s="30">
        <f t="shared" si="8"/>
        <v>10561.466610242273</v>
      </c>
      <c r="E232" s="30">
        <f t="shared" si="10"/>
        <v>8977.5904406394402</v>
      </c>
      <c r="F232" s="30">
        <f t="shared" si="11"/>
        <v>-4.7570702060904884</v>
      </c>
      <c r="G232" s="30">
        <f t="shared" si="12"/>
        <v>8720.552857979792</v>
      </c>
      <c r="H232" s="30">
        <f t="shared" si="13"/>
        <v>1840.9137522624806</v>
      </c>
      <c r="I232" s="30">
        <f t="shared" si="9"/>
        <v>7500.6156895923041</v>
      </c>
      <c r="J232" s="30">
        <f t="shared" si="14"/>
        <v>1583.3843104076959</v>
      </c>
    </row>
    <row r="233" spans="1:10" ht="15" customHeight="1" x14ac:dyDescent="0.25">
      <c r="A233" s="27" t="s">
        <v>177</v>
      </c>
      <c r="B233" s="30">
        <f xml:space="preserve"> 7771</f>
        <v>7771</v>
      </c>
      <c r="C233" s="30">
        <v>0.89662146022058675</v>
      </c>
      <c r="D233" s="30">
        <f t="shared" si="8"/>
        <v>8666.9797063391488</v>
      </c>
      <c r="E233" s="30">
        <f t="shared" si="10"/>
        <v>8930.1285525841959</v>
      </c>
      <c r="F233" s="30">
        <f t="shared" si="11"/>
        <v>-4.7570702060904884</v>
      </c>
      <c r="G233" s="30">
        <f t="shared" si="12"/>
        <v>8972.833370433349</v>
      </c>
      <c r="H233" s="30">
        <f t="shared" si="13"/>
        <v>-305.85366409420021</v>
      </c>
      <c r="I233" s="30">
        <f t="shared" si="9"/>
        <v>8045.2349589139585</v>
      </c>
      <c r="J233" s="30">
        <f t="shared" si="14"/>
        <v>-274.23495891395851</v>
      </c>
    </row>
    <row r="234" spans="1:10" ht="15" customHeight="1" x14ac:dyDescent="0.25">
      <c r="A234" s="27" t="s">
        <v>178</v>
      </c>
      <c r="B234" s="30">
        <f xml:space="preserve"> 9400</f>
        <v>9400</v>
      </c>
      <c r="C234" s="30">
        <v>0.96082308230047397</v>
      </c>
      <c r="D234" s="30">
        <f t="shared" si="8"/>
        <v>9783.2787046433368</v>
      </c>
      <c r="E234" s="30">
        <f t="shared" si="10"/>
        <v>9045.1567782868879</v>
      </c>
      <c r="F234" s="30">
        <f t="shared" si="11"/>
        <v>-4.7570702060904884</v>
      </c>
      <c r="G234" s="30">
        <f t="shared" si="12"/>
        <v>8925.3714823781047</v>
      </c>
      <c r="H234" s="30">
        <f t="shared" si="13"/>
        <v>857.90722226523212</v>
      </c>
      <c r="I234" s="30">
        <f t="shared" si="9"/>
        <v>8575.7029383752815</v>
      </c>
      <c r="J234" s="30">
        <f t="shared" si="14"/>
        <v>824.29706162471848</v>
      </c>
    </row>
    <row r="235" spans="1:10" ht="15" customHeight="1" x14ac:dyDescent="0.25">
      <c r="A235" s="27" t="s">
        <v>179</v>
      </c>
      <c r="B235" s="30">
        <f xml:space="preserve"> 9194</f>
        <v>9194</v>
      </c>
      <c r="C235" s="30">
        <v>1.0057061731177082</v>
      </c>
      <c r="D235" s="30">
        <f t="shared" si="8"/>
        <v>9141.8351062700804</v>
      </c>
      <c r="E235" s="30">
        <f t="shared" si="10"/>
        <v>9054.5626255529751</v>
      </c>
      <c r="F235" s="30">
        <f t="shared" si="11"/>
        <v>-4.7570702060904884</v>
      </c>
      <c r="G235" s="30">
        <f t="shared" si="12"/>
        <v>9040.3997080807967</v>
      </c>
      <c r="H235" s="30">
        <f t="shared" si="13"/>
        <v>101.43539818928366</v>
      </c>
      <c r="I235" s="30">
        <f t="shared" si="9"/>
        <v>9091.9857938683836</v>
      </c>
      <c r="J235" s="30">
        <f t="shared" si="14"/>
        <v>102.01420613161645</v>
      </c>
    </row>
    <row r="236" spans="1:10" ht="15" customHeight="1" x14ac:dyDescent="0.25">
      <c r="A236" s="27" t="s">
        <v>180</v>
      </c>
      <c r="B236" s="30">
        <f xml:space="preserve"> 10002</f>
        <v>10002</v>
      </c>
      <c r="C236" s="30">
        <v>1.083937309437295</v>
      </c>
      <c r="D236" s="30">
        <f t="shared" si="8"/>
        <v>9227.4709182142124</v>
      </c>
      <c r="E236" s="30">
        <f t="shared" si="10"/>
        <v>9074.612081637235</v>
      </c>
      <c r="F236" s="30">
        <f t="shared" si="11"/>
        <v>-4.7570702060904884</v>
      </c>
      <c r="G236" s="30">
        <f t="shared" si="12"/>
        <v>9049.8055553468839</v>
      </c>
      <c r="H236" s="30">
        <f t="shared" si="13"/>
        <v>177.66536286732844</v>
      </c>
      <c r="I236" s="30">
        <f t="shared" si="9"/>
        <v>9809.4218845933865</v>
      </c>
      <c r="J236" s="30">
        <f t="shared" si="14"/>
        <v>192.57811540661351</v>
      </c>
    </row>
    <row r="237" spans="1:10" ht="15" customHeight="1" x14ac:dyDescent="0.25">
      <c r="A237" s="27" t="s">
        <v>181</v>
      </c>
      <c r="B237" s="30">
        <f xml:space="preserve"> 10538</f>
        <v>10538</v>
      </c>
      <c r="C237" s="30">
        <v>1.1499841763423702</v>
      </c>
      <c r="D237" s="30">
        <f t="shared" si="8"/>
        <v>9163.6043493372872</v>
      </c>
      <c r="E237" s="30">
        <f t="shared" si="10"/>
        <v>9082.9447627362897</v>
      </c>
      <c r="F237" s="30">
        <f t="shared" si="11"/>
        <v>-4.7570702060904884</v>
      </c>
      <c r="G237" s="30">
        <f t="shared" si="12"/>
        <v>9069.8550114311438</v>
      </c>
      <c r="H237" s="30">
        <f t="shared" si="13"/>
        <v>93.74933790614341</v>
      </c>
      <c r="I237" s="30">
        <f t="shared" si="9"/>
        <v>10430.189744865362</v>
      </c>
      <c r="J237" s="30">
        <f t="shared" si="14"/>
        <v>107.81025513463828</v>
      </c>
    </row>
    <row r="238" spans="1:10" ht="15" customHeight="1" x14ac:dyDescent="0.25">
      <c r="A238" s="27" t="s">
        <v>182</v>
      </c>
      <c r="B238" s="30">
        <f xml:space="preserve"> 8717</f>
        <v>8717</v>
      </c>
      <c r="C238" s="30">
        <v>1.1534390964451762</v>
      </c>
      <c r="D238" s="30">
        <f t="shared" si="8"/>
        <v>7557.3994559966141</v>
      </c>
      <c r="E238" s="30">
        <f t="shared" si="10"/>
        <v>8865.8476350041965</v>
      </c>
      <c r="F238" s="30">
        <f t="shared" si="11"/>
        <v>-4.7570702060904884</v>
      </c>
      <c r="G238" s="30">
        <f t="shared" si="12"/>
        <v>9078.1876925301985</v>
      </c>
      <c r="H238" s="30">
        <f t="shared" si="13"/>
        <v>-1520.7882365335845</v>
      </c>
      <c r="I238" s="30">
        <f t="shared" si="9"/>
        <v>10471.136609431751</v>
      </c>
      <c r="J238" s="30">
        <f t="shared" si="14"/>
        <v>-1754.1366094317509</v>
      </c>
    </row>
    <row r="239" spans="1:10" ht="15" customHeight="1" x14ac:dyDescent="0.25">
      <c r="A239" s="27" t="s">
        <v>183</v>
      </c>
      <c r="B239" s="30">
        <f xml:space="preserve"> 11071</f>
        <v>11071</v>
      </c>
      <c r="C239" s="30">
        <v>1.1204231588868279</v>
      </c>
      <c r="D239" s="30">
        <f t="shared" si="8"/>
        <v>9881.0881515510191</v>
      </c>
      <c r="E239" s="30">
        <f t="shared" si="10"/>
        <v>9003.5077278484805</v>
      </c>
      <c r="F239" s="30">
        <f t="shared" si="11"/>
        <v>-4.7570702060904884</v>
      </c>
      <c r="G239" s="30">
        <f t="shared" si="12"/>
        <v>8861.0905647981053</v>
      </c>
      <c r="H239" s="30">
        <f t="shared" si="13"/>
        <v>1019.9975867529138</v>
      </c>
      <c r="I239" s="30">
        <f t="shared" si="9"/>
        <v>9928.1710817933581</v>
      </c>
      <c r="J239" s="30">
        <f t="shared" si="14"/>
        <v>1142.8289182066419</v>
      </c>
    </row>
    <row r="240" spans="1:10" ht="15" customHeight="1" x14ac:dyDescent="0.25">
      <c r="A240" s="27" t="s">
        <v>184</v>
      </c>
      <c r="B240" s="30">
        <f xml:space="preserve"> 9441</f>
        <v>9441</v>
      </c>
      <c r="C240" s="30">
        <v>1.0701050497972113</v>
      </c>
      <c r="D240" s="30">
        <f t="shared" si="8"/>
        <v>8822.4983162065291</v>
      </c>
      <c r="E240" s="30">
        <f t="shared" si="10"/>
        <v>8974.1414244694079</v>
      </c>
      <c r="F240" s="30">
        <f t="shared" si="11"/>
        <v>-4.7570702060904884</v>
      </c>
      <c r="G240" s="30">
        <f t="shared" si="12"/>
        <v>8998.7506576423893</v>
      </c>
      <c r="H240" s="30">
        <f t="shared" si="13"/>
        <v>-176.25234143586022</v>
      </c>
      <c r="I240" s="30">
        <f t="shared" si="9"/>
        <v>9629.6085206090975</v>
      </c>
      <c r="J240" s="30">
        <f t="shared" si="14"/>
        <v>-188.60852060909747</v>
      </c>
    </row>
    <row r="241" spans="1:10" ht="15" customHeight="1" x14ac:dyDescent="0.25">
      <c r="A241" s="27" t="s">
        <v>185</v>
      </c>
      <c r="B241" s="30">
        <f xml:space="preserve"> 8548</f>
        <v>8548</v>
      </c>
      <c r="C241" s="30">
        <v>0.97993531184881255</v>
      </c>
      <c r="D241" s="30">
        <f t="shared" si="8"/>
        <v>8723.024771780867</v>
      </c>
      <c r="E241" s="30">
        <f t="shared" si="10"/>
        <v>8934.9863975592052</v>
      </c>
      <c r="F241" s="30">
        <f t="shared" si="11"/>
        <v>-4.7570702060904884</v>
      </c>
      <c r="G241" s="30">
        <f t="shared" si="12"/>
        <v>8969.3843542633167</v>
      </c>
      <c r="H241" s="30">
        <f t="shared" si="13"/>
        <v>-246.3595824824497</v>
      </c>
      <c r="I241" s="30">
        <f t="shared" si="9"/>
        <v>8789.4164542868839</v>
      </c>
      <c r="J241" s="30">
        <f t="shared" si="14"/>
        <v>-241.41645428688389</v>
      </c>
    </row>
    <row r="242" spans="1:10" ht="15" customHeight="1" x14ac:dyDescent="0.25">
      <c r="A242" s="27" t="s">
        <v>186</v>
      </c>
      <c r="B242" s="30">
        <f xml:space="preserve"> 8566</f>
        <v>8566</v>
      </c>
      <c r="C242" s="30">
        <v>0.92224046659864112</v>
      </c>
      <c r="D242" s="30">
        <f t="shared" si="8"/>
        <v>9288.2499849444594</v>
      </c>
      <c r="E242" s="30">
        <f t="shared" si="10"/>
        <v>8980.2179616693065</v>
      </c>
      <c r="F242" s="30">
        <f t="shared" si="11"/>
        <v>-4.7570702060904884</v>
      </c>
      <c r="G242" s="30">
        <f t="shared" si="12"/>
        <v>8930.2293273531141</v>
      </c>
      <c r="H242" s="30">
        <f t="shared" si="13"/>
        <v>358.0206575913453</v>
      </c>
      <c r="I242" s="30">
        <f t="shared" si="9"/>
        <v>8235.8188616910047</v>
      </c>
      <c r="J242" s="30">
        <f t="shared" si="14"/>
        <v>330.18113830899529</v>
      </c>
    </row>
    <row r="243" spans="1:10" ht="15" customHeight="1" x14ac:dyDescent="0.25">
      <c r="A243" s="27" t="s">
        <v>187</v>
      </c>
      <c r="B243" s="30">
        <f xml:space="preserve"> 7876</f>
        <v>7876</v>
      </c>
      <c r="C243" s="30">
        <v>0.79667756022487357</v>
      </c>
      <c r="D243" s="30">
        <f t="shared" si="8"/>
        <v>9886.0572874387053</v>
      </c>
      <c r="E243" s="30">
        <f t="shared" si="10"/>
        <v>9102.6029132512922</v>
      </c>
      <c r="F243" s="30">
        <f t="shared" si="11"/>
        <v>-4.7570702060904884</v>
      </c>
      <c r="G243" s="30">
        <f t="shared" si="12"/>
        <v>8975.4608914632154</v>
      </c>
      <c r="H243" s="30">
        <f t="shared" si="13"/>
        <v>910.59639597548994</v>
      </c>
      <c r="I243" s="30">
        <f t="shared" si="9"/>
        <v>7150.548284904683</v>
      </c>
      <c r="J243" s="30">
        <f t="shared" si="14"/>
        <v>725.45171509531701</v>
      </c>
    </row>
    <row r="244" spans="1:10" ht="15" customHeight="1" x14ac:dyDescent="0.25">
      <c r="A244" s="27" t="s">
        <v>188</v>
      </c>
      <c r="B244" s="30">
        <f xml:space="preserve"> 7534</f>
        <v>7534</v>
      </c>
      <c r="C244" s="30">
        <v>0.86010781790386404</v>
      </c>
      <c r="D244" s="30">
        <f t="shared" si="8"/>
        <v>8759.3669574598498</v>
      </c>
      <c r="E244" s="30">
        <f t="shared" si="10"/>
        <v>9050.5857286453465</v>
      </c>
      <c r="F244" s="30">
        <f t="shared" si="11"/>
        <v>-4.7570702060904884</v>
      </c>
      <c r="G244" s="30">
        <f t="shared" si="12"/>
        <v>9097.845843045201</v>
      </c>
      <c r="H244" s="30">
        <f t="shared" si="13"/>
        <v>-338.47888558535124</v>
      </c>
      <c r="I244" s="30">
        <f t="shared" ref="I244:I271" si="15">G244*C244</f>
        <v>7825.1283356873482</v>
      </c>
      <c r="J244" s="30">
        <f t="shared" si="14"/>
        <v>-291.12833568734823</v>
      </c>
    </row>
    <row r="245" spans="1:10" ht="15" customHeight="1" x14ac:dyDescent="0.25">
      <c r="A245" s="27" t="s">
        <v>189</v>
      </c>
      <c r="B245" s="30">
        <f xml:space="preserve"> 7125</f>
        <v>7125</v>
      </c>
      <c r="C245" s="30">
        <v>0.89662146022058675</v>
      </c>
      <c r="D245" s="30">
        <f t="shared" si="8"/>
        <v>7946.4972857632783</v>
      </c>
      <c r="E245" s="30">
        <f t="shared" si="10"/>
        <v>8892.3345155293719</v>
      </c>
      <c r="F245" s="30">
        <f t="shared" si="11"/>
        <v>-4.7570702060904884</v>
      </c>
      <c r="G245" s="30">
        <f t="shared" si="12"/>
        <v>9045.8286584392554</v>
      </c>
      <c r="H245" s="30">
        <f t="shared" si="13"/>
        <v>-1099.331372675977</v>
      </c>
      <c r="I245" s="30">
        <f t="shared" si="15"/>
        <v>8110.6841006350369</v>
      </c>
      <c r="J245" s="30">
        <f t="shared" si="14"/>
        <v>-985.68410063503688</v>
      </c>
    </row>
    <row r="246" spans="1:10" ht="15" customHeight="1" x14ac:dyDescent="0.25">
      <c r="A246" s="27" t="s">
        <v>190</v>
      </c>
      <c r="B246" s="30">
        <f xml:space="preserve"> 8743</f>
        <v>8743</v>
      </c>
      <c r="C246" s="30">
        <v>0.96082308230047397</v>
      </c>
      <c r="D246" s="30">
        <f t="shared" si="8"/>
        <v>9099.4899696485845</v>
      </c>
      <c r="E246" s="30">
        <f t="shared" si="10"/>
        <v>8917.1657315322009</v>
      </c>
      <c r="F246" s="30">
        <f t="shared" si="11"/>
        <v>-4.7570702060904884</v>
      </c>
      <c r="G246" s="30">
        <f t="shared" si="12"/>
        <v>8887.5774453232807</v>
      </c>
      <c r="H246" s="30">
        <f t="shared" si="13"/>
        <v>211.91252432530382</v>
      </c>
      <c r="I246" s="30">
        <f t="shared" si="15"/>
        <v>8539.3895551996866</v>
      </c>
      <c r="J246" s="30">
        <f t="shared" si="14"/>
        <v>203.61044480031342</v>
      </c>
    </row>
    <row r="247" spans="1:10" ht="15" customHeight="1" x14ac:dyDescent="0.25">
      <c r="A247" s="27" t="s">
        <v>191</v>
      </c>
      <c r="B247" s="30">
        <f xml:space="preserve"> 9070</f>
        <v>9070</v>
      </c>
      <c r="C247" s="30">
        <v>1.0057061731177082</v>
      </c>
      <c r="D247" s="30">
        <f t="shared" si="8"/>
        <v>9018.5386571535382</v>
      </c>
      <c r="E247" s="30">
        <f t="shared" si="10"/>
        <v>8927.2270619935134</v>
      </c>
      <c r="F247" s="30">
        <f t="shared" si="11"/>
        <v>-4.7570702060904884</v>
      </c>
      <c r="G247" s="30">
        <f t="shared" si="12"/>
        <v>8912.4086613261097</v>
      </c>
      <c r="H247" s="30">
        <f t="shared" si="13"/>
        <v>106.1299958274285</v>
      </c>
      <c r="I247" s="30">
        <f t="shared" si="15"/>
        <v>8963.2644080433984</v>
      </c>
      <c r="J247" s="30">
        <f t="shared" si="14"/>
        <v>106.73559195660164</v>
      </c>
    </row>
    <row r="248" spans="1:10" ht="15" customHeight="1" x14ac:dyDescent="0.25">
      <c r="A248" s="27" t="s">
        <v>192</v>
      </c>
      <c r="B248" s="30">
        <f xml:space="preserve"> 9132</f>
        <v>9132</v>
      </c>
      <c r="C248" s="30">
        <v>1.083937309437295</v>
      </c>
      <c r="D248" s="30">
        <f t="shared" si="8"/>
        <v>8424.8414742183759</v>
      </c>
      <c r="E248" s="30">
        <f t="shared" si="10"/>
        <v>8852.9886100218428</v>
      </c>
      <c r="F248" s="30">
        <f t="shared" si="11"/>
        <v>-4.7570702060904884</v>
      </c>
      <c r="G248" s="30">
        <f t="shared" si="12"/>
        <v>8922.4699917874223</v>
      </c>
      <c r="H248" s="30">
        <f t="shared" si="13"/>
        <v>-497.62851756904638</v>
      </c>
      <c r="I248" s="30">
        <f t="shared" si="15"/>
        <v>9671.3981164330617</v>
      </c>
      <c r="J248" s="30">
        <f t="shared" si="14"/>
        <v>-539.39811643306166</v>
      </c>
    </row>
    <row r="249" spans="1:10" ht="15" customHeight="1" x14ac:dyDescent="0.25">
      <c r="A249" s="27" t="s">
        <v>193</v>
      </c>
      <c r="B249" s="30">
        <f xml:space="preserve"> 10237</f>
        <v>10237</v>
      </c>
      <c r="C249" s="30">
        <v>1.1499841763423702</v>
      </c>
      <c r="D249" s="30">
        <f t="shared" si="8"/>
        <v>8901.8616174004364</v>
      </c>
      <c r="E249" s="30">
        <f t="shared" si="10"/>
        <v>8855.7196393985123</v>
      </c>
      <c r="F249" s="30">
        <f t="shared" si="11"/>
        <v>-4.7570702060904884</v>
      </c>
      <c r="G249" s="30">
        <f t="shared" si="12"/>
        <v>8848.2315398157516</v>
      </c>
      <c r="H249" s="30">
        <f t="shared" si="13"/>
        <v>53.630077584684841</v>
      </c>
      <c r="I249" s="30">
        <f t="shared" si="15"/>
        <v>10175.3262594016</v>
      </c>
      <c r="J249" s="30">
        <f t="shared" si="14"/>
        <v>61.6737405984004</v>
      </c>
    </row>
    <row r="250" spans="1:10" ht="15" customHeight="1" x14ac:dyDescent="0.25">
      <c r="A250" s="27" t="s">
        <v>194</v>
      </c>
      <c r="B250" s="30">
        <f xml:space="preserve"> 9414</f>
        <v>9414</v>
      </c>
      <c r="C250" s="30">
        <v>1.1534390964451762</v>
      </c>
      <c r="D250" s="30">
        <f t="shared" si="8"/>
        <v>8161.679302369178</v>
      </c>
      <c r="E250" s="30">
        <f t="shared" si="10"/>
        <v>8754.7213930622256</v>
      </c>
      <c r="F250" s="30">
        <f t="shared" si="11"/>
        <v>-4.7570702060904884</v>
      </c>
      <c r="G250" s="30">
        <f t="shared" si="12"/>
        <v>8850.9625691924211</v>
      </c>
      <c r="H250" s="30">
        <f t="shared" si="13"/>
        <v>-689.28326682324314</v>
      </c>
      <c r="I250" s="30">
        <f t="shared" si="15"/>
        <v>10209.046268479382</v>
      </c>
      <c r="J250" s="30">
        <f t="shared" si="14"/>
        <v>-795.04626847938198</v>
      </c>
    </row>
    <row r="251" spans="1:10" ht="15" customHeight="1" x14ac:dyDescent="0.25">
      <c r="A251" s="27" t="s">
        <v>195</v>
      </c>
      <c r="B251" s="30">
        <f xml:space="preserve"> 9033</f>
        <v>9033</v>
      </c>
      <c r="C251" s="30">
        <v>1.1204231588868279</v>
      </c>
      <c r="D251" s="30">
        <f t="shared" si="8"/>
        <v>8062.1325330106001</v>
      </c>
      <c r="E251" s="30">
        <f t="shared" si="10"/>
        <v>8653.9258091989523</v>
      </c>
      <c r="F251" s="30">
        <f t="shared" si="11"/>
        <v>-4.7570702060904884</v>
      </c>
      <c r="G251" s="30">
        <f t="shared" si="12"/>
        <v>8749.9643228561345</v>
      </c>
      <c r="H251" s="30">
        <f t="shared" si="13"/>
        <v>-687.83178984553433</v>
      </c>
      <c r="I251" s="30">
        <f t="shared" si="15"/>
        <v>9803.6626667615146</v>
      </c>
      <c r="J251" s="30">
        <f t="shared" si="14"/>
        <v>-770.66266676151463</v>
      </c>
    </row>
    <row r="252" spans="1:10" ht="15" customHeight="1" x14ac:dyDescent="0.25">
      <c r="A252" s="27" t="s">
        <v>196</v>
      </c>
      <c r="B252" s="30">
        <f xml:space="preserve"> 8375</f>
        <v>8375</v>
      </c>
      <c r="C252" s="30">
        <v>1.0701050497972113</v>
      </c>
      <c r="D252" s="30">
        <f t="shared" si="8"/>
        <v>7826.3344347240409</v>
      </c>
      <c r="E252" s="30">
        <f t="shared" si="10"/>
        <v>8534.2804992593265</v>
      </c>
      <c r="F252" s="30">
        <f t="shared" si="11"/>
        <v>-4.7570702060904884</v>
      </c>
      <c r="G252" s="30">
        <f t="shared" si="12"/>
        <v>8649.1687389928611</v>
      </c>
      <c r="H252" s="30">
        <f t="shared" si="13"/>
        <v>-822.83430426882023</v>
      </c>
      <c r="I252" s="30">
        <f t="shared" si="15"/>
        <v>9255.5191441444385</v>
      </c>
      <c r="J252" s="30">
        <f t="shared" si="14"/>
        <v>-880.51914414443854</v>
      </c>
    </row>
    <row r="253" spans="1:10" ht="15" customHeight="1" x14ac:dyDescent="0.25">
      <c r="A253" s="27" t="s">
        <v>197</v>
      </c>
      <c r="B253" s="30">
        <f xml:space="preserve"> 8906</f>
        <v>8906</v>
      </c>
      <c r="C253" s="30">
        <v>0.97993531184881255</v>
      </c>
      <c r="D253" s="30">
        <f t="shared" si="8"/>
        <v>9088.3550090641547</v>
      </c>
      <c r="E253" s="30">
        <f t="shared" si="10"/>
        <v>8607.5502884122598</v>
      </c>
      <c r="F253" s="30">
        <f t="shared" si="11"/>
        <v>-4.7570702060904884</v>
      </c>
      <c r="G253" s="30">
        <f t="shared" si="12"/>
        <v>8529.5234290532353</v>
      </c>
      <c r="H253" s="30">
        <f t="shared" si="13"/>
        <v>558.83158001091942</v>
      </c>
      <c r="I253" s="30">
        <f t="shared" si="15"/>
        <v>8358.3812013710358</v>
      </c>
      <c r="J253" s="30">
        <f t="shared" si="14"/>
        <v>547.61879862896421</v>
      </c>
    </row>
    <row r="254" spans="1:10" ht="15" customHeight="1" x14ac:dyDescent="0.25">
      <c r="A254" s="27" t="s">
        <v>198</v>
      </c>
      <c r="B254" s="30">
        <f xml:space="preserve"> 7122</f>
        <v>7122</v>
      </c>
      <c r="C254" s="30">
        <v>0.92224046659864112</v>
      </c>
      <c r="D254" s="30">
        <f t="shared" si="8"/>
        <v>7722.4978277812797</v>
      </c>
      <c r="E254" s="30">
        <f t="shared" si="10"/>
        <v>8479.8819743180939</v>
      </c>
      <c r="F254" s="30">
        <f t="shared" si="11"/>
        <v>-4.7570702060904884</v>
      </c>
      <c r="G254" s="30">
        <f t="shared" si="12"/>
        <v>8602.7932182061686</v>
      </c>
      <c r="H254" s="30">
        <f t="shared" si="13"/>
        <v>-880.29539042488886</v>
      </c>
      <c r="I254" s="30">
        <f t="shared" si="15"/>
        <v>7933.8440316100823</v>
      </c>
      <c r="J254" s="30">
        <f t="shared" si="14"/>
        <v>-811.84403161008231</v>
      </c>
    </row>
    <row r="255" spans="1:10" ht="15" customHeight="1" x14ac:dyDescent="0.25">
      <c r="A255" s="27" t="s">
        <v>199</v>
      </c>
      <c r="B255" s="30">
        <f xml:space="preserve"> 7193</f>
        <v>7193</v>
      </c>
      <c r="C255" s="30">
        <v>0.79667756022487357</v>
      </c>
      <c r="D255" s="30">
        <f t="shared" si="8"/>
        <v>9028.7468345031248</v>
      </c>
      <c r="E255" s="30">
        <f t="shared" si="10"/>
        <v>8552.4243661428627</v>
      </c>
      <c r="F255" s="30">
        <f t="shared" si="11"/>
        <v>-4.7570702060904884</v>
      </c>
      <c r="G255" s="30">
        <f t="shared" si="12"/>
        <v>8475.1249041120027</v>
      </c>
      <c r="H255" s="30">
        <f t="shared" si="13"/>
        <v>553.62193039112208</v>
      </c>
      <c r="I255" s="30">
        <f t="shared" si="15"/>
        <v>6751.9418312090156</v>
      </c>
      <c r="J255" s="30">
        <f t="shared" si="14"/>
        <v>441.05816879098438</v>
      </c>
    </row>
    <row r="256" spans="1:10" ht="15" customHeight="1" x14ac:dyDescent="0.25">
      <c r="A256" s="27" t="s">
        <v>200</v>
      </c>
      <c r="B256" s="30">
        <f xml:space="preserve"> 7619</f>
        <v>7619</v>
      </c>
      <c r="C256" s="30">
        <v>0.86010781790386404</v>
      </c>
      <c r="D256" s="30">
        <f t="shared" si="8"/>
        <v>8858.1917771285625</v>
      </c>
      <c r="E256" s="30">
        <f t="shared" si="10"/>
        <v>8591.024276623175</v>
      </c>
      <c r="F256" s="30">
        <f t="shared" si="11"/>
        <v>-4.7570702060904884</v>
      </c>
      <c r="G256" s="30">
        <f t="shared" si="12"/>
        <v>8547.6672959367716</v>
      </c>
      <c r="H256" s="30">
        <f t="shared" si="13"/>
        <v>310.52448119179098</v>
      </c>
      <c r="I256" s="30">
        <f t="shared" si="15"/>
        <v>7351.9154660763988</v>
      </c>
      <c r="J256" s="30">
        <f t="shared" si="14"/>
        <v>267.08453392360116</v>
      </c>
    </row>
    <row r="257" spans="1:10" ht="15" customHeight="1" x14ac:dyDescent="0.25">
      <c r="A257" s="27" t="s">
        <v>201</v>
      </c>
      <c r="B257" s="30">
        <f xml:space="preserve"> 7793</f>
        <v>7793</v>
      </c>
      <c r="C257" s="30">
        <v>0.89662146022058675</v>
      </c>
      <c r="D257" s="30">
        <f t="shared" si="8"/>
        <v>8691.516259361857</v>
      </c>
      <c r="E257" s="30">
        <f t="shared" si="10"/>
        <v>8600.962605434499</v>
      </c>
      <c r="F257" s="30">
        <f t="shared" si="11"/>
        <v>-4.7570702060904884</v>
      </c>
      <c r="G257" s="30">
        <f t="shared" si="12"/>
        <v>8586.2672064170838</v>
      </c>
      <c r="H257" s="30">
        <f t="shared" si="13"/>
        <v>105.24905294477321</v>
      </c>
      <c r="I257" s="30">
        <f t="shared" si="15"/>
        <v>7698.6314404618242</v>
      </c>
      <c r="J257" s="30">
        <f t="shared" si="14"/>
        <v>94.368559538175759</v>
      </c>
    </row>
    <row r="258" spans="1:10" ht="15" customHeight="1" x14ac:dyDescent="0.25">
      <c r="A258" s="27" t="s">
        <v>202</v>
      </c>
      <c r="B258" s="30">
        <f xml:space="preserve"> 7434</f>
        <v>7434</v>
      </c>
      <c r="C258" s="30">
        <v>0.96082308230047397</v>
      </c>
      <c r="D258" s="30">
        <f t="shared" si="8"/>
        <v>7737.1163713104861</v>
      </c>
      <c r="E258" s="30">
        <f t="shared" si="10"/>
        <v>8476.2552107163683</v>
      </c>
      <c r="F258" s="30">
        <f t="shared" si="11"/>
        <v>-4.7570702060904884</v>
      </c>
      <c r="G258" s="30">
        <f t="shared" si="12"/>
        <v>8596.2055352284078</v>
      </c>
      <c r="H258" s="30">
        <f t="shared" si="13"/>
        <v>-859.08916391792172</v>
      </c>
      <c r="I258" s="30">
        <f t="shared" si="15"/>
        <v>8259.4326984465552</v>
      </c>
      <c r="J258" s="30">
        <f t="shared" si="14"/>
        <v>-825.43269844655515</v>
      </c>
    </row>
    <row r="259" spans="1:10" ht="15" customHeight="1" x14ac:dyDescent="0.25">
      <c r="A259" s="27" t="s">
        <v>203</v>
      </c>
      <c r="B259" s="30">
        <f xml:space="preserve"> 10299</f>
        <v>10299</v>
      </c>
      <c r="C259" s="30">
        <v>1.0057061731177082</v>
      </c>
      <c r="D259" s="30">
        <f t="shared" si="8"/>
        <v>10240.565560090881</v>
      </c>
      <c r="E259" s="30">
        <f t="shared" si="10"/>
        <v>8718.5041789692186</v>
      </c>
      <c r="F259" s="30">
        <f t="shared" si="11"/>
        <v>-4.7570702060904884</v>
      </c>
      <c r="G259" s="30">
        <f t="shared" si="12"/>
        <v>8471.4981405102772</v>
      </c>
      <c r="H259" s="30">
        <f t="shared" si="13"/>
        <v>1769.0674195806041</v>
      </c>
      <c r="I259" s="30">
        <f t="shared" si="15"/>
        <v>8519.8379754663711</v>
      </c>
      <c r="J259" s="30">
        <f t="shared" si="14"/>
        <v>1779.1620245336289</v>
      </c>
    </row>
    <row r="260" spans="1:10" ht="15" customHeight="1" x14ac:dyDescent="0.25">
      <c r="A260" s="27" t="s">
        <v>204</v>
      </c>
      <c r="B260" s="30">
        <f xml:space="preserve"> 9082</f>
        <v>9082</v>
      </c>
      <c r="C260" s="30">
        <v>1.083937309437295</v>
      </c>
      <c r="D260" s="30">
        <f t="shared" si="8"/>
        <v>8378.7133452530979</v>
      </c>
      <c r="E260" s="30">
        <f t="shared" si="10"/>
        <v>8666.9680195330402</v>
      </c>
      <c r="F260" s="30">
        <f t="shared" si="11"/>
        <v>-4.7570702060904884</v>
      </c>
      <c r="G260" s="30">
        <f t="shared" si="12"/>
        <v>8713.7471087631275</v>
      </c>
      <c r="H260" s="30">
        <f t="shared" si="13"/>
        <v>-335.03376351002953</v>
      </c>
      <c r="I260" s="30">
        <f t="shared" si="15"/>
        <v>9445.1555961897138</v>
      </c>
      <c r="J260" s="30">
        <f t="shared" si="14"/>
        <v>-363.15559618971383</v>
      </c>
    </row>
    <row r="261" spans="1:10" ht="15" customHeight="1" x14ac:dyDescent="0.25">
      <c r="A261" s="27" t="s">
        <v>205</v>
      </c>
      <c r="B261" s="30">
        <f xml:space="preserve"> 9805</f>
        <v>9805</v>
      </c>
      <c r="C261" s="30">
        <v>1.1499841763423702</v>
      </c>
      <c r="D261" s="30">
        <f t="shared" si="8"/>
        <v>8526.204274554193</v>
      </c>
      <c r="E261" s="30">
        <f t="shared" si="10"/>
        <v>8643.2210173618041</v>
      </c>
      <c r="F261" s="30">
        <f t="shared" si="11"/>
        <v>-4.7570702060904884</v>
      </c>
      <c r="G261" s="30">
        <f t="shared" si="12"/>
        <v>8662.210949326949</v>
      </c>
      <c r="H261" s="30">
        <f t="shared" si="13"/>
        <v>-136.00667477275601</v>
      </c>
      <c r="I261" s="30">
        <f t="shared" si="15"/>
        <v>9961.405523865611</v>
      </c>
      <c r="J261" s="30">
        <f t="shared" si="14"/>
        <v>-156.40552386561103</v>
      </c>
    </row>
    <row r="262" spans="1:10" ht="15" customHeight="1" x14ac:dyDescent="0.25">
      <c r="A262" s="27" t="s">
        <v>206</v>
      </c>
      <c r="B262" s="30">
        <f xml:space="preserve"> 10482</f>
        <v>10482</v>
      </c>
      <c r="C262" s="30">
        <v>1.1534390964451762</v>
      </c>
      <c r="D262" s="30">
        <f t="shared" si="8"/>
        <v>9087.6059536258472</v>
      </c>
      <c r="E262" s="30">
        <f t="shared" si="10"/>
        <v>8701.1753998091062</v>
      </c>
      <c r="F262" s="30">
        <f t="shared" si="11"/>
        <v>-4.7570702060904884</v>
      </c>
      <c r="G262" s="30">
        <f t="shared" si="12"/>
        <v>8638.463947155713</v>
      </c>
      <c r="H262" s="30">
        <f t="shared" si="13"/>
        <v>449.14200647013422</v>
      </c>
      <c r="I262" s="30">
        <f t="shared" si="15"/>
        <v>9963.9420498815161</v>
      </c>
      <c r="J262" s="30">
        <f t="shared" si="14"/>
        <v>518.05795011848386</v>
      </c>
    </row>
    <row r="263" spans="1:10" ht="15" customHeight="1" x14ac:dyDescent="0.25">
      <c r="A263" s="40" t="s">
        <v>207</v>
      </c>
      <c r="B263" s="41">
        <f xml:space="preserve"> 10858</f>
        <v>10858</v>
      </c>
      <c r="C263" s="41">
        <v>1.1204231588868279</v>
      </c>
      <c r="D263" s="41">
        <f t="shared" si="8"/>
        <v>9690.9814063355589</v>
      </c>
      <c r="E263" s="41">
        <f t="shared" si="10"/>
        <v>8835.2841991917976</v>
      </c>
      <c r="F263" s="41">
        <f t="shared" si="11"/>
        <v>-4.7570702060904884</v>
      </c>
      <c r="G263" s="41">
        <f t="shared" si="12"/>
        <v>8696.4183296030151</v>
      </c>
      <c r="H263" s="41">
        <f t="shared" si="13"/>
        <v>994.56307673254378</v>
      </c>
      <c r="I263" s="41">
        <f t="shared" si="15"/>
        <v>9743.6684958551214</v>
      </c>
      <c r="J263" s="41">
        <f t="shared" si="14"/>
        <v>1114.3315041448786</v>
      </c>
    </row>
    <row r="264" spans="1:10" ht="15" customHeight="1" x14ac:dyDescent="0.25">
      <c r="A264" s="27" t="s">
        <v>208</v>
      </c>
      <c r="B264" s="30"/>
      <c r="C264" s="30">
        <v>1.0701050497972113</v>
      </c>
      <c r="D264" s="30"/>
      <c r="E264" s="30"/>
      <c r="F264" s="30"/>
      <c r="G264" s="30">
        <f>E263+(1*F263)</f>
        <v>8830.5271289857064</v>
      </c>
      <c r="H264" s="30"/>
      <c r="I264" s="30">
        <f t="shared" si="15"/>
        <v>9449.5916730988756</v>
      </c>
      <c r="J264" s="30"/>
    </row>
    <row r="265" spans="1:10" ht="15" customHeight="1" x14ac:dyDescent="0.25">
      <c r="A265" s="27" t="s">
        <v>213</v>
      </c>
      <c r="B265" s="30"/>
      <c r="C265" s="30">
        <v>0.97993531184881255</v>
      </c>
      <c r="D265" s="30"/>
      <c r="E265" s="30"/>
      <c r="F265" s="30"/>
      <c r="G265" s="30">
        <f>E263+(2*F263)</f>
        <v>8825.7700587796171</v>
      </c>
      <c r="H265" s="30"/>
      <c r="I265" s="30">
        <f t="shared" si="15"/>
        <v>8648.6837348561166</v>
      </c>
      <c r="J265" s="30"/>
    </row>
    <row r="266" spans="1:10" ht="15" customHeight="1" x14ac:dyDescent="0.25">
      <c r="A266" s="27" t="s">
        <v>214</v>
      </c>
      <c r="B266" s="30"/>
      <c r="C266" s="30">
        <v>0.92224046659864112</v>
      </c>
      <c r="D266" s="30"/>
      <c r="E266" s="30"/>
      <c r="F266" s="30"/>
      <c r="G266" s="30">
        <f>E263+(3*F263)</f>
        <v>8821.0129885735259</v>
      </c>
      <c r="H266" s="30"/>
      <c r="I266" s="30">
        <f t="shared" si="15"/>
        <v>8135.095134454722</v>
      </c>
      <c r="J266" s="30"/>
    </row>
    <row r="267" spans="1:10" ht="15" customHeight="1" x14ac:dyDescent="0.25">
      <c r="A267" s="27" t="s">
        <v>215</v>
      </c>
      <c r="B267" s="30"/>
      <c r="C267" s="30">
        <v>0.79667756022487357</v>
      </c>
      <c r="D267" s="30"/>
      <c r="E267" s="30"/>
      <c r="F267" s="30"/>
      <c r="G267" s="30">
        <f>E263+(4*F263)</f>
        <v>8816.2559183674348</v>
      </c>
      <c r="H267" s="30"/>
      <c r="I267" s="30">
        <f t="shared" si="15"/>
        <v>7023.7132553630699</v>
      </c>
      <c r="J267" s="30"/>
    </row>
    <row r="268" spans="1:10" ht="15" customHeight="1" x14ac:dyDescent="0.25">
      <c r="A268" s="27" t="s">
        <v>216</v>
      </c>
      <c r="B268" s="30"/>
      <c r="C268" s="30">
        <v>0.86010781790386404</v>
      </c>
      <c r="D268" s="30"/>
      <c r="E268" s="30"/>
      <c r="F268" s="30"/>
      <c r="G268" s="30">
        <f>E263+(5*F263)</f>
        <v>8811.4988481613454</v>
      </c>
      <c r="H268" s="30"/>
      <c r="I268" s="30">
        <f t="shared" si="15"/>
        <v>7578.8390467544659</v>
      </c>
      <c r="J268" s="30"/>
    </row>
    <row r="269" spans="1:10" ht="15" customHeight="1" x14ac:dyDescent="0.25">
      <c r="A269" s="27" t="s">
        <v>217</v>
      </c>
      <c r="B269" s="30"/>
      <c r="C269" s="30">
        <v>0.89662146022058675</v>
      </c>
      <c r="D269" s="30"/>
      <c r="E269" s="30"/>
      <c r="F269" s="30"/>
      <c r="G269" s="30">
        <f>E263+(6*F263)</f>
        <v>8806.7417779552543</v>
      </c>
      <c r="H269" s="30"/>
      <c r="I269" s="30">
        <f t="shared" si="15"/>
        <v>7896.3136727358869</v>
      </c>
      <c r="J269" s="30"/>
    </row>
    <row r="270" spans="1:10" ht="15" customHeight="1" x14ac:dyDescent="0.25">
      <c r="A270" s="27" t="s">
        <v>218</v>
      </c>
      <c r="B270" s="30"/>
      <c r="C270" s="30">
        <v>0.96082308230047397</v>
      </c>
      <c r="D270" s="30"/>
      <c r="E270" s="30"/>
      <c r="F270" s="30"/>
      <c r="G270" s="30">
        <f>E263+(7*F263)</f>
        <v>8801.984707749165</v>
      </c>
      <c r="H270" s="30"/>
      <c r="I270" s="30">
        <f t="shared" si="15"/>
        <v>8457.1500772611889</v>
      </c>
      <c r="J270" s="30"/>
    </row>
    <row r="271" spans="1:10" ht="15" customHeight="1" x14ac:dyDescent="0.25">
      <c r="A271" s="27" t="s">
        <v>219</v>
      </c>
      <c r="B271" s="30"/>
      <c r="C271" s="30">
        <v>1.0057061731177082</v>
      </c>
      <c r="D271" s="30"/>
      <c r="E271" s="30"/>
      <c r="F271" s="30"/>
      <c r="G271" s="30">
        <f>E263+(8*F263)</f>
        <v>8797.2276375430738</v>
      </c>
      <c r="H271" s="30"/>
      <c r="I271" s="30">
        <f t="shared" si="15"/>
        <v>8847.4261413987806</v>
      </c>
      <c r="J271" s="30"/>
    </row>
  </sheetData>
  <pageMargins left="0.7" right="0.7" top="0.75" bottom="0.75" header="0.3" footer="0.3"/>
  <pageSetup paperSize="9" orientation="portrait" r:id="rId1"/>
  <drawing r:id="rId2"/>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60"/>
  <sheetViews>
    <sheetView showGridLines="0" workbookViewId="0">
      <selection activeCell="K12" sqref="K12"/>
    </sheetView>
  </sheetViews>
  <sheetFormatPr defaultColWidth="12.7109375" defaultRowHeight="15" x14ac:dyDescent="0.25"/>
  <cols>
    <col min="1" max="1" width="16.28515625" bestFit="1" customWidth="1"/>
    <col min="2" max="2" width="12.7109375" customWidth="1"/>
  </cols>
  <sheetData>
    <row r="1" spans="1:2" s="16" customFormat="1" ht="18.75" x14ac:dyDescent="0.3">
      <c r="A1" s="22" t="s">
        <v>75</v>
      </c>
      <c r="B1" s="20"/>
    </row>
    <row r="2" spans="1:2" s="16" customFormat="1" ht="11.25" x14ac:dyDescent="0.2">
      <c r="A2" s="18" t="s">
        <v>76</v>
      </c>
      <c r="B2" s="20" t="s">
        <v>238</v>
      </c>
    </row>
    <row r="3" spans="1:2" s="16" customFormat="1" ht="11.25" x14ac:dyDescent="0.2">
      <c r="A3" s="18" t="s">
        <v>78</v>
      </c>
      <c r="B3" s="20" t="s">
        <v>79</v>
      </c>
    </row>
    <row r="4" spans="1:2" s="16" customFormat="1" ht="11.25" x14ac:dyDescent="0.2">
      <c r="A4" s="18" t="s">
        <v>80</v>
      </c>
      <c r="B4" s="23">
        <v>45067</v>
      </c>
    </row>
    <row r="5" spans="1:2" s="17" customFormat="1" ht="11.25" x14ac:dyDescent="0.2">
      <c r="A5" s="19" t="s">
        <v>81</v>
      </c>
      <c r="B5" s="21" t="s">
        <v>211</v>
      </c>
    </row>
    <row r="7" spans="1:2" ht="15" customHeight="1" x14ac:dyDescent="0.25"/>
    <row r="8" spans="1:2" ht="15" customHeight="1" x14ac:dyDescent="0.25"/>
    <row r="9" spans="1:2" ht="15" customHeight="1" x14ac:dyDescent="0.25"/>
    <row r="10" spans="1:2" ht="15" customHeight="1" x14ac:dyDescent="0.25"/>
    <row r="11" spans="1:2" ht="15" customHeight="1" x14ac:dyDescent="0.25"/>
    <row r="12" spans="1:2" ht="15" customHeight="1" x14ac:dyDescent="0.25"/>
    <row r="13" spans="1:2" ht="15" customHeight="1" x14ac:dyDescent="0.25"/>
    <row r="14" spans="1:2" ht="15" customHeight="1" x14ac:dyDescent="0.25"/>
    <row r="15" spans="1:2" ht="15" customHeight="1" x14ac:dyDescent="0.25"/>
    <row r="16" spans="1:2" ht="15" customHeight="1" x14ac:dyDescent="0.25"/>
    <row r="17" spans="1:2" ht="15" customHeight="1" x14ac:dyDescent="0.25"/>
    <row r="18" spans="1:2" ht="15" customHeight="1" x14ac:dyDescent="0.25"/>
    <row r="19" spans="1:2" ht="15" customHeight="1" x14ac:dyDescent="0.25"/>
    <row r="20" spans="1:2" ht="15" customHeight="1" x14ac:dyDescent="0.25"/>
    <row r="21" spans="1:2" ht="15" customHeight="1" x14ac:dyDescent="0.25"/>
    <row r="22" spans="1:2" ht="15" customHeight="1" x14ac:dyDescent="0.25"/>
    <row r="23" spans="1:2" ht="15" customHeight="1" x14ac:dyDescent="0.25"/>
    <row r="24" spans="1:2" ht="15" customHeight="1" x14ac:dyDescent="0.25"/>
    <row r="25" spans="1:2" ht="15" customHeight="1" x14ac:dyDescent="0.25"/>
    <row r="26" spans="1:2" ht="15" customHeight="1" x14ac:dyDescent="0.25"/>
    <row r="27" spans="1:2" ht="15" customHeight="1" x14ac:dyDescent="0.25">
      <c r="A27" s="28"/>
      <c r="B27" s="25" t="s">
        <v>55</v>
      </c>
    </row>
    <row r="28" spans="1:2" ht="15" customHeight="1" thickBot="1" x14ac:dyDescent="0.3">
      <c r="A28" s="39" t="s">
        <v>239</v>
      </c>
      <c r="B28" s="38" t="s">
        <v>55</v>
      </c>
    </row>
    <row r="29" spans="1:2" ht="15" customHeight="1" thickTop="1" x14ac:dyDescent="0.25">
      <c r="A29" s="27" t="s">
        <v>240</v>
      </c>
      <c r="B29" s="43">
        <f>_xll.StatCount(ST_ResidualNorth)</f>
        <v>117</v>
      </c>
    </row>
    <row r="30" spans="1:2" ht="15" customHeight="1" x14ac:dyDescent="0.25">
      <c r="A30" s="40" t="s">
        <v>241</v>
      </c>
      <c r="B30" s="44">
        <f>1/SQRT($B$29)</f>
        <v>9.2450032704204849E-2</v>
      </c>
    </row>
    <row r="31" spans="1:2" ht="15" customHeight="1" x14ac:dyDescent="0.25">
      <c r="A31" s="27" t="s">
        <v>242</v>
      </c>
      <c r="B31" s="36">
        <f>_xll.StatAutocorrelation(ST_ResidualNorth, 1)</f>
        <v>0.78432720587088123</v>
      </c>
    </row>
    <row r="32" spans="1:2" ht="15" customHeight="1" x14ac:dyDescent="0.25">
      <c r="A32" s="27" t="s">
        <v>243</v>
      </c>
      <c r="B32" s="36">
        <f>_xll.StatAutocorrelation(ST_ResidualNorth, 2)</f>
        <v>0.44410924479659991</v>
      </c>
    </row>
    <row r="33" spans="1:2" ht="15" customHeight="1" x14ac:dyDescent="0.25">
      <c r="A33" s="27" t="s">
        <v>244</v>
      </c>
      <c r="B33" s="36">
        <f>_xll.StatAutocorrelation(ST_ResidualNorth, 3)</f>
        <v>-7.2895664864963093E-3</v>
      </c>
    </row>
    <row r="34" spans="1:2" ht="15" customHeight="1" x14ac:dyDescent="0.25">
      <c r="A34" s="27" t="s">
        <v>245</v>
      </c>
      <c r="B34" s="36">
        <f>_xll.StatAutocorrelation(ST_ResidualNorth, 4)</f>
        <v>-0.42532566349763329</v>
      </c>
    </row>
    <row r="35" spans="1:2" ht="15" customHeight="1" x14ac:dyDescent="0.25">
      <c r="A35" s="27" t="s">
        <v>246</v>
      </c>
      <c r="B35" s="36">
        <f>_xll.StatAutocorrelation(ST_ResidualNorth, 5)</f>
        <v>-0.76765166521413075</v>
      </c>
    </row>
    <row r="36" spans="1:2" ht="15" customHeight="1" x14ac:dyDescent="0.25">
      <c r="A36" s="27" t="s">
        <v>247</v>
      </c>
      <c r="B36" s="36">
        <f>_xll.StatAutocorrelation(ST_ResidualNorth, 6)</f>
        <v>-0.86928173028000277</v>
      </c>
    </row>
    <row r="37" spans="1:2" ht="15" customHeight="1" x14ac:dyDescent="0.25">
      <c r="A37" s="27" t="s">
        <v>248</v>
      </c>
      <c r="B37" s="36">
        <f>_xll.StatAutocorrelation(ST_ResidualNorth, 7)</f>
        <v>-0.76738831395018592</v>
      </c>
    </row>
    <row r="38" spans="1:2" ht="15" customHeight="1" x14ac:dyDescent="0.25">
      <c r="A38" s="27" t="s">
        <v>249</v>
      </c>
      <c r="B38" s="36">
        <f>_xll.StatAutocorrelation(ST_ResidualNorth, 8)</f>
        <v>-0.42782667451558332</v>
      </c>
    </row>
    <row r="39" spans="1:2" ht="15" customHeight="1" x14ac:dyDescent="0.25">
      <c r="A39" s="27" t="s">
        <v>250</v>
      </c>
      <c r="B39" s="36">
        <f>_xll.StatAutocorrelation(ST_ResidualNorth, 9)</f>
        <v>-1.3556681978904066E-2</v>
      </c>
    </row>
    <row r="40" spans="1:2" ht="15" customHeight="1" x14ac:dyDescent="0.25">
      <c r="A40" s="27" t="s">
        <v>251</v>
      </c>
      <c r="B40" s="36">
        <f>_xll.StatAutocorrelation(ST_ResidualNorth, 10)</f>
        <v>0.41243036125034416</v>
      </c>
    </row>
    <row r="41" spans="1:2" ht="15" customHeight="1" x14ac:dyDescent="0.25">
      <c r="A41" s="27" t="s">
        <v>252</v>
      </c>
      <c r="B41" s="36">
        <f>_xll.StatAutocorrelation(ST_ResidualNorth, 11)</f>
        <v>0.71187694440789184</v>
      </c>
    </row>
    <row r="42" spans="1:2" ht="15" customHeight="1" x14ac:dyDescent="0.25">
      <c r="A42" s="27" t="s">
        <v>253</v>
      </c>
      <c r="B42" s="36">
        <f>_xll.StatAutocorrelation(ST_ResidualNorth, 12)</f>
        <v>0.85499146721458008</v>
      </c>
    </row>
    <row r="43" spans="1:2" ht="15" customHeight="1" x14ac:dyDescent="0.25">
      <c r="A43" s="27" t="s">
        <v>254</v>
      </c>
      <c r="B43" s="36">
        <f>_xll.StatAutocorrelation(ST_ResidualNorth, 13)</f>
        <v>0.69767072934610663</v>
      </c>
    </row>
    <row r="44" spans="1:2" ht="15" customHeight="1" x14ac:dyDescent="0.25">
      <c r="A44" s="27" t="s">
        <v>255</v>
      </c>
      <c r="B44" s="36">
        <f>_xll.StatAutocorrelation(ST_ResidualNorth, 14)</f>
        <v>0.40143625688091195</v>
      </c>
    </row>
    <row r="45" spans="1:2" ht="15" customHeight="1" x14ac:dyDescent="0.25">
      <c r="A45" s="27" t="s">
        <v>256</v>
      </c>
      <c r="B45" s="36">
        <f>_xll.StatAutocorrelation(ST_ResidualNorth, 15)</f>
        <v>-6.9505818756421464E-3</v>
      </c>
    </row>
    <row r="46" spans="1:2" ht="15" customHeight="1" x14ac:dyDescent="0.25">
      <c r="A46" s="27" t="s">
        <v>257</v>
      </c>
      <c r="B46" s="36">
        <f>_xll.StatAutocorrelation(ST_ResidualNorth, 16)</f>
        <v>-0.3857294832981184</v>
      </c>
    </row>
    <row r="47" spans="1:2" ht="15" customHeight="1" x14ac:dyDescent="0.25">
      <c r="A47" s="27" t="s">
        <v>258</v>
      </c>
      <c r="B47" s="36">
        <f>_xll.StatAutocorrelation(ST_ResidualNorth, 17)</f>
        <v>-0.68379329783444887</v>
      </c>
    </row>
    <row r="48" spans="1:2" ht="15" customHeight="1" x14ac:dyDescent="0.25">
      <c r="A48" s="27" t="s">
        <v>259</v>
      </c>
      <c r="B48" s="36">
        <f>_xll.StatAutocorrelation(ST_ResidualNorth, 18)</f>
        <v>-0.76839079293053991</v>
      </c>
    </row>
    <row r="49" spans="1:2" ht="15" customHeight="1" x14ac:dyDescent="0.25">
      <c r="A49" s="27" t="s">
        <v>260</v>
      </c>
      <c r="B49" s="36">
        <f>_xll.StatAutocorrelation(ST_ResidualNorth, 19)</f>
        <v>-0.66983353424868297</v>
      </c>
    </row>
    <row r="50" spans="1:2" ht="15" customHeight="1" x14ac:dyDescent="0.25">
      <c r="A50" s="27" t="s">
        <v>261</v>
      </c>
      <c r="B50" s="36">
        <f>_xll.StatAutocorrelation(ST_ResidualNorth, 20)</f>
        <v>-0.3792465718052207</v>
      </c>
    </row>
    <row r="51" spans="1:2" ht="15" customHeight="1" x14ac:dyDescent="0.25">
      <c r="A51" s="27" t="s">
        <v>262</v>
      </c>
      <c r="B51" s="36">
        <f>_xll.StatAutocorrelation(ST_ResidualNorth, 21)</f>
        <v>-1.6712548942844697E-3</v>
      </c>
    </row>
    <row r="52" spans="1:2" ht="15" customHeight="1" x14ac:dyDescent="0.25">
      <c r="A52" s="27" t="s">
        <v>263</v>
      </c>
      <c r="B52" s="36">
        <f>_xll.StatAutocorrelation(ST_ResidualNorth, 22)</f>
        <v>0.37186705236818696</v>
      </c>
    </row>
    <row r="53" spans="1:2" ht="15" customHeight="1" x14ac:dyDescent="0.25">
      <c r="A53" s="27" t="s">
        <v>264</v>
      </c>
      <c r="B53" s="36">
        <f>_xll.StatAutocorrelation(ST_ResidualNorth, 23)</f>
        <v>0.63671933525375457</v>
      </c>
    </row>
    <row r="54" spans="1:2" ht="15" customHeight="1" x14ac:dyDescent="0.25">
      <c r="A54" s="27" t="s">
        <v>265</v>
      </c>
      <c r="B54" s="36">
        <f>_xll.StatAutocorrelation(ST_ResidualNorth, 24)</f>
        <v>0.74782399836600733</v>
      </c>
    </row>
    <row r="55" spans="1:2" ht="15" customHeight="1" x14ac:dyDescent="0.25">
      <c r="A55" s="27" t="s">
        <v>266</v>
      </c>
      <c r="B55" s="36">
        <f>_xll.StatAutocorrelation(ST_ResidualNorth, 25)</f>
        <v>0.60679266614500693</v>
      </c>
    </row>
    <row r="56" spans="1:2" ht="15" customHeight="1" x14ac:dyDescent="0.25">
      <c r="A56" s="27" t="s">
        <v>267</v>
      </c>
      <c r="B56" s="36">
        <f>_xll.StatAutocorrelation(ST_ResidualNorth, 26)</f>
        <v>0.34445358834213163</v>
      </c>
    </row>
    <row r="57" spans="1:2" ht="15" customHeight="1" x14ac:dyDescent="0.25">
      <c r="A57" s="27" t="s">
        <v>268</v>
      </c>
      <c r="B57" s="36">
        <f>_xll.StatAutocorrelation(ST_ResidualNorth, 27)</f>
        <v>-1.3744357134324748E-2</v>
      </c>
    </row>
    <row r="58" spans="1:2" ht="15" customHeight="1" x14ac:dyDescent="0.25">
      <c r="A58" s="27" t="s">
        <v>269</v>
      </c>
      <c r="B58" s="36">
        <f>_xll.StatAutocorrelation(ST_ResidualNorth, 28)</f>
        <v>-0.34863941483100092</v>
      </c>
    </row>
    <row r="59" spans="1:2" ht="15" customHeight="1" x14ac:dyDescent="0.25">
      <c r="A59" s="27" t="s">
        <v>270</v>
      </c>
      <c r="B59" s="36">
        <f>_xll.StatAutocorrelation(ST_ResidualNorth, 29)</f>
        <v>-0.60237366598257869</v>
      </c>
    </row>
    <row r="60" spans="1:2" x14ac:dyDescent="0.25">
      <c r="A60" s="27"/>
      <c r="B60" s="24"/>
    </row>
  </sheetData>
  <conditionalFormatting sqref="B31">
    <cfRule type="cellIs" dxfId="115" priority="1" stopIfTrue="1" operator="notBetween">
      <formula>-2*$B$30</formula>
      <formula>2*$B$30</formula>
    </cfRule>
  </conditionalFormatting>
  <conditionalFormatting sqref="B32">
    <cfRule type="cellIs" dxfId="114" priority="2" stopIfTrue="1" operator="notBetween">
      <formula>-2*$B$30</formula>
      <formula>2*$B$30</formula>
    </cfRule>
  </conditionalFormatting>
  <conditionalFormatting sqref="B33">
    <cfRule type="cellIs" dxfId="113" priority="3" stopIfTrue="1" operator="notBetween">
      <formula>-2*$B$30</formula>
      <formula>2*$B$30</formula>
    </cfRule>
  </conditionalFormatting>
  <conditionalFormatting sqref="B34">
    <cfRule type="cellIs" dxfId="112" priority="4" stopIfTrue="1" operator="notBetween">
      <formula>-2*$B$30</formula>
      <formula>2*$B$30</formula>
    </cfRule>
  </conditionalFormatting>
  <conditionalFormatting sqref="B35">
    <cfRule type="cellIs" dxfId="111" priority="5" stopIfTrue="1" operator="notBetween">
      <formula>-2*$B$30</formula>
      <formula>2*$B$30</formula>
    </cfRule>
  </conditionalFormatting>
  <conditionalFormatting sqref="B36">
    <cfRule type="cellIs" dxfId="110" priority="6" stopIfTrue="1" operator="notBetween">
      <formula>-2*$B$30</formula>
      <formula>2*$B$30</formula>
    </cfRule>
  </conditionalFormatting>
  <conditionalFormatting sqref="B37">
    <cfRule type="cellIs" dxfId="109" priority="7" stopIfTrue="1" operator="notBetween">
      <formula>-2*$B$30</formula>
      <formula>2*$B$30</formula>
    </cfRule>
  </conditionalFormatting>
  <conditionalFormatting sqref="B38">
    <cfRule type="cellIs" dxfId="108" priority="8" stopIfTrue="1" operator="notBetween">
      <formula>-2*$B$30</formula>
      <formula>2*$B$30</formula>
    </cfRule>
  </conditionalFormatting>
  <conditionalFormatting sqref="B39">
    <cfRule type="cellIs" dxfId="107" priority="9" stopIfTrue="1" operator="notBetween">
      <formula>-2*$B$30</formula>
      <formula>2*$B$30</formula>
    </cfRule>
  </conditionalFormatting>
  <conditionalFormatting sqref="B40">
    <cfRule type="cellIs" dxfId="106" priority="10" stopIfTrue="1" operator="notBetween">
      <formula>-2*$B$30</formula>
      <formula>2*$B$30</formula>
    </cfRule>
  </conditionalFormatting>
  <conditionalFormatting sqref="B41">
    <cfRule type="cellIs" dxfId="105" priority="11" stopIfTrue="1" operator="notBetween">
      <formula>-2*$B$30</formula>
      <formula>2*$B$30</formula>
    </cfRule>
  </conditionalFormatting>
  <conditionalFormatting sqref="B42">
    <cfRule type="cellIs" dxfId="104" priority="12" stopIfTrue="1" operator="notBetween">
      <formula>-2*$B$30</formula>
      <formula>2*$B$30</formula>
    </cfRule>
  </conditionalFormatting>
  <conditionalFormatting sqref="B43">
    <cfRule type="cellIs" dxfId="103" priority="13" stopIfTrue="1" operator="notBetween">
      <formula>-2*$B$30</formula>
      <formula>2*$B$30</formula>
    </cfRule>
  </conditionalFormatting>
  <conditionalFormatting sqref="B44">
    <cfRule type="cellIs" dxfId="102" priority="14" stopIfTrue="1" operator="notBetween">
      <formula>-2*$B$30</formula>
      <formula>2*$B$30</formula>
    </cfRule>
  </conditionalFormatting>
  <conditionalFormatting sqref="B45">
    <cfRule type="cellIs" dxfId="101" priority="15" stopIfTrue="1" operator="notBetween">
      <formula>-2*$B$30</formula>
      <formula>2*$B$30</formula>
    </cfRule>
  </conditionalFormatting>
  <conditionalFormatting sqref="B46">
    <cfRule type="cellIs" dxfId="100" priority="16" stopIfTrue="1" operator="notBetween">
      <formula>-2*$B$30</formula>
      <formula>2*$B$30</formula>
    </cfRule>
  </conditionalFormatting>
  <conditionalFormatting sqref="B47">
    <cfRule type="cellIs" dxfId="99" priority="17" stopIfTrue="1" operator="notBetween">
      <formula>-2*$B$30</formula>
      <formula>2*$B$30</formula>
    </cfRule>
  </conditionalFormatting>
  <conditionalFormatting sqref="B48">
    <cfRule type="cellIs" dxfId="98" priority="18" stopIfTrue="1" operator="notBetween">
      <formula>-2*$B$30</formula>
      <formula>2*$B$30</formula>
    </cfRule>
  </conditionalFormatting>
  <conditionalFormatting sqref="B49">
    <cfRule type="cellIs" dxfId="97" priority="19" stopIfTrue="1" operator="notBetween">
      <formula>-2*$B$30</formula>
      <formula>2*$B$30</formula>
    </cfRule>
  </conditionalFormatting>
  <conditionalFormatting sqref="B50">
    <cfRule type="cellIs" dxfId="96" priority="20" stopIfTrue="1" operator="notBetween">
      <formula>-2*$B$30</formula>
      <formula>2*$B$30</formula>
    </cfRule>
  </conditionalFormatting>
  <conditionalFormatting sqref="B51">
    <cfRule type="cellIs" dxfId="95" priority="21" stopIfTrue="1" operator="notBetween">
      <formula>-2*$B$30</formula>
      <formula>2*$B$30</formula>
    </cfRule>
  </conditionalFormatting>
  <conditionalFormatting sqref="B52">
    <cfRule type="cellIs" dxfId="94" priority="22" stopIfTrue="1" operator="notBetween">
      <formula>-2*$B$30</formula>
      <formula>2*$B$30</formula>
    </cfRule>
  </conditionalFormatting>
  <conditionalFormatting sqref="B53">
    <cfRule type="cellIs" dxfId="93" priority="23" stopIfTrue="1" operator="notBetween">
      <formula>-2*$B$30</formula>
      <formula>2*$B$30</formula>
    </cfRule>
  </conditionalFormatting>
  <conditionalFormatting sqref="B54">
    <cfRule type="cellIs" dxfId="92" priority="24" stopIfTrue="1" operator="notBetween">
      <formula>-2*$B$30</formula>
      <formula>2*$B$30</formula>
    </cfRule>
  </conditionalFormatting>
  <conditionalFormatting sqref="B55">
    <cfRule type="cellIs" dxfId="91" priority="25" stopIfTrue="1" operator="notBetween">
      <formula>-2*$B$30</formula>
      <formula>2*$B$30</formula>
    </cfRule>
  </conditionalFormatting>
  <conditionalFormatting sqref="B56">
    <cfRule type="cellIs" dxfId="90" priority="26" stopIfTrue="1" operator="notBetween">
      <formula>-2*$B$30</formula>
      <formula>2*$B$30</formula>
    </cfRule>
  </conditionalFormatting>
  <conditionalFormatting sqref="B57">
    <cfRule type="cellIs" dxfId="89" priority="27" stopIfTrue="1" operator="notBetween">
      <formula>-2*$B$30</formula>
      <formula>2*$B$30</formula>
    </cfRule>
  </conditionalFormatting>
  <conditionalFormatting sqref="B58">
    <cfRule type="cellIs" dxfId="88" priority="28" stopIfTrue="1" operator="notBetween">
      <formula>-2*$B$30</formula>
      <formula>2*$B$30</formula>
    </cfRule>
  </conditionalFormatting>
  <conditionalFormatting sqref="B59">
    <cfRule type="cellIs" dxfId="87" priority="29" stopIfTrue="1" operator="notBetween">
      <formula>-2*$B$30</formula>
      <formula>2*$B$30</formula>
    </cfRule>
  </conditionalFormatting>
  <pageMargins left="0.7" right="0.7" top="0.75" bottom="0.75" header="0.3" footer="0.3"/>
  <pageSetup paperSize="9" orientation="portrait" r:id="rId1"/>
  <drawing r:id="rId2"/>
  <legacyDrawing r:id="rId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60"/>
  <sheetViews>
    <sheetView showGridLines="0" tabSelected="1" workbookViewId="0">
      <selection activeCell="I20" sqref="I20"/>
    </sheetView>
  </sheetViews>
  <sheetFormatPr defaultColWidth="12.7109375" defaultRowHeight="15" x14ac:dyDescent="0.25"/>
  <cols>
    <col min="1" max="1" width="16.28515625" bestFit="1" customWidth="1"/>
    <col min="2" max="2" width="12.7109375" customWidth="1"/>
  </cols>
  <sheetData>
    <row r="1" spans="1:2" s="16" customFormat="1" ht="18.75" x14ac:dyDescent="0.3">
      <c r="A1" s="22" t="s">
        <v>75</v>
      </c>
      <c r="B1" s="20"/>
    </row>
    <row r="2" spans="1:2" s="16" customFormat="1" ht="11.25" x14ac:dyDescent="0.2">
      <c r="A2" s="18" t="s">
        <v>76</v>
      </c>
      <c r="B2" s="20" t="s">
        <v>238</v>
      </c>
    </row>
    <row r="3" spans="1:2" s="16" customFormat="1" ht="11.25" x14ac:dyDescent="0.2">
      <c r="A3" s="18" t="s">
        <v>78</v>
      </c>
      <c r="B3" s="20" t="s">
        <v>79</v>
      </c>
    </row>
    <row r="4" spans="1:2" s="16" customFormat="1" ht="11.25" x14ac:dyDescent="0.2">
      <c r="A4" s="18" t="s">
        <v>80</v>
      </c>
      <c r="B4" s="23">
        <v>45067</v>
      </c>
    </row>
    <row r="5" spans="1:2" s="17" customFormat="1" ht="11.25" x14ac:dyDescent="0.2">
      <c r="A5" s="19" t="s">
        <v>81</v>
      </c>
      <c r="B5" s="21" t="s">
        <v>211</v>
      </c>
    </row>
    <row r="7" spans="1:2" ht="15" customHeight="1" x14ac:dyDescent="0.25"/>
    <row r="8" spans="1:2" ht="15" customHeight="1" x14ac:dyDescent="0.25"/>
    <row r="9" spans="1:2" ht="15" customHeight="1" x14ac:dyDescent="0.25"/>
    <row r="10" spans="1:2" ht="15" customHeight="1" x14ac:dyDescent="0.25"/>
    <row r="11" spans="1:2" ht="15" customHeight="1" x14ac:dyDescent="0.25"/>
    <row r="12" spans="1:2" ht="15" customHeight="1" x14ac:dyDescent="0.25"/>
    <row r="13" spans="1:2" ht="15" customHeight="1" x14ac:dyDescent="0.25"/>
    <row r="14" spans="1:2" ht="15" customHeight="1" x14ac:dyDescent="0.25"/>
    <row r="15" spans="1:2" ht="15" customHeight="1" x14ac:dyDescent="0.25"/>
    <row r="16" spans="1:2" ht="15" customHeight="1" x14ac:dyDescent="0.25"/>
    <row r="17" spans="1:2" ht="15" customHeight="1" x14ac:dyDescent="0.25"/>
    <row r="18" spans="1:2" ht="15" customHeight="1" x14ac:dyDescent="0.25"/>
    <row r="19" spans="1:2" ht="15" customHeight="1" x14ac:dyDescent="0.25"/>
    <row r="20" spans="1:2" ht="15" customHeight="1" x14ac:dyDescent="0.25"/>
    <row r="21" spans="1:2" ht="15" customHeight="1" x14ac:dyDescent="0.25"/>
    <row r="22" spans="1:2" ht="15" customHeight="1" x14ac:dyDescent="0.25"/>
    <row r="23" spans="1:2" ht="15" customHeight="1" x14ac:dyDescent="0.25"/>
    <row r="24" spans="1:2" ht="15" customHeight="1" x14ac:dyDescent="0.25"/>
    <row r="25" spans="1:2" ht="15" customHeight="1" x14ac:dyDescent="0.25"/>
    <row r="26" spans="1:2" ht="15" customHeight="1" x14ac:dyDescent="0.25"/>
    <row r="27" spans="1:2" ht="15" customHeight="1" x14ac:dyDescent="0.25">
      <c r="A27" s="28"/>
      <c r="B27" s="25" t="s">
        <v>54</v>
      </c>
    </row>
    <row r="28" spans="1:2" ht="15" customHeight="1" thickBot="1" x14ac:dyDescent="0.3">
      <c r="A28" s="39" t="s">
        <v>239</v>
      </c>
      <c r="B28" s="38" t="s">
        <v>54</v>
      </c>
    </row>
    <row r="29" spans="1:2" ht="15" customHeight="1" thickTop="1" x14ac:dyDescent="0.25">
      <c r="A29" s="27" t="s">
        <v>240</v>
      </c>
      <c r="B29" s="43">
        <f>_xll.StatCount(ST_ResidualSouth)</f>
        <v>117</v>
      </c>
    </row>
    <row r="30" spans="1:2" ht="15" customHeight="1" x14ac:dyDescent="0.25">
      <c r="A30" s="40" t="s">
        <v>241</v>
      </c>
      <c r="B30" s="44">
        <f>1/SQRT($B$29)</f>
        <v>9.2450032704204849E-2</v>
      </c>
    </row>
    <row r="31" spans="1:2" ht="15" customHeight="1" x14ac:dyDescent="0.25">
      <c r="A31" s="27" t="s">
        <v>242</v>
      </c>
      <c r="B31" s="36">
        <f>_xll.StatAutocorrelation(ST_ResidualSouth, 1)</f>
        <v>0.72156904797169275</v>
      </c>
    </row>
    <row r="32" spans="1:2" ht="15" customHeight="1" x14ac:dyDescent="0.25">
      <c r="A32" s="27" t="s">
        <v>243</v>
      </c>
      <c r="B32" s="36">
        <f>_xll.StatAutocorrelation(ST_ResidualSouth, 2)</f>
        <v>0.48200221835660395</v>
      </c>
    </row>
    <row r="33" spans="1:2" ht="15" customHeight="1" x14ac:dyDescent="0.25">
      <c r="A33" s="27" t="s">
        <v>244</v>
      </c>
      <c r="B33" s="36">
        <f>_xll.StatAutocorrelation(ST_ResidualSouth, 3)</f>
        <v>0.20165008327072459</v>
      </c>
    </row>
    <row r="34" spans="1:2" ht="15" customHeight="1" x14ac:dyDescent="0.25">
      <c r="A34" s="27" t="s">
        <v>245</v>
      </c>
      <c r="B34" s="36">
        <f>_xll.StatAutocorrelation(ST_ResidualSouth, 4)</f>
        <v>-2.8039500841216085E-2</v>
      </c>
    </row>
    <row r="35" spans="1:2" ht="15" customHeight="1" x14ac:dyDescent="0.25">
      <c r="A35" s="27" t="s">
        <v>246</v>
      </c>
      <c r="B35" s="36">
        <f>_xll.StatAutocorrelation(ST_ResidualSouth, 5)</f>
        <v>-0.11179002104422676</v>
      </c>
    </row>
    <row r="36" spans="1:2" ht="15" customHeight="1" x14ac:dyDescent="0.25">
      <c r="A36" s="27" t="s">
        <v>247</v>
      </c>
      <c r="B36" s="36">
        <f>_xll.StatAutocorrelation(ST_ResidualSouth, 6)</f>
        <v>-0.12344984733209637</v>
      </c>
    </row>
    <row r="37" spans="1:2" ht="15" customHeight="1" x14ac:dyDescent="0.25">
      <c r="A37" s="27" t="s">
        <v>248</v>
      </c>
      <c r="B37" s="36">
        <f>_xll.StatAutocorrelation(ST_ResidualSouth, 7)</f>
        <v>-9.2452028655376967E-2</v>
      </c>
    </row>
    <row r="38" spans="1:2" ht="15" customHeight="1" x14ac:dyDescent="0.25">
      <c r="A38" s="27" t="s">
        <v>249</v>
      </c>
      <c r="B38" s="36">
        <f>_xll.StatAutocorrelation(ST_ResidualSouth, 8)</f>
        <v>3.0102564078999219E-2</v>
      </c>
    </row>
    <row r="39" spans="1:2" ht="15" customHeight="1" x14ac:dyDescent="0.25">
      <c r="A39" s="27" t="s">
        <v>250</v>
      </c>
      <c r="B39" s="36">
        <f>_xll.StatAutocorrelation(ST_ResidualSouth, 9)</f>
        <v>0.20005986854050276</v>
      </c>
    </row>
    <row r="40" spans="1:2" ht="15" customHeight="1" x14ac:dyDescent="0.25">
      <c r="A40" s="27" t="s">
        <v>251</v>
      </c>
      <c r="B40" s="36">
        <f>_xll.StatAutocorrelation(ST_ResidualSouth, 10)</f>
        <v>0.43989893923118767</v>
      </c>
    </row>
    <row r="41" spans="1:2" ht="15" customHeight="1" x14ac:dyDescent="0.25">
      <c r="A41" s="27" t="s">
        <v>252</v>
      </c>
      <c r="B41" s="36">
        <f>_xll.StatAutocorrelation(ST_ResidualSouth, 11)</f>
        <v>0.63738870528132074</v>
      </c>
    </row>
    <row r="42" spans="1:2" ht="15" customHeight="1" x14ac:dyDescent="0.25">
      <c r="A42" s="27" t="s">
        <v>253</v>
      </c>
      <c r="B42" s="36">
        <f>_xll.StatAutocorrelation(ST_ResidualSouth, 12)</f>
        <v>0.76058050223594076</v>
      </c>
    </row>
    <row r="43" spans="1:2" ht="15" customHeight="1" x14ac:dyDescent="0.25">
      <c r="A43" s="27" t="s">
        <v>254</v>
      </c>
      <c r="B43" s="36">
        <f>_xll.StatAutocorrelation(ST_ResidualSouth, 13)</f>
        <v>0.61009974482299956</v>
      </c>
    </row>
    <row r="44" spans="1:2" ht="15" customHeight="1" x14ac:dyDescent="0.25">
      <c r="A44" s="27" t="s">
        <v>255</v>
      </c>
      <c r="B44" s="36">
        <f>_xll.StatAutocorrelation(ST_ResidualSouth, 14)</f>
        <v>0.38741617398320882</v>
      </c>
    </row>
    <row r="45" spans="1:2" ht="15" customHeight="1" x14ac:dyDescent="0.25">
      <c r="A45" s="27" t="s">
        <v>256</v>
      </c>
      <c r="B45" s="36">
        <f>_xll.StatAutocorrelation(ST_ResidualSouth, 15)</f>
        <v>0.12282308549946917</v>
      </c>
    </row>
    <row r="46" spans="1:2" ht="15" customHeight="1" x14ac:dyDescent="0.25">
      <c r="A46" s="27" t="s">
        <v>257</v>
      </c>
      <c r="B46" s="36">
        <f>_xll.StatAutocorrelation(ST_ResidualSouth, 16)</f>
        <v>-6.2895132075535792E-2</v>
      </c>
    </row>
    <row r="47" spans="1:2" ht="15" customHeight="1" x14ac:dyDescent="0.25">
      <c r="A47" s="27" t="s">
        <v>258</v>
      </c>
      <c r="B47" s="36">
        <f>_xll.StatAutocorrelation(ST_ResidualSouth, 17)</f>
        <v>-0.15544782953348724</v>
      </c>
    </row>
    <row r="48" spans="1:2" ht="15" customHeight="1" x14ac:dyDescent="0.25">
      <c r="A48" s="27" t="s">
        <v>259</v>
      </c>
      <c r="B48" s="36">
        <f>_xll.StatAutocorrelation(ST_ResidualSouth, 18)</f>
        <v>-0.14928002506029819</v>
      </c>
    </row>
    <row r="49" spans="1:2" ht="15" customHeight="1" x14ac:dyDescent="0.25">
      <c r="A49" s="27" t="s">
        <v>260</v>
      </c>
      <c r="B49" s="36">
        <f>_xll.StatAutocorrelation(ST_ResidualSouth, 19)</f>
        <v>-0.12497773342159402</v>
      </c>
    </row>
    <row r="50" spans="1:2" ht="15" customHeight="1" x14ac:dyDescent="0.25">
      <c r="A50" s="27" t="s">
        <v>261</v>
      </c>
      <c r="B50" s="36">
        <f>_xll.StatAutocorrelation(ST_ResidualSouth, 20)</f>
        <v>-4.5486636145908928E-2</v>
      </c>
    </row>
    <row r="51" spans="1:2" ht="15" customHeight="1" x14ac:dyDescent="0.25">
      <c r="A51" s="27" t="s">
        <v>262</v>
      </c>
      <c r="B51" s="36">
        <f>_xll.StatAutocorrelation(ST_ResidualSouth, 21)</f>
        <v>0.13465141497002878</v>
      </c>
    </row>
    <row r="52" spans="1:2" ht="15" customHeight="1" x14ac:dyDescent="0.25">
      <c r="A52" s="27" t="s">
        <v>263</v>
      </c>
      <c r="B52" s="36">
        <f>_xll.StatAutocorrelation(ST_ResidualSouth, 22)</f>
        <v>0.33295841756433536</v>
      </c>
    </row>
    <row r="53" spans="1:2" ht="15" customHeight="1" x14ac:dyDescent="0.25">
      <c r="A53" s="27" t="s">
        <v>264</v>
      </c>
      <c r="B53" s="36">
        <f>_xll.StatAutocorrelation(ST_ResidualSouth, 23)</f>
        <v>0.48306361136319603</v>
      </c>
    </row>
    <row r="54" spans="1:2" ht="15" customHeight="1" x14ac:dyDescent="0.25">
      <c r="A54" s="27" t="s">
        <v>265</v>
      </c>
      <c r="B54" s="36">
        <f>_xll.StatAutocorrelation(ST_ResidualSouth, 24)</f>
        <v>0.61142520244981702</v>
      </c>
    </row>
    <row r="55" spans="1:2" ht="15" customHeight="1" x14ac:dyDescent="0.25">
      <c r="A55" s="27" t="s">
        <v>266</v>
      </c>
      <c r="B55" s="36">
        <f>_xll.StatAutocorrelation(ST_ResidualSouth, 25)</f>
        <v>0.44061034306409147</v>
      </c>
    </row>
    <row r="56" spans="1:2" ht="15" customHeight="1" x14ac:dyDescent="0.25">
      <c r="A56" s="27" t="s">
        <v>267</v>
      </c>
      <c r="B56" s="36">
        <f>_xll.StatAutocorrelation(ST_ResidualSouth, 26)</f>
        <v>0.26020163000437518</v>
      </c>
    </row>
    <row r="57" spans="1:2" ht="15" customHeight="1" x14ac:dyDescent="0.25">
      <c r="A57" s="27" t="s">
        <v>268</v>
      </c>
      <c r="B57" s="36">
        <f>_xll.StatAutocorrelation(ST_ResidualSouth, 27)</f>
        <v>4.6111064264510469E-2</v>
      </c>
    </row>
    <row r="58" spans="1:2" ht="15" customHeight="1" x14ac:dyDescent="0.25">
      <c r="A58" s="27" t="s">
        <v>269</v>
      </c>
      <c r="B58" s="36">
        <f>_xll.StatAutocorrelation(ST_ResidualSouth, 28)</f>
        <v>-0.12990356554845511</v>
      </c>
    </row>
    <row r="59" spans="1:2" ht="15" customHeight="1" x14ac:dyDescent="0.25">
      <c r="A59" s="27" t="s">
        <v>270</v>
      </c>
      <c r="B59" s="36">
        <f>_xll.StatAutocorrelation(ST_ResidualSouth, 29)</f>
        <v>-0.19084971668792791</v>
      </c>
    </row>
    <row r="60" spans="1:2" x14ac:dyDescent="0.25">
      <c r="A60" s="27"/>
      <c r="B60" s="24"/>
    </row>
  </sheetData>
  <conditionalFormatting sqref="B31">
    <cfRule type="cellIs" dxfId="86" priority="1" stopIfTrue="1" operator="notBetween">
      <formula>-2*$B$30</formula>
      <formula>2*$B$30</formula>
    </cfRule>
  </conditionalFormatting>
  <conditionalFormatting sqref="B32">
    <cfRule type="cellIs" dxfId="85" priority="2" stopIfTrue="1" operator="notBetween">
      <formula>-2*$B$30</formula>
      <formula>2*$B$30</formula>
    </cfRule>
  </conditionalFormatting>
  <conditionalFormatting sqref="B33">
    <cfRule type="cellIs" dxfId="84" priority="3" stopIfTrue="1" operator="notBetween">
      <formula>-2*$B$30</formula>
      <formula>2*$B$30</formula>
    </cfRule>
  </conditionalFormatting>
  <conditionalFormatting sqref="B34">
    <cfRule type="cellIs" dxfId="83" priority="4" stopIfTrue="1" operator="notBetween">
      <formula>-2*$B$30</formula>
      <formula>2*$B$30</formula>
    </cfRule>
  </conditionalFormatting>
  <conditionalFormatting sqref="B35">
    <cfRule type="cellIs" dxfId="82" priority="5" stopIfTrue="1" operator="notBetween">
      <formula>-2*$B$30</formula>
      <formula>2*$B$30</formula>
    </cfRule>
  </conditionalFormatting>
  <conditionalFormatting sqref="B36">
    <cfRule type="cellIs" dxfId="81" priority="6" stopIfTrue="1" operator="notBetween">
      <formula>-2*$B$30</formula>
      <formula>2*$B$30</formula>
    </cfRule>
  </conditionalFormatting>
  <conditionalFormatting sqref="B37">
    <cfRule type="cellIs" dxfId="80" priority="7" stopIfTrue="1" operator="notBetween">
      <formula>-2*$B$30</formula>
      <formula>2*$B$30</formula>
    </cfRule>
  </conditionalFormatting>
  <conditionalFormatting sqref="B38">
    <cfRule type="cellIs" dxfId="79" priority="8" stopIfTrue="1" operator="notBetween">
      <formula>-2*$B$30</formula>
      <formula>2*$B$30</formula>
    </cfRule>
  </conditionalFormatting>
  <conditionalFormatting sqref="B39">
    <cfRule type="cellIs" dxfId="78" priority="9" stopIfTrue="1" operator="notBetween">
      <formula>-2*$B$30</formula>
      <formula>2*$B$30</formula>
    </cfRule>
  </conditionalFormatting>
  <conditionalFormatting sqref="B40">
    <cfRule type="cellIs" dxfId="77" priority="10" stopIfTrue="1" operator="notBetween">
      <formula>-2*$B$30</formula>
      <formula>2*$B$30</formula>
    </cfRule>
  </conditionalFormatting>
  <conditionalFormatting sqref="B41">
    <cfRule type="cellIs" dxfId="76" priority="11" stopIfTrue="1" operator="notBetween">
      <formula>-2*$B$30</formula>
      <formula>2*$B$30</formula>
    </cfRule>
  </conditionalFormatting>
  <conditionalFormatting sqref="B42">
    <cfRule type="cellIs" dxfId="75" priority="12" stopIfTrue="1" operator="notBetween">
      <formula>-2*$B$30</formula>
      <formula>2*$B$30</formula>
    </cfRule>
  </conditionalFormatting>
  <conditionalFormatting sqref="B43">
    <cfRule type="cellIs" dxfId="74" priority="13" stopIfTrue="1" operator="notBetween">
      <formula>-2*$B$30</formula>
      <formula>2*$B$30</formula>
    </cfRule>
  </conditionalFormatting>
  <conditionalFormatting sqref="B44">
    <cfRule type="cellIs" dxfId="73" priority="14" stopIfTrue="1" operator="notBetween">
      <formula>-2*$B$30</formula>
      <formula>2*$B$30</formula>
    </cfRule>
  </conditionalFormatting>
  <conditionalFormatting sqref="B45">
    <cfRule type="cellIs" dxfId="72" priority="15" stopIfTrue="1" operator="notBetween">
      <formula>-2*$B$30</formula>
      <formula>2*$B$30</formula>
    </cfRule>
  </conditionalFormatting>
  <conditionalFormatting sqref="B46">
    <cfRule type="cellIs" dxfId="71" priority="16" stopIfTrue="1" operator="notBetween">
      <formula>-2*$B$30</formula>
      <formula>2*$B$30</formula>
    </cfRule>
  </conditionalFormatting>
  <conditionalFormatting sqref="B47">
    <cfRule type="cellIs" dxfId="70" priority="17" stopIfTrue="1" operator="notBetween">
      <formula>-2*$B$30</formula>
      <formula>2*$B$30</formula>
    </cfRule>
  </conditionalFormatting>
  <conditionalFormatting sqref="B48">
    <cfRule type="cellIs" dxfId="69" priority="18" stopIfTrue="1" operator="notBetween">
      <formula>-2*$B$30</formula>
      <formula>2*$B$30</formula>
    </cfRule>
  </conditionalFormatting>
  <conditionalFormatting sqref="B49">
    <cfRule type="cellIs" dxfId="68" priority="19" stopIfTrue="1" operator="notBetween">
      <formula>-2*$B$30</formula>
      <formula>2*$B$30</formula>
    </cfRule>
  </conditionalFormatting>
  <conditionalFormatting sqref="B50">
    <cfRule type="cellIs" dxfId="67" priority="20" stopIfTrue="1" operator="notBetween">
      <formula>-2*$B$30</formula>
      <formula>2*$B$30</formula>
    </cfRule>
  </conditionalFormatting>
  <conditionalFormatting sqref="B51">
    <cfRule type="cellIs" dxfId="66" priority="21" stopIfTrue="1" operator="notBetween">
      <formula>-2*$B$30</formula>
      <formula>2*$B$30</formula>
    </cfRule>
  </conditionalFormatting>
  <conditionalFormatting sqref="B52">
    <cfRule type="cellIs" dxfId="65" priority="22" stopIfTrue="1" operator="notBetween">
      <formula>-2*$B$30</formula>
      <formula>2*$B$30</formula>
    </cfRule>
  </conditionalFormatting>
  <conditionalFormatting sqref="B53">
    <cfRule type="cellIs" dxfId="64" priority="23" stopIfTrue="1" operator="notBetween">
      <formula>-2*$B$30</formula>
      <formula>2*$B$30</formula>
    </cfRule>
  </conditionalFormatting>
  <conditionalFormatting sqref="B54">
    <cfRule type="cellIs" dxfId="63" priority="24" stopIfTrue="1" operator="notBetween">
      <formula>-2*$B$30</formula>
      <formula>2*$B$30</formula>
    </cfRule>
  </conditionalFormatting>
  <conditionalFormatting sqref="B55">
    <cfRule type="cellIs" dxfId="62" priority="25" stopIfTrue="1" operator="notBetween">
      <formula>-2*$B$30</formula>
      <formula>2*$B$30</formula>
    </cfRule>
  </conditionalFormatting>
  <conditionalFormatting sqref="B56">
    <cfRule type="cellIs" dxfId="61" priority="26" stopIfTrue="1" operator="notBetween">
      <formula>-2*$B$30</formula>
      <formula>2*$B$30</formula>
    </cfRule>
  </conditionalFormatting>
  <conditionalFormatting sqref="B57">
    <cfRule type="cellIs" dxfId="60" priority="27" stopIfTrue="1" operator="notBetween">
      <formula>-2*$B$30</formula>
      <formula>2*$B$30</formula>
    </cfRule>
  </conditionalFormatting>
  <conditionalFormatting sqref="B58">
    <cfRule type="cellIs" dxfId="59" priority="28" stopIfTrue="1" operator="notBetween">
      <formula>-2*$B$30</formula>
      <formula>2*$B$30</formula>
    </cfRule>
  </conditionalFormatting>
  <conditionalFormatting sqref="B59">
    <cfRule type="cellIs" dxfId="58" priority="29" stopIfTrue="1" operator="notBetween">
      <formula>-2*$B$30</formula>
      <formula>2*$B$30</formula>
    </cfRule>
  </conditionalFormatting>
  <pageMargins left="0.7" right="0.7" top="0.75" bottom="0.75" header="0.3" footer="0.3"/>
  <pageSetup paperSize="9" orientation="portrait" r:id="rId1"/>
  <drawing r:id="rId2"/>
  <legacyDrawing r:id="rId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60"/>
  <sheetViews>
    <sheetView showGridLines="0" workbookViewId="0">
      <selection activeCell="J29" sqref="J29"/>
    </sheetView>
  </sheetViews>
  <sheetFormatPr defaultColWidth="12.7109375" defaultRowHeight="15" x14ac:dyDescent="0.25"/>
  <cols>
    <col min="1" max="1" width="16.28515625" bestFit="1" customWidth="1"/>
    <col min="2" max="2" width="12.7109375" customWidth="1"/>
  </cols>
  <sheetData>
    <row r="1" spans="1:2" s="16" customFormat="1" ht="18.75" x14ac:dyDescent="0.3">
      <c r="A1" s="22" t="s">
        <v>75</v>
      </c>
      <c r="B1" s="20"/>
    </row>
    <row r="2" spans="1:2" s="16" customFormat="1" ht="11.25" x14ac:dyDescent="0.2">
      <c r="A2" s="18" t="s">
        <v>76</v>
      </c>
      <c r="B2" s="20" t="s">
        <v>238</v>
      </c>
    </row>
    <row r="3" spans="1:2" s="16" customFormat="1" ht="11.25" x14ac:dyDescent="0.2">
      <c r="A3" s="18" t="s">
        <v>78</v>
      </c>
      <c r="B3" s="20" t="s">
        <v>79</v>
      </c>
    </row>
    <row r="4" spans="1:2" s="16" customFormat="1" ht="11.25" x14ac:dyDescent="0.2">
      <c r="A4" s="18" t="s">
        <v>80</v>
      </c>
      <c r="B4" s="23">
        <v>45067</v>
      </c>
    </row>
    <row r="5" spans="1:2" s="17" customFormat="1" ht="11.25" x14ac:dyDescent="0.2">
      <c r="A5" s="19" t="s">
        <v>81</v>
      </c>
      <c r="B5" s="21" t="s">
        <v>211</v>
      </c>
    </row>
    <row r="7" spans="1:2" ht="15" customHeight="1" x14ac:dyDescent="0.25"/>
    <row r="8" spans="1:2" ht="15" customHeight="1" x14ac:dyDescent="0.25"/>
    <row r="9" spans="1:2" ht="15" customHeight="1" x14ac:dyDescent="0.25"/>
    <row r="10" spans="1:2" ht="15" customHeight="1" x14ac:dyDescent="0.25"/>
    <row r="11" spans="1:2" ht="15" customHeight="1" x14ac:dyDescent="0.25"/>
    <row r="12" spans="1:2" ht="15" customHeight="1" x14ac:dyDescent="0.25"/>
    <row r="13" spans="1:2" ht="15" customHeight="1" x14ac:dyDescent="0.25"/>
    <row r="14" spans="1:2" ht="15" customHeight="1" x14ac:dyDescent="0.25"/>
    <row r="15" spans="1:2" ht="15" customHeight="1" x14ac:dyDescent="0.25"/>
    <row r="16" spans="1:2" ht="15" customHeight="1" x14ac:dyDescent="0.25"/>
    <row r="17" spans="1:2" ht="15" customHeight="1" x14ac:dyDescent="0.25"/>
    <row r="18" spans="1:2" ht="15" customHeight="1" x14ac:dyDescent="0.25"/>
    <row r="19" spans="1:2" ht="15" customHeight="1" x14ac:dyDescent="0.25"/>
    <row r="20" spans="1:2" ht="15" customHeight="1" x14ac:dyDescent="0.25"/>
    <row r="21" spans="1:2" ht="15" customHeight="1" x14ac:dyDescent="0.25"/>
    <row r="22" spans="1:2" ht="15" customHeight="1" x14ac:dyDescent="0.25"/>
    <row r="23" spans="1:2" ht="15" customHeight="1" x14ac:dyDescent="0.25"/>
    <row r="24" spans="1:2" ht="15" customHeight="1" x14ac:dyDescent="0.25"/>
    <row r="25" spans="1:2" ht="15" customHeight="1" x14ac:dyDescent="0.25"/>
    <row r="26" spans="1:2" ht="15" customHeight="1" x14ac:dyDescent="0.25"/>
    <row r="27" spans="1:2" ht="15" customHeight="1" x14ac:dyDescent="0.25">
      <c r="A27" s="28"/>
      <c r="B27" s="25" t="s">
        <v>53</v>
      </c>
    </row>
    <row r="28" spans="1:2" ht="15" customHeight="1" thickBot="1" x14ac:dyDescent="0.3">
      <c r="A28" s="39" t="s">
        <v>239</v>
      </c>
      <c r="B28" s="38" t="s">
        <v>272</v>
      </c>
    </row>
    <row r="29" spans="1:2" ht="15" customHeight="1" thickTop="1" x14ac:dyDescent="0.25">
      <c r="A29" s="27" t="s">
        <v>240</v>
      </c>
      <c r="B29" s="43">
        <f>_xll.StatCount(ST_RessidualEast)</f>
        <v>117</v>
      </c>
    </row>
    <row r="30" spans="1:2" ht="15" customHeight="1" x14ac:dyDescent="0.25">
      <c r="A30" s="40" t="s">
        <v>241</v>
      </c>
      <c r="B30" s="44">
        <f>1/SQRT($B$29)</f>
        <v>9.2450032704204849E-2</v>
      </c>
    </row>
    <row r="31" spans="1:2" ht="15" customHeight="1" x14ac:dyDescent="0.25">
      <c r="A31" s="27" t="s">
        <v>242</v>
      </c>
      <c r="B31" s="36">
        <f>_xll.StatAutocorrelation(ST_RessidualEast, 1)</f>
        <v>0.28004939705787235</v>
      </c>
    </row>
    <row r="32" spans="1:2" ht="15" customHeight="1" x14ac:dyDescent="0.25">
      <c r="A32" s="27" t="s">
        <v>243</v>
      </c>
      <c r="B32" s="36">
        <f>_xll.StatAutocorrelation(ST_RessidualEast, 2)</f>
        <v>0.29050406352680519</v>
      </c>
    </row>
    <row r="33" spans="1:2" ht="15" customHeight="1" x14ac:dyDescent="0.25">
      <c r="A33" s="27" t="s">
        <v>244</v>
      </c>
      <c r="B33" s="36">
        <f>_xll.StatAutocorrelation(ST_RessidualEast, 3)</f>
        <v>2.0637636894930381E-2</v>
      </c>
    </row>
    <row r="34" spans="1:2" ht="15" customHeight="1" x14ac:dyDescent="0.25">
      <c r="A34" s="27" t="s">
        <v>245</v>
      </c>
      <c r="B34" s="36">
        <f>_xll.StatAutocorrelation(ST_RessidualEast, 4)</f>
        <v>-0.22952219675691121</v>
      </c>
    </row>
    <row r="35" spans="1:2" ht="15" customHeight="1" x14ac:dyDescent="0.25">
      <c r="A35" s="27" t="s">
        <v>246</v>
      </c>
      <c r="B35" s="36">
        <f>_xll.StatAutocorrelation(ST_RessidualEast, 5)</f>
        <v>-0.26329306182391471</v>
      </c>
    </row>
    <row r="36" spans="1:2" ht="15" customHeight="1" x14ac:dyDescent="0.25">
      <c r="A36" s="27" t="s">
        <v>247</v>
      </c>
      <c r="B36" s="36">
        <f>_xll.StatAutocorrelation(ST_RessidualEast, 6)</f>
        <v>-0.37317468953109595</v>
      </c>
    </row>
    <row r="37" spans="1:2" ht="15" customHeight="1" x14ac:dyDescent="0.25">
      <c r="A37" s="27" t="s">
        <v>248</v>
      </c>
      <c r="B37" s="36">
        <f>_xll.StatAutocorrelation(ST_RessidualEast, 7)</f>
        <v>-0.29837886821926957</v>
      </c>
    </row>
    <row r="38" spans="1:2" ht="15" customHeight="1" x14ac:dyDescent="0.25">
      <c r="A38" s="27" t="s">
        <v>249</v>
      </c>
      <c r="B38" s="36">
        <f>_xll.StatAutocorrelation(ST_RessidualEast, 8)</f>
        <v>-0.16990824002413721</v>
      </c>
    </row>
    <row r="39" spans="1:2" ht="15" customHeight="1" x14ac:dyDescent="0.25">
      <c r="A39" s="27" t="s">
        <v>250</v>
      </c>
      <c r="B39" s="36">
        <f>_xll.StatAutocorrelation(ST_RessidualEast, 9)</f>
        <v>2.6781610103270348E-2</v>
      </c>
    </row>
    <row r="40" spans="1:2" ht="15" customHeight="1" x14ac:dyDescent="0.25">
      <c r="A40" s="27" t="s">
        <v>251</v>
      </c>
      <c r="B40" s="36">
        <f>_xll.StatAutocorrelation(ST_RessidualEast, 10)</f>
        <v>0.18098697060204469</v>
      </c>
    </row>
    <row r="41" spans="1:2" ht="15" customHeight="1" x14ac:dyDescent="0.25">
      <c r="A41" s="27" t="s">
        <v>252</v>
      </c>
      <c r="B41" s="36">
        <f>_xll.StatAutocorrelation(ST_RessidualEast, 11)</f>
        <v>0.31285598341261583</v>
      </c>
    </row>
    <row r="42" spans="1:2" ht="15" customHeight="1" x14ac:dyDescent="0.25">
      <c r="A42" s="27" t="s">
        <v>253</v>
      </c>
      <c r="B42" s="36">
        <f>_xll.StatAutocorrelation(ST_RessidualEast, 12)</f>
        <v>0.34546831933093963</v>
      </c>
    </row>
    <row r="43" spans="1:2" ht="15" customHeight="1" x14ac:dyDescent="0.25">
      <c r="A43" s="27" t="s">
        <v>254</v>
      </c>
      <c r="B43" s="36">
        <f>_xll.StatAutocorrelation(ST_RessidualEast, 13)</f>
        <v>0.22749013157286085</v>
      </c>
    </row>
    <row r="44" spans="1:2" ht="15" customHeight="1" x14ac:dyDescent="0.25">
      <c r="A44" s="27" t="s">
        <v>255</v>
      </c>
      <c r="B44" s="36">
        <f>_xll.StatAutocorrelation(ST_RessidualEast, 14)</f>
        <v>0.10931059465937851</v>
      </c>
    </row>
    <row r="45" spans="1:2" ht="15" customHeight="1" x14ac:dyDescent="0.25">
      <c r="A45" s="27" t="s">
        <v>256</v>
      </c>
      <c r="B45" s="36">
        <f>_xll.StatAutocorrelation(ST_RessidualEast, 15)</f>
        <v>-3.7318683001588977E-2</v>
      </c>
    </row>
    <row r="46" spans="1:2" ht="15" customHeight="1" x14ac:dyDescent="0.25">
      <c r="A46" s="27" t="s">
        <v>257</v>
      </c>
      <c r="B46" s="36">
        <f>_xll.StatAutocorrelation(ST_RessidualEast, 16)</f>
        <v>-1.8975139315804388E-2</v>
      </c>
    </row>
    <row r="47" spans="1:2" ht="15" customHeight="1" x14ac:dyDescent="0.25">
      <c r="A47" s="27" t="s">
        <v>258</v>
      </c>
      <c r="B47" s="36">
        <f>_xll.StatAutocorrelation(ST_RessidualEast, 17)</f>
        <v>-0.23979046821623667</v>
      </c>
    </row>
    <row r="48" spans="1:2" ht="15" customHeight="1" x14ac:dyDescent="0.25">
      <c r="A48" s="27" t="s">
        <v>259</v>
      </c>
      <c r="B48" s="36">
        <f>_xll.StatAutocorrelation(ST_RessidualEast, 18)</f>
        <v>-0.23412609588853694</v>
      </c>
    </row>
    <row r="49" spans="1:2" ht="15" customHeight="1" x14ac:dyDescent="0.25">
      <c r="A49" s="27" t="s">
        <v>260</v>
      </c>
      <c r="B49" s="36">
        <f>_xll.StatAutocorrelation(ST_RessidualEast, 19)</f>
        <v>-0.25199986503713001</v>
      </c>
    </row>
    <row r="50" spans="1:2" ht="15" customHeight="1" x14ac:dyDescent="0.25">
      <c r="A50" s="27" t="s">
        <v>261</v>
      </c>
      <c r="B50" s="36">
        <f>_xll.StatAutocorrelation(ST_RessidualEast, 20)</f>
        <v>-0.1205843769087534</v>
      </c>
    </row>
    <row r="51" spans="1:2" ht="15" customHeight="1" x14ac:dyDescent="0.25">
      <c r="A51" s="27" t="s">
        <v>262</v>
      </c>
      <c r="B51" s="36">
        <f>_xll.StatAutocorrelation(ST_RessidualEast, 21)</f>
        <v>5.769171994422826E-2</v>
      </c>
    </row>
    <row r="52" spans="1:2" ht="15" customHeight="1" x14ac:dyDescent="0.25">
      <c r="A52" s="27" t="s">
        <v>263</v>
      </c>
      <c r="B52" s="36">
        <f>_xll.StatAutocorrelation(ST_RessidualEast, 22)</f>
        <v>5.7313688281429628E-3</v>
      </c>
    </row>
    <row r="53" spans="1:2" ht="15" customHeight="1" x14ac:dyDescent="0.25">
      <c r="A53" s="27" t="s">
        <v>264</v>
      </c>
      <c r="B53" s="36">
        <f>_xll.StatAutocorrelation(ST_RessidualEast, 23)</f>
        <v>0.19645533598249842</v>
      </c>
    </row>
    <row r="54" spans="1:2" ht="15" customHeight="1" x14ac:dyDescent="0.25">
      <c r="A54" s="27" t="s">
        <v>265</v>
      </c>
      <c r="B54" s="36">
        <f>_xll.StatAutocorrelation(ST_RessidualEast, 24)</f>
        <v>0.24242510747667487</v>
      </c>
    </row>
    <row r="55" spans="1:2" ht="15" customHeight="1" x14ac:dyDescent="0.25">
      <c r="A55" s="27" t="s">
        <v>266</v>
      </c>
      <c r="B55" s="36">
        <f>_xll.StatAutocorrelation(ST_RessidualEast, 25)</f>
        <v>0.11824084847590716</v>
      </c>
    </row>
    <row r="56" spans="1:2" ht="15" customHeight="1" x14ac:dyDescent="0.25">
      <c r="A56" s="27" t="s">
        <v>267</v>
      </c>
      <c r="B56" s="36">
        <f>_xll.StatAutocorrelation(ST_RessidualEast, 26)</f>
        <v>0.17875385864277349</v>
      </c>
    </row>
    <row r="57" spans="1:2" ht="15" customHeight="1" x14ac:dyDescent="0.25">
      <c r="A57" s="27" t="s">
        <v>268</v>
      </c>
      <c r="B57" s="36">
        <f>_xll.StatAutocorrelation(ST_RessidualEast, 27)</f>
        <v>-8.7548929119515437E-2</v>
      </c>
    </row>
    <row r="58" spans="1:2" ht="15" customHeight="1" x14ac:dyDescent="0.25">
      <c r="A58" s="27" t="s">
        <v>269</v>
      </c>
      <c r="B58" s="36">
        <f>_xll.StatAutocorrelation(ST_RessidualEast, 28)</f>
        <v>-8.1927710487874145E-2</v>
      </c>
    </row>
    <row r="59" spans="1:2" ht="15" customHeight="1" x14ac:dyDescent="0.25">
      <c r="A59" s="27" t="s">
        <v>270</v>
      </c>
      <c r="B59" s="36">
        <f>_xll.StatAutocorrelation(ST_RessidualEast, 29)</f>
        <v>-0.26879413275784897</v>
      </c>
    </row>
    <row r="60" spans="1:2" x14ac:dyDescent="0.25">
      <c r="A60" s="27"/>
      <c r="B60" s="24"/>
    </row>
  </sheetData>
  <conditionalFormatting sqref="B31">
    <cfRule type="cellIs" dxfId="57" priority="1" stopIfTrue="1" operator="notBetween">
      <formula>-2*$B$30</formula>
      <formula>2*$B$30</formula>
    </cfRule>
  </conditionalFormatting>
  <conditionalFormatting sqref="B32">
    <cfRule type="cellIs" dxfId="56" priority="2" stopIfTrue="1" operator="notBetween">
      <formula>-2*$B$30</formula>
      <formula>2*$B$30</formula>
    </cfRule>
  </conditionalFormatting>
  <conditionalFormatting sqref="B33">
    <cfRule type="cellIs" dxfId="55" priority="3" stopIfTrue="1" operator="notBetween">
      <formula>-2*$B$30</formula>
      <formula>2*$B$30</formula>
    </cfRule>
  </conditionalFormatting>
  <conditionalFormatting sqref="B34">
    <cfRule type="cellIs" dxfId="54" priority="4" stopIfTrue="1" operator="notBetween">
      <formula>-2*$B$30</formula>
      <formula>2*$B$30</formula>
    </cfRule>
  </conditionalFormatting>
  <conditionalFormatting sqref="B35">
    <cfRule type="cellIs" dxfId="53" priority="5" stopIfTrue="1" operator="notBetween">
      <formula>-2*$B$30</formula>
      <formula>2*$B$30</formula>
    </cfRule>
  </conditionalFormatting>
  <conditionalFormatting sqref="B36">
    <cfRule type="cellIs" dxfId="52" priority="6" stopIfTrue="1" operator="notBetween">
      <formula>-2*$B$30</formula>
      <formula>2*$B$30</formula>
    </cfRule>
  </conditionalFormatting>
  <conditionalFormatting sqref="B37">
    <cfRule type="cellIs" dxfId="51" priority="7" stopIfTrue="1" operator="notBetween">
      <formula>-2*$B$30</formula>
      <formula>2*$B$30</formula>
    </cfRule>
  </conditionalFormatting>
  <conditionalFormatting sqref="B38">
    <cfRule type="cellIs" dxfId="50" priority="8" stopIfTrue="1" operator="notBetween">
      <formula>-2*$B$30</formula>
      <formula>2*$B$30</formula>
    </cfRule>
  </conditionalFormatting>
  <conditionalFormatting sqref="B39">
    <cfRule type="cellIs" dxfId="49" priority="9" stopIfTrue="1" operator="notBetween">
      <formula>-2*$B$30</formula>
      <formula>2*$B$30</formula>
    </cfRule>
  </conditionalFormatting>
  <conditionalFormatting sqref="B40">
    <cfRule type="cellIs" dxfId="48" priority="10" stopIfTrue="1" operator="notBetween">
      <formula>-2*$B$30</formula>
      <formula>2*$B$30</formula>
    </cfRule>
  </conditionalFormatting>
  <conditionalFormatting sqref="B41">
    <cfRule type="cellIs" dxfId="47" priority="11" stopIfTrue="1" operator="notBetween">
      <formula>-2*$B$30</formula>
      <formula>2*$B$30</formula>
    </cfRule>
  </conditionalFormatting>
  <conditionalFormatting sqref="B42">
    <cfRule type="cellIs" dxfId="46" priority="12" stopIfTrue="1" operator="notBetween">
      <formula>-2*$B$30</formula>
      <formula>2*$B$30</formula>
    </cfRule>
  </conditionalFormatting>
  <conditionalFormatting sqref="B43">
    <cfRule type="cellIs" dxfId="45" priority="13" stopIfTrue="1" operator="notBetween">
      <formula>-2*$B$30</formula>
      <formula>2*$B$30</formula>
    </cfRule>
  </conditionalFormatting>
  <conditionalFormatting sqref="B44">
    <cfRule type="cellIs" dxfId="44" priority="14" stopIfTrue="1" operator="notBetween">
      <formula>-2*$B$30</formula>
      <formula>2*$B$30</formula>
    </cfRule>
  </conditionalFormatting>
  <conditionalFormatting sqref="B45">
    <cfRule type="cellIs" dxfId="43" priority="15" stopIfTrue="1" operator="notBetween">
      <formula>-2*$B$30</formula>
      <formula>2*$B$30</formula>
    </cfRule>
  </conditionalFormatting>
  <conditionalFormatting sqref="B46">
    <cfRule type="cellIs" dxfId="42" priority="16" stopIfTrue="1" operator="notBetween">
      <formula>-2*$B$30</formula>
      <formula>2*$B$30</formula>
    </cfRule>
  </conditionalFormatting>
  <conditionalFormatting sqref="B47">
    <cfRule type="cellIs" dxfId="41" priority="17" stopIfTrue="1" operator="notBetween">
      <formula>-2*$B$30</formula>
      <formula>2*$B$30</formula>
    </cfRule>
  </conditionalFormatting>
  <conditionalFormatting sqref="B48">
    <cfRule type="cellIs" dxfId="40" priority="18" stopIfTrue="1" operator="notBetween">
      <formula>-2*$B$30</formula>
      <formula>2*$B$30</formula>
    </cfRule>
  </conditionalFormatting>
  <conditionalFormatting sqref="B49">
    <cfRule type="cellIs" dxfId="39" priority="19" stopIfTrue="1" operator="notBetween">
      <formula>-2*$B$30</formula>
      <formula>2*$B$30</formula>
    </cfRule>
  </conditionalFormatting>
  <conditionalFormatting sqref="B50">
    <cfRule type="cellIs" dxfId="38" priority="20" stopIfTrue="1" operator="notBetween">
      <formula>-2*$B$30</formula>
      <formula>2*$B$30</formula>
    </cfRule>
  </conditionalFormatting>
  <conditionalFormatting sqref="B51">
    <cfRule type="cellIs" dxfId="37" priority="21" stopIfTrue="1" operator="notBetween">
      <formula>-2*$B$30</formula>
      <formula>2*$B$30</formula>
    </cfRule>
  </conditionalFormatting>
  <conditionalFormatting sqref="B52">
    <cfRule type="cellIs" dxfId="36" priority="22" stopIfTrue="1" operator="notBetween">
      <formula>-2*$B$30</formula>
      <formula>2*$B$30</formula>
    </cfRule>
  </conditionalFormatting>
  <conditionalFormatting sqref="B53">
    <cfRule type="cellIs" dxfId="35" priority="23" stopIfTrue="1" operator="notBetween">
      <formula>-2*$B$30</formula>
      <formula>2*$B$30</formula>
    </cfRule>
  </conditionalFormatting>
  <conditionalFormatting sqref="B54">
    <cfRule type="cellIs" dxfId="34" priority="24" stopIfTrue="1" operator="notBetween">
      <formula>-2*$B$30</formula>
      <formula>2*$B$30</formula>
    </cfRule>
  </conditionalFormatting>
  <conditionalFormatting sqref="B55">
    <cfRule type="cellIs" dxfId="33" priority="25" stopIfTrue="1" operator="notBetween">
      <formula>-2*$B$30</formula>
      <formula>2*$B$30</formula>
    </cfRule>
  </conditionalFormatting>
  <conditionalFormatting sqref="B56">
    <cfRule type="cellIs" dxfId="32" priority="26" stopIfTrue="1" operator="notBetween">
      <formula>-2*$B$30</formula>
      <formula>2*$B$30</formula>
    </cfRule>
  </conditionalFormatting>
  <conditionalFormatting sqref="B57">
    <cfRule type="cellIs" dxfId="31" priority="27" stopIfTrue="1" operator="notBetween">
      <formula>-2*$B$30</formula>
      <formula>2*$B$30</formula>
    </cfRule>
  </conditionalFormatting>
  <conditionalFormatting sqref="B58">
    <cfRule type="cellIs" dxfId="30" priority="28" stopIfTrue="1" operator="notBetween">
      <formula>-2*$B$30</formula>
      <formula>2*$B$30</formula>
    </cfRule>
  </conditionalFormatting>
  <conditionalFormatting sqref="B59">
    <cfRule type="cellIs" dxfId="29" priority="29" stopIfTrue="1" operator="notBetween">
      <formula>-2*$B$30</formula>
      <formula>2*$B$30</formula>
    </cfRule>
  </conditionalFormatting>
  <pageMargins left="0.7" right="0.7" top="0.75" bottom="0.75" header="0.3" footer="0.3"/>
  <pageSetup paperSize="9" orientation="portrait" r:id="rId1"/>
  <drawing r:id="rId2"/>
  <legacyDrawing r:id="rId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60"/>
  <sheetViews>
    <sheetView showGridLines="0" workbookViewId="0">
      <selection activeCell="H24" sqref="H24"/>
    </sheetView>
  </sheetViews>
  <sheetFormatPr defaultColWidth="12.7109375" defaultRowHeight="15" x14ac:dyDescent="0.25"/>
  <cols>
    <col min="1" max="1" width="16.28515625" bestFit="1" customWidth="1"/>
    <col min="2" max="2" width="12.7109375" customWidth="1"/>
  </cols>
  <sheetData>
    <row r="1" spans="1:2" s="16" customFormat="1" ht="18.75" x14ac:dyDescent="0.3">
      <c r="A1" s="22" t="s">
        <v>75</v>
      </c>
      <c r="B1" s="20"/>
    </row>
    <row r="2" spans="1:2" s="16" customFormat="1" ht="11.25" x14ac:dyDescent="0.2">
      <c r="A2" s="18" t="s">
        <v>76</v>
      </c>
      <c r="B2" s="20" t="s">
        <v>238</v>
      </c>
    </row>
    <row r="3" spans="1:2" s="16" customFormat="1" ht="11.25" x14ac:dyDescent="0.2">
      <c r="A3" s="18" t="s">
        <v>78</v>
      </c>
      <c r="B3" s="20" t="s">
        <v>79</v>
      </c>
    </row>
    <row r="4" spans="1:2" s="16" customFormat="1" ht="11.25" x14ac:dyDescent="0.2">
      <c r="A4" s="18" t="s">
        <v>80</v>
      </c>
      <c r="B4" s="23">
        <v>45067</v>
      </c>
    </row>
    <row r="5" spans="1:2" s="17" customFormat="1" ht="11.25" x14ac:dyDescent="0.2">
      <c r="A5" s="19" t="s">
        <v>81</v>
      </c>
      <c r="B5" s="21" t="s">
        <v>211</v>
      </c>
    </row>
    <row r="7" spans="1:2" ht="15" customHeight="1" x14ac:dyDescent="0.25"/>
    <row r="8" spans="1:2" ht="15" customHeight="1" x14ac:dyDescent="0.25"/>
    <row r="9" spans="1:2" ht="15" customHeight="1" x14ac:dyDescent="0.25"/>
    <row r="10" spans="1:2" ht="15" customHeight="1" x14ac:dyDescent="0.25"/>
    <row r="11" spans="1:2" ht="15" customHeight="1" x14ac:dyDescent="0.25"/>
    <row r="12" spans="1:2" ht="15" customHeight="1" x14ac:dyDescent="0.25"/>
    <row r="13" spans="1:2" ht="15" customHeight="1" x14ac:dyDescent="0.25"/>
    <row r="14" spans="1:2" ht="15" customHeight="1" x14ac:dyDescent="0.25"/>
    <row r="15" spans="1:2" ht="15" customHeight="1" x14ac:dyDescent="0.25"/>
    <row r="16" spans="1:2" ht="15" customHeight="1" x14ac:dyDescent="0.25"/>
    <row r="17" spans="1:2" ht="15" customHeight="1" x14ac:dyDescent="0.25"/>
    <row r="18" spans="1:2" ht="15" customHeight="1" x14ac:dyDescent="0.25"/>
    <row r="19" spans="1:2" ht="15" customHeight="1" x14ac:dyDescent="0.25"/>
    <row r="20" spans="1:2" ht="15" customHeight="1" x14ac:dyDescent="0.25"/>
    <row r="21" spans="1:2" ht="15" customHeight="1" x14ac:dyDescent="0.25"/>
    <row r="22" spans="1:2" ht="15" customHeight="1" x14ac:dyDescent="0.25"/>
    <row r="23" spans="1:2" ht="15" customHeight="1" x14ac:dyDescent="0.25"/>
    <row r="24" spans="1:2" ht="15" customHeight="1" x14ac:dyDescent="0.25"/>
    <row r="25" spans="1:2" ht="15" customHeight="1" x14ac:dyDescent="0.25"/>
    <row r="26" spans="1:2" ht="15" customHeight="1" x14ac:dyDescent="0.25"/>
    <row r="27" spans="1:2" ht="15" customHeight="1" x14ac:dyDescent="0.25">
      <c r="A27" s="28"/>
      <c r="B27" s="25" t="s">
        <v>56</v>
      </c>
    </row>
    <row r="28" spans="1:2" ht="15" customHeight="1" thickBot="1" x14ac:dyDescent="0.3">
      <c r="A28" s="39" t="s">
        <v>239</v>
      </c>
      <c r="B28" s="38" t="s">
        <v>276</v>
      </c>
    </row>
    <row r="29" spans="1:2" ht="15" customHeight="1" thickTop="1" x14ac:dyDescent="0.25">
      <c r="A29" s="27" t="s">
        <v>240</v>
      </c>
      <c r="B29" s="43">
        <f>_xll.StatCount(ST_ResidualWest)</f>
        <v>117</v>
      </c>
    </row>
    <row r="30" spans="1:2" ht="15" customHeight="1" x14ac:dyDescent="0.25">
      <c r="A30" s="40" t="s">
        <v>241</v>
      </c>
      <c r="B30" s="44">
        <f>1/SQRT($B$29)</f>
        <v>9.2450032704204849E-2</v>
      </c>
    </row>
    <row r="31" spans="1:2" ht="15" customHeight="1" x14ac:dyDescent="0.25">
      <c r="A31" s="27" t="s">
        <v>242</v>
      </c>
      <c r="B31" s="36">
        <f>_xll.StatAutocorrelation(ST_ResidualWest, 1)</f>
        <v>0.55389545176709087</v>
      </c>
    </row>
    <row r="32" spans="1:2" ht="15" customHeight="1" x14ac:dyDescent="0.25">
      <c r="A32" s="27" t="s">
        <v>243</v>
      </c>
      <c r="B32" s="36">
        <f>_xll.StatAutocorrelation(ST_ResidualWest, 2)</f>
        <v>0.27007061790341341</v>
      </c>
    </row>
    <row r="33" spans="1:2" ht="15" customHeight="1" x14ac:dyDescent="0.25">
      <c r="A33" s="27" t="s">
        <v>244</v>
      </c>
      <c r="B33" s="36">
        <f>_xll.StatAutocorrelation(ST_ResidualWest, 3)</f>
        <v>1.2322757522431714E-2</v>
      </c>
    </row>
    <row r="34" spans="1:2" ht="15" customHeight="1" x14ac:dyDescent="0.25">
      <c r="A34" s="27" t="s">
        <v>245</v>
      </c>
      <c r="B34" s="36">
        <f>_xll.StatAutocorrelation(ST_ResidualWest, 4)</f>
        <v>-0.31890012365057341</v>
      </c>
    </row>
    <row r="35" spans="1:2" ht="15" customHeight="1" x14ac:dyDescent="0.25">
      <c r="A35" s="27" t="s">
        <v>246</v>
      </c>
      <c r="B35" s="36">
        <f>_xll.StatAutocorrelation(ST_ResidualWest, 5)</f>
        <v>-0.53718854746931222</v>
      </c>
    </row>
    <row r="36" spans="1:2" ht="15" customHeight="1" x14ac:dyDescent="0.25">
      <c r="A36" s="27" t="s">
        <v>247</v>
      </c>
      <c r="B36" s="36">
        <f>_xll.StatAutocorrelation(ST_ResidualWest, 6)</f>
        <v>-0.6301766928150907</v>
      </c>
    </row>
    <row r="37" spans="1:2" ht="15" customHeight="1" x14ac:dyDescent="0.25">
      <c r="A37" s="27" t="s">
        <v>248</v>
      </c>
      <c r="B37" s="36">
        <f>_xll.StatAutocorrelation(ST_ResidualWest, 7)</f>
        <v>-0.53578468659119527</v>
      </c>
    </row>
    <row r="38" spans="1:2" ht="15" customHeight="1" x14ac:dyDescent="0.25">
      <c r="A38" s="27" t="s">
        <v>249</v>
      </c>
      <c r="B38" s="36">
        <f>_xll.StatAutocorrelation(ST_ResidualWest, 8)</f>
        <v>-0.29906443994813486</v>
      </c>
    </row>
    <row r="39" spans="1:2" ht="15" customHeight="1" x14ac:dyDescent="0.25">
      <c r="A39" s="27" t="s">
        <v>250</v>
      </c>
      <c r="B39" s="36">
        <f>_xll.StatAutocorrelation(ST_ResidualWest, 9)</f>
        <v>-5.7578841918031941E-2</v>
      </c>
    </row>
    <row r="40" spans="1:2" ht="15" customHeight="1" x14ac:dyDescent="0.25">
      <c r="A40" s="27" t="s">
        <v>251</v>
      </c>
      <c r="B40" s="36">
        <f>_xll.StatAutocorrelation(ST_ResidualWest, 10)</f>
        <v>0.28502794927644431</v>
      </c>
    </row>
    <row r="41" spans="1:2" ht="15" customHeight="1" x14ac:dyDescent="0.25">
      <c r="A41" s="27" t="s">
        <v>252</v>
      </c>
      <c r="B41" s="36">
        <f>_xll.StatAutocorrelation(ST_ResidualWest, 11)</f>
        <v>0.49902707034580396</v>
      </c>
    </row>
    <row r="42" spans="1:2" ht="15" customHeight="1" x14ac:dyDescent="0.25">
      <c r="A42" s="27" t="s">
        <v>253</v>
      </c>
      <c r="B42" s="36">
        <f>_xll.StatAutocorrelation(ST_ResidualWest, 12)</f>
        <v>0.6165474124471223</v>
      </c>
    </row>
    <row r="43" spans="1:2" ht="15" customHeight="1" x14ac:dyDescent="0.25">
      <c r="A43" s="27" t="s">
        <v>254</v>
      </c>
      <c r="B43" s="36">
        <f>_xll.StatAutocorrelation(ST_ResidualWest, 13)</f>
        <v>0.50013993187136629</v>
      </c>
    </row>
    <row r="44" spans="1:2" ht="15" customHeight="1" x14ac:dyDescent="0.25">
      <c r="A44" s="27" t="s">
        <v>255</v>
      </c>
      <c r="B44" s="36">
        <f>_xll.StatAutocorrelation(ST_ResidualWest, 14)</f>
        <v>0.29238543906299447</v>
      </c>
    </row>
    <row r="45" spans="1:2" ht="15" customHeight="1" x14ac:dyDescent="0.25">
      <c r="A45" s="27" t="s">
        <v>256</v>
      </c>
      <c r="B45" s="36">
        <f>_xll.StatAutocorrelation(ST_ResidualWest, 15)</f>
        <v>-4.2275220998558918E-2</v>
      </c>
    </row>
    <row r="46" spans="1:2" ht="15" customHeight="1" x14ac:dyDescent="0.25">
      <c r="A46" s="27" t="s">
        <v>257</v>
      </c>
      <c r="B46" s="36">
        <f>_xll.StatAutocorrelation(ST_ResidualWest, 16)</f>
        <v>-0.26625505793538046</v>
      </c>
    </row>
    <row r="47" spans="1:2" ht="15" customHeight="1" x14ac:dyDescent="0.25">
      <c r="A47" s="27" t="s">
        <v>258</v>
      </c>
      <c r="B47" s="36">
        <f>_xll.StatAutocorrelation(ST_ResidualWest, 17)</f>
        <v>-0.48638379994971825</v>
      </c>
    </row>
    <row r="48" spans="1:2" ht="15" customHeight="1" x14ac:dyDescent="0.25">
      <c r="A48" s="27" t="s">
        <v>259</v>
      </c>
      <c r="B48" s="36">
        <f>_xll.StatAutocorrelation(ST_ResidualWest, 18)</f>
        <v>-0.58729968904331797</v>
      </c>
    </row>
    <row r="49" spans="1:2" ht="15" customHeight="1" x14ac:dyDescent="0.25">
      <c r="A49" s="27" t="s">
        <v>260</v>
      </c>
      <c r="B49" s="36">
        <f>_xll.StatAutocorrelation(ST_ResidualWest, 19)</f>
        <v>-0.44822236592912096</v>
      </c>
    </row>
    <row r="50" spans="1:2" ht="15" customHeight="1" x14ac:dyDescent="0.25">
      <c r="A50" s="27" t="s">
        <v>261</v>
      </c>
      <c r="B50" s="36">
        <f>_xll.StatAutocorrelation(ST_ResidualWest, 20)</f>
        <v>-0.26987240491153991</v>
      </c>
    </row>
    <row r="51" spans="1:2" ht="15" customHeight="1" x14ac:dyDescent="0.25">
      <c r="A51" s="27" t="s">
        <v>262</v>
      </c>
      <c r="B51" s="36">
        <f>_xll.StatAutocorrelation(ST_ResidualWest, 21)</f>
        <v>-5.4676002769681641E-3</v>
      </c>
    </row>
    <row r="52" spans="1:2" ht="15" customHeight="1" x14ac:dyDescent="0.25">
      <c r="A52" s="27" t="s">
        <v>263</v>
      </c>
      <c r="B52" s="36">
        <f>_xll.StatAutocorrelation(ST_ResidualWest, 22)</f>
        <v>0.28808551573837909</v>
      </c>
    </row>
    <row r="53" spans="1:2" ht="15" customHeight="1" x14ac:dyDescent="0.25">
      <c r="A53" s="27" t="s">
        <v>264</v>
      </c>
      <c r="B53" s="36">
        <f>_xll.StatAutocorrelation(ST_ResidualWest, 23)</f>
        <v>0.43936328061261781</v>
      </c>
    </row>
    <row r="54" spans="1:2" ht="15" customHeight="1" x14ac:dyDescent="0.25">
      <c r="A54" s="27" t="s">
        <v>265</v>
      </c>
      <c r="B54" s="36">
        <f>_xll.StatAutocorrelation(ST_ResidualWest, 24)</f>
        <v>0.49602908668390056</v>
      </c>
    </row>
    <row r="55" spans="1:2" ht="15" customHeight="1" x14ac:dyDescent="0.25">
      <c r="A55" s="27" t="s">
        <v>266</v>
      </c>
      <c r="B55" s="36">
        <f>_xll.StatAutocorrelation(ST_ResidualWest, 25)</f>
        <v>0.43662327019003566</v>
      </c>
    </row>
    <row r="56" spans="1:2" ht="15" customHeight="1" x14ac:dyDescent="0.25">
      <c r="A56" s="27" t="s">
        <v>267</v>
      </c>
      <c r="B56" s="36">
        <f>_xll.StatAutocorrelation(ST_ResidualWest, 26)</f>
        <v>0.23608979859222237</v>
      </c>
    </row>
    <row r="57" spans="1:2" ht="15" customHeight="1" x14ac:dyDescent="0.25">
      <c r="A57" s="27" t="s">
        <v>268</v>
      </c>
      <c r="B57" s="36">
        <f>_xll.StatAutocorrelation(ST_ResidualWest, 27)</f>
        <v>2.8147039989761105E-2</v>
      </c>
    </row>
    <row r="58" spans="1:2" ht="15" customHeight="1" x14ac:dyDescent="0.25">
      <c r="A58" s="27" t="s">
        <v>269</v>
      </c>
      <c r="B58" s="36">
        <f>_xll.StatAutocorrelation(ST_ResidualWest, 28)</f>
        <v>-0.21851624715822848</v>
      </c>
    </row>
    <row r="59" spans="1:2" ht="15" customHeight="1" x14ac:dyDescent="0.25">
      <c r="A59" s="27" t="s">
        <v>270</v>
      </c>
      <c r="B59" s="36">
        <f>_xll.StatAutocorrelation(ST_ResidualWest, 29)</f>
        <v>-0.45949549081091356</v>
      </c>
    </row>
    <row r="60" spans="1:2" x14ac:dyDescent="0.25">
      <c r="A60" s="27"/>
      <c r="B60" s="24"/>
    </row>
  </sheetData>
  <conditionalFormatting sqref="B31">
    <cfRule type="cellIs" dxfId="28" priority="1" stopIfTrue="1" operator="notBetween">
      <formula>-2*$B$30</formula>
      <formula>2*$B$30</formula>
    </cfRule>
  </conditionalFormatting>
  <conditionalFormatting sqref="B32">
    <cfRule type="cellIs" dxfId="27" priority="2" stopIfTrue="1" operator="notBetween">
      <formula>-2*$B$30</formula>
      <formula>2*$B$30</formula>
    </cfRule>
  </conditionalFormatting>
  <conditionalFormatting sqref="B33">
    <cfRule type="cellIs" dxfId="26" priority="3" stopIfTrue="1" operator="notBetween">
      <formula>-2*$B$30</formula>
      <formula>2*$B$30</formula>
    </cfRule>
  </conditionalFormatting>
  <conditionalFormatting sqref="B34">
    <cfRule type="cellIs" dxfId="25" priority="4" stopIfTrue="1" operator="notBetween">
      <formula>-2*$B$30</formula>
      <formula>2*$B$30</formula>
    </cfRule>
  </conditionalFormatting>
  <conditionalFormatting sqref="B35">
    <cfRule type="cellIs" dxfId="24" priority="5" stopIfTrue="1" operator="notBetween">
      <formula>-2*$B$30</formula>
      <formula>2*$B$30</formula>
    </cfRule>
  </conditionalFormatting>
  <conditionalFormatting sqref="B36">
    <cfRule type="cellIs" dxfId="23" priority="6" stopIfTrue="1" operator="notBetween">
      <formula>-2*$B$30</formula>
      <formula>2*$B$30</formula>
    </cfRule>
  </conditionalFormatting>
  <conditionalFormatting sqref="B37">
    <cfRule type="cellIs" dxfId="22" priority="7" stopIfTrue="1" operator="notBetween">
      <formula>-2*$B$30</formula>
      <formula>2*$B$30</formula>
    </cfRule>
  </conditionalFormatting>
  <conditionalFormatting sqref="B38">
    <cfRule type="cellIs" dxfId="21" priority="8" stopIfTrue="1" operator="notBetween">
      <formula>-2*$B$30</formula>
      <formula>2*$B$30</formula>
    </cfRule>
  </conditionalFormatting>
  <conditionalFormatting sqref="B39">
    <cfRule type="cellIs" dxfId="20" priority="9" stopIfTrue="1" operator="notBetween">
      <formula>-2*$B$30</formula>
      <formula>2*$B$30</formula>
    </cfRule>
  </conditionalFormatting>
  <conditionalFormatting sqref="B40">
    <cfRule type="cellIs" dxfId="19" priority="10" stopIfTrue="1" operator="notBetween">
      <formula>-2*$B$30</formula>
      <formula>2*$B$30</formula>
    </cfRule>
  </conditionalFormatting>
  <conditionalFormatting sqref="B41">
    <cfRule type="cellIs" dxfId="18" priority="11" stopIfTrue="1" operator="notBetween">
      <formula>-2*$B$30</formula>
      <formula>2*$B$30</formula>
    </cfRule>
  </conditionalFormatting>
  <conditionalFormatting sqref="B42">
    <cfRule type="cellIs" dxfId="17" priority="12" stopIfTrue="1" operator="notBetween">
      <formula>-2*$B$30</formula>
      <formula>2*$B$30</formula>
    </cfRule>
  </conditionalFormatting>
  <conditionalFormatting sqref="B43">
    <cfRule type="cellIs" dxfId="16" priority="13" stopIfTrue="1" operator="notBetween">
      <formula>-2*$B$30</formula>
      <formula>2*$B$30</formula>
    </cfRule>
  </conditionalFormatting>
  <conditionalFormatting sqref="B44">
    <cfRule type="cellIs" dxfId="15" priority="14" stopIfTrue="1" operator="notBetween">
      <formula>-2*$B$30</formula>
      <formula>2*$B$30</formula>
    </cfRule>
  </conditionalFormatting>
  <conditionalFormatting sqref="B45">
    <cfRule type="cellIs" dxfId="14" priority="15" stopIfTrue="1" operator="notBetween">
      <formula>-2*$B$30</formula>
      <formula>2*$B$30</formula>
    </cfRule>
  </conditionalFormatting>
  <conditionalFormatting sqref="B46">
    <cfRule type="cellIs" dxfId="13" priority="16" stopIfTrue="1" operator="notBetween">
      <formula>-2*$B$30</formula>
      <formula>2*$B$30</formula>
    </cfRule>
  </conditionalFormatting>
  <conditionalFormatting sqref="B47">
    <cfRule type="cellIs" dxfId="12" priority="17" stopIfTrue="1" operator="notBetween">
      <formula>-2*$B$30</formula>
      <formula>2*$B$30</formula>
    </cfRule>
  </conditionalFormatting>
  <conditionalFormatting sqref="B48">
    <cfRule type="cellIs" dxfId="11" priority="18" stopIfTrue="1" operator="notBetween">
      <formula>-2*$B$30</formula>
      <formula>2*$B$30</formula>
    </cfRule>
  </conditionalFormatting>
  <conditionalFormatting sqref="B49">
    <cfRule type="cellIs" dxfId="10" priority="19" stopIfTrue="1" operator="notBetween">
      <formula>-2*$B$30</formula>
      <formula>2*$B$30</formula>
    </cfRule>
  </conditionalFormatting>
  <conditionalFormatting sqref="B50">
    <cfRule type="cellIs" dxfId="9" priority="20" stopIfTrue="1" operator="notBetween">
      <formula>-2*$B$30</formula>
      <formula>2*$B$30</formula>
    </cfRule>
  </conditionalFormatting>
  <conditionalFormatting sqref="B51">
    <cfRule type="cellIs" dxfId="8" priority="21" stopIfTrue="1" operator="notBetween">
      <formula>-2*$B$30</formula>
      <formula>2*$B$30</formula>
    </cfRule>
  </conditionalFormatting>
  <conditionalFormatting sqref="B52">
    <cfRule type="cellIs" dxfId="7" priority="22" stopIfTrue="1" operator="notBetween">
      <formula>-2*$B$30</formula>
      <formula>2*$B$30</formula>
    </cfRule>
  </conditionalFormatting>
  <conditionalFormatting sqref="B53">
    <cfRule type="cellIs" dxfId="6" priority="23" stopIfTrue="1" operator="notBetween">
      <formula>-2*$B$30</formula>
      <formula>2*$B$30</formula>
    </cfRule>
  </conditionalFormatting>
  <conditionalFormatting sqref="B54">
    <cfRule type="cellIs" dxfId="5" priority="24" stopIfTrue="1" operator="notBetween">
      <formula>-2*$B$30</formula>
      <formula>2*$B$30</formula>
    </cfRule>
  </conditionalFormatting>
  <conditionalFormatting sqref="B55">
    <cfRule type="cellIs" dxfId="4" priority="25" stopIfTrue="1" operator="notBetween">
      <formula>-2*$B$30</formula>
      <formula>2*$B$30</formula>
    </cfRule>
  </conditionalFormatting>
  <conditionalFormatting sqref="B56">
    <cfRule type="cellIs" dxfId="3" priority="26" stopIfTrue="1" operator="notBetween">
      <formula>-2*$B$30</formula>
      <formula>2*$B$30</formula>
    </cfRule>
  </conditionalFormatting>
  <conditionalFormatting sqref="B57">
    <cfRule type="cellIs" dxfId="2" priority="27" stopIfTrue="1" operator="notBetween">
      <formula>-2*$B$30</formula>
      <formula>2*$B$30</formula>
    </cfRule>
  </conditionalFormatting>
  <conditionalFormatting sqref="B58">
    <cfRule type="cellIs" dxfId="1" priority="28" stopIfTrue="1" operator="notBetween">
      <formula>-2*$B$30</formula>
      <formula>2*$B$30</formula>
    </cfRule>
  </conditionalFormatting>
  <conditionalFormatting sqref="B59">
    <cfRule type="cellIs" dxfId="0" priority="29" stopIfTrue="1" operator="notBetween">
      <formula>-2*$B$30</formula>
      <formula>2*$B$30</formula>
    </cfRule>
  </conditionalFormatting>
  <pageMargins left="0.7" right="0.7" top="0.75" bottom="0.75" header="0.3" footer="0.3"/>
  <pageSetup paperSize="9" orientation="portrait" r:id="rId1"/>
  <drawing r:id="rId2"/>
  <legacyDrawing r:id="rId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7"/>
  <sheetViews>
    <sheetView showGridLines="0" workbookViewId="0">
      <selection activeCell="G21" sqref="G21"/>
    </sheetView>
  </sheetViews>
  <sheetFormatPr defaultColWidth="12.7109375" defaultRowHeight="15" x14ac:dyDescent="0.25"/>
  <cols>
    <col min="1" max="1" width="18.5703125" bestFit="1" customWidth="1"/>
    <col min="2" max="2" width="12.7109375" customWidth="1"/>
  </cols>
  <sheetData>
    <row r="1" spans="1:2" s="16" customFormat="1" ht="18.75" x14ac:dyDescent="0.3">
      <c r="A1" s="22" t="s">
        <v>75</v>
      </c>
      <c r="B1" s="20"/>
    </row>
    <row r="2" spans="1:2" s="16" customFormat="1" ht="11.25" x14ac:dyDescent="0.2">
      <c r="A2" s="18" t="s">
        <v>76</v>
      </c>
      <c r="B2" s="20" t="s">
        <v>286</v>
      </c>
    </row>
    <row r="3" spans="1:2" s="16" customFormat="1" ht="11.25" x14ac:dyDescent="0.2">
      <c r="A3" s="18" t="s">
        <v>78</v>
      </c>
      <c r="B3" s="20" t="s">
        <v>79</v>
      </c>
    </row>
    <row r="4" spans="1:2" s="16" customFormat="1" ht="11.25" x14ac:dyDescent="0.2">
      <c r="A4" s="18" t="s">
        <v>80</v>
      </c>
      <c r="B4" s="23">
        <v>45067</v>
      </c>
    </row>
    <row r="5" spans="1:2" s="17" customFormat="1" ht="11.25" x14ac:dyDescent="0.2">
      <c r="A5" s="19" t="s">
        <v>81</v>
      </c>
      <c r="B5" s="21" t="s">
        <v>211</v>
      </c>
    </row>
    <row r="7" spans="1:2" ht="15" customHeight="1" x14ac:dyDescent="0.25">
      <c r="A7" s="28"/>
      <c r="B7" s="25" t="s">
        <v>55</v>
      </c>
    </row>
    <row r="8" spans="1:2" ht="15" customHeight="1" thickBot="1" x14ac:dyDescent="0.3">
      <c r="A8" s="39" t="s">
        <v>286</v>
      </c>
      <c r="B8" s="38" t="s">
        <v>55</v>
      </c>
    </row>
    <row r="9" spans="1:2" ht="15" customHeight="1" thickTop="1" x14ac:dyDescent="0.25">
      <c r="A9" s="27" t="s">
        <v>287</v>
      </c>
      <c r="B9" s="43">
        <f>_xll.StatCount(ST_ResidualNorth)</f>
        <v>117</v>
      </c>
    </row>
    <row r="10" spans="1:2" ht="15" customHeight="1" x14ac:dyDescent="0.25">
      <c r="A10" s="27" t="s">
        <v>293</v>
      </c>
      <c r="B10" s="43">
        <f>_xll.StatCountRange(ST_ResidualNorth,,$B$13,TRUE,TRUE)</f>
        <v>58</v>
      </c>
    </row>
    <row r="11" spans="1:2" ht="15" customHeight="1" x14ac:dyDescent="0.25">
      <c r="A11" s="27" t="s">
        <v>294</v>
      </c>
      <c r="B11" s="43">
        <f>B9-B10</f>
        <v>59</v>
      </c>
    </row>
    <row r="12" spans="1:2" ht="15" customHeight="1" x14ac:dyDescent="0.25">
      <c r="A12" s="27" t="s">
        <v>288</v>
      </c>
      <c r="B12" s="43">
        <f>_xll.StatRunsTest(ST_ResidualNorth,$B$13)</f>
        <v>20</v>
      </c>
    </row>
    <row r="13" spans="1:2" ht="15" customHeight="1" x14ac:dyDescent="0.25">
      <c r="A13" s="40" t="s">
        <v>295</v>
      </c>
      <c r="B13" s="46">
        <v>0</v>
      </c>
    </row>
    <row r="14" spans="1:2" ht="15" customHeight="1" x14ac:dyDescent="0.25">
      <c r="A14" s="27" t="s">
        <v>289</v>
      </c>
      <c r="B14" s="36">
        <f>(B9+2*B10*B11)/B9</f>
        <v>59.495726495726494</v>
      </c>
    </row>
    <row r="15" spans="1:2" ht="15" customHeight="1" x14ac:dyDescent="0.25">
      <c r="A15" s="27" t="s">
        <v>290</v>
      </c>
      <c r="B15" s="36">
        <f>SQRT(2*B10*B11*(2*B10*B11-B9)/(B9^2*(B9-1)))</f>
        <v>5.3845679010252034</v>
      </c>
    </row>
    <row r="16" spans="1:2" ht="15" customHeight="1" x14ac:dyDescent="0.25">
      <c r="A16" s="27" t="s">
        <v>291</v>
      </c>
      <c r="B16" s="36">
        <f>(B12-B14)/B15</f>
        <v>-7.3349853176160416</v>
      </c>
    </row>
    <row r="17" spans="1:2" ht="15" customHeight="1" x14ac:dyDescent="0.25">
      <c r="A17" s="27" t="s">
        <v>292</v>
      </c>
      <c r="B17" s="45">
        <f>2*(_xll.StatNormal(0,1,"x to q",ABS(B16)))</f>
        <v>2.2174579466660125E-13</v>
      </c>
    </row>
  </sheetData>
  <pageMargins left="0.7" right="0.7" top="0.75" bottom="0.75" header="0.3" footer="0.3"/>
  <pageSetup paperSize="9" orientation="portrait" r:id="rId1"/>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7"/>
  <sheetViews>
    <sheetView showGridLines="0" workbookViewId="0">
      <selection activeCell="J27" sqref="J27"/>
    </sheetView>
  </sheetViews>
  <sheetFormatPr defaultColWidth="12.7109375" defaultRowHeight="15" x14ac:dyDescent="0.25"/>
  <cols>
    <col min="1" max="1" width="18.5703125" bestFit="1" customWidth="1"/>
    <col min="2" max="2" width="12.7109375" customWidth="1"/>
  </cols>
  <sheetData>
    <row r="1" spans="1:2" s="16" customFormat="1" ht="18.75" x14ac:dyDescent="0.3">
      <c r="A1" s="22" t="s">
        <v>75</v>
      </c>
      <c r="B1" s="20"/>
    </row>
    <row r="2" spans="1:2" s="16" customFormat="1" ht="11.25" x14ac:dyDescent="0.2">
      <c r="A2" s="18" t="s">
        <v>76</v>
      </c>
      <c r="B2" s="20" t="s">
        <v>286</v>
      </c>
    </row>
    <row r="3" spans="1:2" s="16" customFormat="1" ht="11.25" x14ac:dyDescent="0.2">
      <c r="A3" s="18" t="s">
        <v>78</v>
      </c>
      <c r="B3" s="20" t="s">
        <v>79</v>
      </c>
    </row>
    <row r="4" spans="1:2" s="16" customFormat="1" ht="11.25" x14ac:dyDescent="0.2">
      <c r="A4" s="18" t="s">
        <v>80</v>
      </c>
      <c r="B4" s="23">
        <v>45067</v>
      </c>
    </row>
    <row r="5" spans="1:2" s="17" customFormat="1" ht="11.25" x14ac:dyDescent="0.2">
      <c r="A5" s="19" t="s">
        <v>81</v>
      </c>
      <c r="B5" s="21" t="s">
        <v>211</v>
      </c>
    </row>
    <row r="7" spans="1:2" ht="15" customHeight="1" x14ac:dyDescent="0.25">
      <c r="A7" s="28"/>
      <c r="B7" s="25" t="s">
        <v>54</v>
      </c>
    </row>
    <row r="8" spans="1:2" ht="15" customHeight="1" thickBot="1" x14ac:dyDescent="0.3">
      <c r="A8" s="39" t="s">
        <v>286</v>
      </c>
      <c r="B8" s="38" t="s">
        <v>54</v>
      </c>
    </row>
    <row r="9" spans="1:2" ht="15" customHeight="1" thickTop="1" x14ac:dyDescent="0.25">
      <c r="A9" s="27" t="s">
        <v>287</v>
      </c>
      <c r="B9" s="43">
        <f>_xll.StatCount(ST_ResidualSouth)</f>
        <v>117</v>
      </c>
    </row>
    <row r="10" spans="1:2" ht="15" customHeight="1" x14ac:dyDescent="0.25">
      <c r="A10" s="27" t="s">
        <v>293</v>
      </c>
      <c r="B10" s="43">
        <f>_xll.StatCountRange(ST_ResidualSouth,,$B$13,TRUE,TRUE)</f>
        <v>64</v>
      </c>
    </row>
    <row r="11" spans="1:2" ht="15" customHeight="1" x14ac:dyDescent="0.25">
      <c r="A11" s="27" t="s">
        <v>294</v>
      </c>
      <c r="B11" s="43">
        <f>B9-B10</f>
        <v>53</v>
      </c>
    </row>
    <row r="12" spans="1:2" ht="15" customHeight="1" x14ac:dyDescent="0.25">
      <c r="A12" s="27" t="s">
        <v>288</v>
      </c>
      <c r="B12" s="43">
        <f>_xll.StatRunsTest(ST_ResidualSouth,$B$13)</f>
        <v>30</v>
      </c>
    </row>
    <row r="13" spans="1:2" ht="15" customHeight="1" x14ac:dyDescent="0.25">
      <c r="A13" s="40" t="s">
        <v>295</v>
      </c>
      <c r="B13" s="46">
        <v>0</v>
      </c>
    </row>
    <row r="14" spans="1:2" ht="15" customHeight="1" x14ac:dyDescent="0.25">
      <c r="A14" s="27" t="s">
        <v>289</v>
      </c>
      <c r="B14" s="36">
        <f>(B9+2*B10*B11)/B9</f>
        <v>58.982905982905983</v>
      </c>
    </row>
    <row r="15" spans="1:2" ht="15" customHeight="1" x14ac:dyDescent="0.25">
      <c r="A15" s="27" t="s">
        <v>290</v>
      </c>
      <c r="B15" s="36">
        <f>SQRT(2*B10*B11*(2*B10*B11-B9)/(B9^2*(B9-1)))</f>
        <v>5.3369519263465879</v>
      </c>
    </row>
    <row r="16" spans="1:2" ht="15" customHeight="1" x14ac:dyDescent="0.25">
      <c r="A16" s="27" t="s">
        <v>291</v>
      </c>
      <c r="B16" s="36">
        <f>(B12-B14)/B15</f>
        <v>-5.4306102777182481</v>
      </c>
    </row>
    <row r="17" spans="1:2" ht="15" customHeight="1" x14ac:dyDescent="0.25">
      <c r="A17" s="27" t="s">
        <v>292</v>
      </c>
      <c r="B17" s="45">
        <f>2*(_xll.StatNormal(0,1,"x to q",ABS(B16)))</f>
        <v>5.6161661516432016E-8</v>
      </c>
    </row>
  </sheetData>
  <pageMargins left="0.7" right="0.7" top="0.75" bottom="0.75" header="0.3" footer="0.3"/>
  <pageSetup paperSize="9" orientation="portrait" r:id="rId1"/>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7"/>
  <sheetViews>
    <sheetView showGridLines="0" workbookViewId="0">
      <selection activeCell="L35" sqref="L35"/>
    </sheetView>
  </sheetViews>
  <sheetFormatPr defaultColWidth="12.7109375" defaultRowHeight="15" x14ac:dyDescent="0.25"/>
  <cols>
    <col min="1" max="1" width="18.5703125" bestFit="1" customWidth="1"/>
    <col min="2" max="2" width="12.7109375" customWidth="1"/>
  </cols>
  <sheetData>
    <row r="1" spans="1:2" s="16" customFormat="1" ht="18.75" x14ac:dyDescent="0.3">
      <c r="A1" s="22" t="s">
        <v>75</v>
      </c>
      <c r="B1" s="20"/>
    </row>
    <row r="2" spans="1:2" s="16" customFormat="1" ht="11.25" x14ac:dyDescent="0.2">
      <c r="A2" s="18" t="s">
        <v>76</v>
      </c>
      <c r="B2" s="20" t="s">
        <v>286</v>
      </c>
    </row>
    <row r="3" spans="1:2" s="16" customFormat="1" ht="11.25" x14ac:dyDescent="0.2">
      <c r="A3" s="18" t="s">
        <v>78</v>
      </c>
      <c r="B3" s="20" t="s">
        <v>79</v>
      </c>
    </row>
    <row r="4" spans="1:2" s="16" customFormat="1" ht="11.25" x14ac:dyDescent="0.2">
      <c r="A4" s="18" t="s">
        <v>80</v>
      </c>
      <c r="B4" s="23">
        <v>45067</v>
      </c>
    </row>
    <row r="5" spans="1:2" s="17" customFormat="1" ht="11.25" x14ac:dyDescent="0.2">
      <c r="A5" s="19" t="s">
        <v>81</v>
      </c>
      <c r="B5" s="21" t="s">
        <v>211</v>
      </c>
    </row>
    <row r="7" spans="1:2" ht="15" customHeight="1" x14ac:dyDescent="0.25">
      <c r="A7" s="28"/>
      <c r="B7" s="25" t="s">
        <v>53</v>
      </c>
    </row>
    <row r="8" spans="1:2" ht="15" customHeight="1" thickBot="1" x14ac:dyDescent="0.3">
      <c r="A8" s="39" t="s">
        <v>286</v>
      </c>
      <c r="B8" s="38" t="s">
        <v>272</v>
      </c>
    </row>
    <row r="9" spans="1:2" ht="15" customHeight="1" thickTop="1" x14ac:dyDescent="0.25">
      <c r="A9" s="27" t="s">
        <v>287</v>
      </c>
      <c r="B9" s="43">
        <f>_xll.StatCount(ST_RessidualEast)</f>
        <v>117</v>
      </c>
    </row>
    <row r="10" spans="1:2" ht="15" customHeight="1" x14ac:dyDescent="0.25">
      <c r="A10" s="27" t="s">
        <v>293</v>
      </c>
      <c r="B10" s="43">
        <f>_xll.StatCountRange(ST_RessidualEast,,$B$13,TRUE,TRUE)</f>
        <v>60</v>
      </c>
    </row>
    <row r="11" spans="1:2" ht="15" customHeight="1" x14ac:dyDescent="0.25">
      <c r="A11" s="27" t="s">
        <v>294</v>
      </c>
      <c r="B11" s="43">
        <f>B9-B10</f>
        <v>57</v>
      </c>
    </row>
    <row r="12" spans="1:2" ht="15" customHeight="1" x14ac:dyDescent="0.25">
      <c r="A12" s="27" t="s">
        <v>288</v>
      </c>
      <c r="B12" s="43">
        <f>_xll.StatRunsTest(ST_RessidualEast,$B$13)</f>
        <v>40</v>
      </c>
    </row>
    <row r="13" spans="1:2" ht="15" customHeight="1" x14ac:dyDescent="0.25">
      <c r="A13" s="40" t="s">
        <v>295</v>
      </c>
      <c r="B13" s="46">
        <v>0</v>
      </c>
    </row>
    <row r="14" spans="1:2" ht="15" customHeight="1" x14ac:dyDescent="0.25">
      <c r="A14" s="27" t="s">
        <v>289</v>
      </c>
      <c r="B14" s="36">
        <f>(B9+2*B10*B11)/B9</f>
        <v>59.46153846153846</v>
      </c>
    </row>
    <row r="15" spans="1:2" ht="15" customHeight="1" x14ac:dyDescent="0.25">
      <c r="A15" s="27" t="s">
        <v>290</v>
      </c>
      <c r="B15" s="36">
        <f>SQRT(2*B10*B11*(2*B10*B11-B9)/(B9^2*(B9-1)))</f>
        <v>5.3813935036962466</v>
      </c>
    </row>
    <row r="16" spans="1:2" ht="15" customHeight="1" x14ac:dyDescent="0.25">
      <c r="A16" s="27" t="s">
        <v>291</v>
      </c>
      <c r="B16" s="36">
        <f>(B12-B14)/B15</f>
        <v>-3.6164496144300116</v>
      </c>
    </row>
    <row r="17" spans="1:2" ht="15" customHeight="1" x14ac:dyDescent="0.25">
      <c r="A17" s="27" t="s">
        <v>292</v>
      </c>
      <c r="B17" s="45">
        <f>2*(_xll.StatNormal(0,1,"x to q",ABS(B16)))</f>
        <v>2.9867142112966123E-4</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
  <sheetViews>
    <sheetView workbookViewId="0"/>
  </sheetViews>
  <sheetFormatPr defaultRowHeight="15" x14ac:dyDescent="0.25"/>
  <sheetData>
    <row r="9" spans="2:2" x14ac:dyDescent="0.25">
      <c r="B9" s="42">
        <f>1</f>
        <v>1</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7"/>
  <sheetViews>
    <sheetView showGridLines="0" workbookViewId="0">
      <selection activeCell="G20" sqref="G20"/>
    </sheetView>
  </sheetViews>
  <sheetFormatPr defaultColWidth="12.7109375" defaultRowHeight="15" x14ac:dyDescent="0.25"/>
  <cols>
    <col min="1" max="1" width="18.5703125" bestFit="1" customWidth="1"/>
    <col min="2" max="2" width="12.7109375" customWidth="1"/>
  </cols>
  <sheetData>
    <row r="1" spans="1:2" s="16" customFormat="1" ht="18.75" x14ac:dyDescent="0.3">
      <c r="A1" s="22" t="s">
        <v>75</v>
      </c>
      <c r="B1" s="20"/>
    </row>
    <row r="2" spans="1:2" s="16" customFormat="1" ht="11.25" x14ac:dyDescent="0.2">
      <c r="A2" s="18" t="s">
        <v>76</v>
      </c>
      <c r="B2" s="20" t="s">
        <v>286</v>
      </c>
    </row>
    <row r="3" spans="1:2" s="16" customFormat="1" ht="11.25" x14ac:dyDescent="0.2">
      <c r="A3" s="18" t="s">
        <v>78</v>
      </c>
      <c r="B3" s="20" t="s">
        <v>79</v>
      </c>
    </row>
    <row r="4" spans="1:2" s="16" customFormat="1" ht="11.25" x14ac:dyDescent="0.2">
      <c r="A4" s="18" t="s">
        <v>80</v>
      </c>
      <c r="B4" s="23">
        <v>45067</v>
      </c>
    </row>
    <row r="5" spans="1:2" s="17" customFormat="1" ht="11.25" x14ac:dyDescent="0.2">
      <c r="A5" s="19" t="s">
        <v>81</v>
      </c>
      <c r="B5" s="21" t="s">
        <v>211</v>
      </c>
    </row>
    <row r="7" spans="1:2" ht="15" customHeight="1" x14ac:dyDescent="0.25">
      <c r="A7" s="28"/>
      <c r="B7" s="25" t="s">
        <v>56</v>
      </c>
    </row>
    <row r="8" spans="1:2" ht="15" customHeight="1" thickBot="1" x14ac:dyDescent="0.3">
      <c r="A8" s="39" t="s">
        <v>286</v>
      </c>
      <c r="B8" s="38" t="s">
        <v>276</v>
      </c>
    </row>
    <row r="9" spans="1:2" ht="15" customHeight="1" thickTop="1" x14ac:dyDescent="0.25">
      <c r="A9" s="27" t="s">
        <v>287</v>
      </c>
      <c r="B9" s="43">
        <f>_xll.StatCount(ST_ResidualWest)</f>
        <v>117</v>
      </c>
    </row>
    <row r="10" spans="1:2" ht="15" customHeight="1" x14ac:dyDescent="0.25">
      <c r="A10" s="27" t="s">
        <v>293</v>
      </c>
      <c r="B10" s="43">
        <f>_xll.StatCountRange(ST_ResidualWest,,$B$13,TRUE,TRUE)</f>
        <v>61</v>
      </c>
    </row>
    <row r="11" spans="1:2" ht="15" customHeight="1" x14ac:dyDescent="0.25">
      <c r="A11" s="27" t="s">
        <v>294</v>
      </c>
      <c r="B11" s="43">
        <f>B9-B10</f>
        <v>56</v>
      </c>
    </row>
    <row r="12" spans="1:2" ht="15" customHeight="1" x14ac:dyDescent="0.25">
      <c r="A12" s="27" t="s">
        <v>288</v>
      </c>
      <c r="B12" s="43">
        <f>_xll.StatRunsTest(ST_ResidualWest,$B$13)</f>
        <v>28</v>
      </c>
    </row>
    <row r="13" spans="1:2" ht="15" customHeight="1" x14ac:dyDescent="0.25">
      <c r="A13" s="40" t="s">
        <v>295</v>
      </c>
      <c r="B13" s="46">
        <v>0</v>
      </c>
    </row>
    <row r="14" spans="1:2" ht="15" customHeight="1" x14ac:dyDescent="0.25">
      <c r="A14" s="27" t="s">
        <v>289</v>
      </c>
      <c r="B14" s="36">
        <f>(B9+2*B10*B11)/B9</f>
        <v>59.393162393162392</v>
      </c>
    </row>
    <row r="15" spans="1:2" ht="15" customHeight="1" x14ac:dyDescent="0.25">
      <c r="A15" s="27" t="s">
        <v>290</v>
      </c>
      <c r="B15" s="36">
        <f>SQRT(2*B10*B11*(2*B10*B11-B9)/(B9^2*(B9-1)))</f>
        <v>5.3750447086200523</v>
      </c>
    </row>
    <row r="16" spans="1:2" ht="15" customHeight="1" x14ac:dyDescent="0.25">
      <c r="A16" s="27" t="s">
        <v>291</v>
      </c>
      <c r="B16" s="36">
        <f>(B12-B14)/B15</f>
        <v>-5.8405397712909499</v>
      </c>
    </row>
    <row r="17" spans="1:2" ht="15" customHeight="1" x14ac:dyDescent="0.25">
      <c r="A17" s="27" t="s">
        <v>292</v>
      </c>
      <c r="B17" s="45">
        <f>2*(_xll.StatNormal(0,1,"x to q",ABS(B16)))</f>
        <v>5.2031961551818365E-9</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election activeCell="J19" sqref="J19"/>
    </sheetView>
  </sheetViews>
  <sheetFormatPr defaultColWidth="12.7109375" defaultRowHeight="15" x14ac:dyDescent="0.25"/>
  <cols>
    <col min="1" max="1" width="12.7109375" customWidth="1"/>
  </cols>
  <sheetData>
    <row r="1" spans="1:2" s="16" customFormat="1" ht="18.75" x14ac:dyDescent="0.3">
      <c r="A1" s="22" t="s">
        <v>75</v>
      </c>
      <c r="B1" s="20"/>
    </row>
    <row r="2" spans="1:2" s="16" customFormat="1" ht="11.25" x14ac:dyDescent="0.2">
      <c r="A2" s="18" t="s">
        <v>76</v>
      </c>
      <c r="B2" s="20" t="s">
        <v>210</v>
      </c>
    </row>
    <row r="3" spans="1:2" s="16" customFormat="1" ht="11.25" x14ac:dyDescent="0.2">
      <c r="A3" s="18" t="s">
        <v>78</v>
      </c>
      <c r="B3" s="20" t="s">
        <v>79</v>
      </c>
    </row>
    <row r="4" spans="1:2" s="16" customFormat="1" ht="11.25" x14ac:dyDescent="0.2">
      <c r="A4" s="18" t="s">
        <v>80</v>
      </c>
      <c r="B4" s="23">
        <v>45064</v>
      </c>
    </row>
    <row r="5" spans="1:2" s="17" customFormat="1" ht="11.25" x14ac:dyDescent="0.2">
      <c r="A5" s="19" t="s">
        <v>81</v>
      </c>
      <c r="B5" s="21" t="s">
        <v>211</v>
      </c>
    </row>
    <row r="7" spans="1:2" ht="15" customHeight="1" x14ac:dyDescent="0.25"/>
    <row r="8" spans="1:2" ht="15" customHeight="1" x14ac:dyDescent="0.25"/>
    <row r="9" spans="1:2" ht="15" customHeight="1" x14ac:dyDescent="0.25"/>
    <row r="10" spans="1:2" ht="15" customHeight="1" x14ac:dyDescent="0.25"/>
    <row r="11" spans="1:2" ht="15" customHeight="1" x14ac:dyDescent="0.25"/>
    <row r="12" spans="1:2" ht="15" customHeight="1" x14ac:dyDescent="0.25"/>
    <row r="13" spans="1:2" ht="15" customHeight="1" x14ac:dyDescent="0.25"/>
    <row r="14" spans="1:2" ht="15" customHeight="1" x14ac:dyDescent="0.25"/>
    <row r="15" spans="1:2" ht="15" customHeight="1" x14ac:dyDescent="0.25"/>
    <row r="16" spans="1:2"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election activeCell="G32" sqref="G32:H32"/>
    </sheetView>
  </sheetViews>
  <sheetFormatPr defaultColWidth="12.7109375" defaultRowHeight="15" x14ac:dyDescent="0.25"/>
  <cols>
    <col min="1" max="1" width="12.7109375" customWidth="1"/>
  </cols>
  <sheetData>
    <row r="1" spans="1:2" s="16" customFormat="1" ht="18.75" x14ac:dyDescent="0.3">
      <c r="A1" s="22" t="s">
        <v>75</v>
      </c>
      <c r="B1" s="20"/>
    </row>
    <row r="2" spans="1:2" s="16" customFormat="1" ht="11.25" x14ac:dyDescent="0.2">
      <c r="A2" s="18" t="s">
        <v>76</v>
      </c>
      <c r="B2" s="20" t="s">
        <v>210</v>
      </c>
    </row>
    <row r="3" spans="1:2" s="16" customFormat="1" ht="11.25" x14ac:dyDescent="0.2">
      <c r="A3" s="18" t="s">
        <v>78</v>
      </c>
      <c r="B3" s="20" t="s">
        <v>79</v>
      </c>
    </row>
    <row r="4" spans="1:2" s="16" customFormat="1" ht="11.25" x14ac:dyDescent="0.2">
      <c r="A4" s="18" t="s">
        <v>80</v>
      </c>
      <c r="B4" s="23">
        <v>45064</v>
      </c>
    </row>
    <row r="5" spans="1:2" s="17" customFormat="1" ht="11.25" x14ac:dyDescent="0.2">
      <c r="A5" s="19" t="s">
        <v>81</v>
      </c>
      <c r="B5" s="21" t="s">
        <v>211</v>
      </c>
    </row>
    <row r="7" spans="1:2" ht="15" customHeight="1" x14ac:dyDescent="0.25"/>
    <row r="8" spans="1:2" ht="15" customHeight="1" x14ac:dyDescent="0.25"/>
    <row r="9" spans="1:2" ht="15" customHeight="1" x14ac:dyDescent="0.25"/>
    <row r="10" spans="1:2" ht="15" customHeight="1" x14ac:dyDescent="0.25"/>
    <row r="11" spans="1:2" ht="15" customHeight="1" x14ac:dyDescent="0.25"/>
    <row r="12" spans="1:2" ht="15" customHeight="1" x14ac:dyDescent="0.25"/>
    <row r="13" spans="1:2" ht="15" customHeight="1" x14ac:dyDescent="0.25"/>
    <row r="14" spans="1:2" ht="15" customHeight="1" x14ac:dyDescent="0.25"/>
    <row r="15" spans="1:2" ht="15" customHeight="1" x14ac:dyDescent="0.25"/>
    <row r="16" spans="1:2"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election activeCell="G29" sqref="G29"/>
    </sheetView>
  </sheetViews>
  <sheetFormatPr defaultColWidth="12.7109375" defaultRowHeight="15" x14ac:dyDescent="0.25"/>
  <cols>
    <col min="1" max="1" width="12.7109375" customWidth="1"/>
  </cols>
  <sheetData>
    <row r="1" spans="1:2" s="16" customFormat="1" ht="18.75" x14ac:dyDescent="0.3">
      <c r="A1" s="22" t="s">
        <v>75</v>
      </c>
      <c r="B1" s="20"/>
    </row>
    <row r="2" spans="1:2" s="16" customFormat="1" ht="11.25" x14ac:dyDescent="0.2">
      <c r="A2" s="18" t="s">
        <v>76</v>
      </c>
      <c r="B2" s="20" t="s">
        <v>210</v>
      </c>
    </row>
    <row r="3" spans="1:2" s="16" customFormat="1" ht="11.25" x14ac:dyDescent="0.2">
      <c r="A3" s="18" t="s">
        <v>78</v>
      </c>
      <c r="B3" s="20" t="s">
        <v>79</v>
      </c>
    </row>
    <row r="4" spans="1:2" s="16" customFormat="1" ht="11.25" x14ac:dyDescent="0.2">
      <c r="A4" s="18" t="s">
        <v>80</v>
      </c>
      <c r="B4" s="23">
        <v>45064</v>
      </c>
    </row>
    <row r="5" spans="1:2" s="17" customFormat="1" ht="11.25" x14ac:dyDescent="0.2">
      <c r="A5" s="19" t="s">
        <v>81</v>
      </c>
      <c r="B5" s="21" t="s">
        <v>211</v>
      </c>
    </row>
    <row r="7" spans="1:2" ht="15" customHeight="1" x14ac:dyDescent="0.25"/>
    <row r="8" spans="1:2" ht="15" customHeight="1" x14ac:dyDescent="0.25"/>
    <row r="9" spans="1:2" ht="15" customHeight="1" x14ac:dyDescent="0.25"/>
    <row r="10" spans="1:2" ht="15" customHeight="1" x14ac:dyDescent="0.25"/>
    <row r="11" spans="1:2" ht="15" customHeight="1" x14ac:dyDescent="0.25"/>
    <row r="12" spans="1:2" ht="15" customHeight="1" x14ac:dyDescent="0.25"/>
    <row r="13" spans="1:2" ht="15" customHeight="1" x14ac:dyDescent="0.25"/>
    <row r="14" spans="1:2" ht="15" customHeight="1" x14ac:dyDescent="0.25"/>
    <row r="15" spans="1:2" ht="15" customHeight="1" x14ac:dyDescent="0.25"/>
    <row r="16" spans="1:2"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election activeCell="J29" sqref="J29"/>
    </sheetView>
  </sheetViews>
  <sheetFormatPr defaultColWidth="12.7109375" defaultRowHeight="15" x14ac:dyDescent="0.25"/>
  <cols>
    <col min="1" max="1" width="12.7109375" customWidth="1"/>
  </cols>
  <sheetData>
    <row r="1" spans="1:2" s="16" customFormat="1" ht="18.75" x14ac:dyDescent="0.3">
      <c r="A1" s="22" t="s">
        <v>75</v>
      </c>
      <c r="B1" s="20"/>
    </row>
    <row r="2" spans="1:2" s="16" customFormat="1" ht="11.25" x14ac:dyDescent="0.2">
      <c r="A2" s="18" t="s">
        <v>76</v>
      </c>
      <c r="B2" s="20" t="s">
        <v>210</v>
      </c>
    </row>
    <row r="3" spans="1:2" s="16" customFormat="1" ht="11.25" x14ac:dyDescent="0.2">
      <c r="A3" s="18" t="s">
        <v>78</v>
      </c>
      <c r="B3" s="20" t="s">
        <v>79</v>
      </c>
    </row>
    <row r="4" spans="1:2" s="16" customFormat="1" ht="11.25" x14ac:dyDescent="0.2">
      <c r="A4" s="18" t="s">
        <v>80</v>
      </c>
      <c r="B4" s="23">
        <v>45064</v>
      </c>
    </row>
    <row r="5" spans="1:2" s="17" customFormat="1" ht="11.25" x14ac:dyDescent="0.2">
      <c r="A5" s="19" t="s">
        <v>81</v>
      </c>
      <c r="B5" s="21" t="s">
        <v>211</v>
      </c>
    </row>
    <row r="7" spans="1:2" ht="15" customHeight="1" x14ac:dyDescent="0.25"/>
    <row r="8" spans="1:2" ht="15" customHeight="1" x14ac:dyDescent="0.25"/>
    <row r="9" spans="1:2" ht="15" customHeight="1" x14ac:dyDescent="0.25"/>
    <row r="10" spans="1:2" ht="15" customHeight="1" x14ac:dyDescent="0.25"/>
    <row r="11" spans="1:2" ht="15" customHeight="1" x14ac:dyDescent="0.25"/>
    <row r="12" spans="1:2" ht="15" customHeight="1" x14ac:dyDescent="0.25"/>
    <row r="13" spans="1:2" ht="15" customHeight="1" x14ac:dyDescent="0.25"/>
    <row r="14" spans="1:2" ht="15" customHeight="1" x14ac:dyDescent="0.25"/>
    <row r="15" spans="1:2" ht="15" customHeight="1" x14ac:dyDescent="0.25"/>
    <row r="16" spans="1:2"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70"/>
  <sheetViews>
    <sheetView showGridLines="0" workbookViewId="0">
      <selection activeCell="K136" sqref="K136"/>
    </sheetView>
  </sheetViews>
  <sheetFormatPr defaultColWidth="12.7109375" defaultRowHeight="15" x14ac:dyDescent="0.25"/>
  <cols>
    <col min="1" max="1" width="25" bestFit="1" customWidth="1"/>
    <col min="2" max="8" width="12.7109375" customWidth="1"/>
  </cols>
  <sheetData>
    <row r="1" spans="1:3" s="16" customFormat="1" ht="18.75" x14ac:dyDescent="0.3">
      <c r="A1" s="22" t="s">
        <v>75</v>
      </c>
      <c r="B1" s="20"/>
    </row>
    <row r="2" spans="1:3" s="16" customFormat="1" ht="11.25" x14ac:dyDescent="0.2">
      <c r="A2" s="18" t="s">
        <v>76</v>
      </c>
      <c r="B2" s="20" t="s">
        <v>77</v>
      </c>
    </row>
    <row r="3" spans="1:3" s="16" customFormat="1" ht="11.25" x14ac:dyDescent="0.2">
      <c r="A3" s="18" t="s">
        <v>78</v>
      </c>
      <c r="B3" s="20" t="s">
        <v>79</v>
      </c>
    </row>
    <row r="4" spans="1:3" s="16" customFormat="1" ht="11.25" x14ac:dyDescent="0.2">
      <c r="A4" s="18" t="s">
        <v>80</v>
      </c>
      <c r="B4" s="23">
        <v>45064</v>
      </c>
    </row>
    <row r="5" spans="1:3" s="17" customFormat="1" ht="11.25" x14ac:dyDescent="0.2">
      <c r="A5" s="19" t="s">
        <v>81</v>
      </c>
      <c r="B5" s="21" t="s">
        <v>82</v>
      </c>
    </row>
    <row r="7" spans="1:3" ht="15" customHeight="1" x14ac:dyDescent="0.25">
      <c r="A7" s="28" t="s">
        <v>84</v>
      </c>
      <c r="B7" s="25"/>
    </row>
    <row r="8" spans="1:3" ht="15" customHeight="1" thickBot="1" x14ac:dyDescent="0.3">
      <c r="A8" s="29" t="s">
        <v>83</v>
      </c>
      <c r="B8" s="26"/>
    </row>
    <row r="9" spans="1:3" ht="15" customHeight="1" thickTop="1" x14ac:dyDescent="0.25">
      <c r="A9" s="27" t="s">
        <v>87</v>
      </c>
      <c r="B9" s="24">
        <v>4</v>
      </c>
    </row>
    <row r="10" spans="1:3" ht="15" customHeight="1" x14ac:dyDescent="0.25"/>
    <row r="11" spans="1:3" ht="15" customHeight="1" x14ac:dyDescent="0.25">
      <c r="A11" s="28"/>
      <c r="B11" s="25"/>
      <c r="C11" s="25" t="s">
        <v>220</v>
      </c>
    </row>
    <row r="12" spans="1:3" ht="15" customHeight="1" thickBot="1" x14ac:dyDescent="0.3">
      <c r="A12" s="29" t="s">
        <v>85</v>
      </c>
      <c r="B12" s="26"/>
      <c r="C12" s="26" t="s">
        <v>225</v>
      </c>
    </row>
    <row r="13" spans="1:3" ht="15" customHeight="1" thickTop="1" x14ac:dyDescent="0.25">
      <c r="A13" s="27" t="s">
        <v>88</v>
      </c>
      <c r="B13" s="30">
        <f>_xll.StatMeanAbs(H150:H262)</f>
        <v>1068.7145411151091</v>
      </c>
      <c r="C13" s="30">
        <f>_xll.StatMeanAbs(F150:F262)</f>
        <v>1067.9319812980375</v>
      </c>
    </row>
    <row r="14" spans="1:3" ht="15" customHeight="1" x14ac:dyDescent="0.25">
      <c r="A14" s="27" t="s">
        <v>89</v>
      </c>
      <c r="B14" s="30">
        <f>SQRT(SUMSQ(H150:H262)/_xll.StatCount(H150:H262))</f>
        <v>1349.8544725689958</v>
      </c>
      <c r="C14" s="30">
        <f>SQRT(SUMSQ(F150:F262)/_xll.StatCount(F150:F262))</f>
        <v>1349.7472622845194</v>
      </c>
    </row>
    <row r="15" spans="1:3" ht="15" customHeight="1" x14ac:dyDescent="0.25">
      <c r="A15" s="27" t="s">
        <v>90</v>
      </c>
      <c r="B15" s="33">
        <f>_xll.StatPairMeanAbsQuotient(H150:H262,B150:B262)</f>
        <v>0.10461758366452789</v>
      </c>
      <c r="C15" s="33">
        <f>_xll.StatPairMeanAbsQuotient(F150:F262,D150:D262)</f>
        <v>0.10461758366452786</v>
      </c>
    </row>
    <row r="16" spans="1:3"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spans="1:8" ht="15" customHeight="1" x14ac:dyDescent="0.25"/>
    <row r="130" spans="1:8" ht="15" customHeight="1" x14ac:dyDescent="0.25"/>
    <row r="131" spans="1:8" ht="15" customHeight="1" x14ac:dyDescent="0.25"/>
    <row r="132" spans="1:8" ht="15" customHeight="1" x14ac:dyDescent="0.25"/>
    <row r="133" spans="1:8" ht="15" customHeight="1" x14ac:dyDescent="0.25"/>
    <row r="134" spans="1:8" ht="15" customHeight="1" x14ac:dyDescent="0.25"/>
    <row r="135" spans="1:8" ht="15" customHeight="1" x14ac:dyDescent="0.25"/>
    <row r="136" spans="1:8" ht="15" customHeight="1" x14ac:dyDescent="0.25"/>
    <row r="137" spans="1:8" ht="15" customHeight="1" x14ac:dyDescent="0.25"/>
    <row r="138" spans="1:8" ht="15" customHeight="1" x14ac:dyDescent="0.25"/>
    <row r="139" spans="1:8" ht="15" customHeight="1" x14ac:dyDescent="0.25"/>
    <row r="140" spans="1:8" ht="15" customHeight="1" x14ac:dyDescent="0.25"/>
    <row r="141" spans="1:8" ht="15" customHeight="1" x14ac:dyDescent="0.25"/>
    <row r="142" spans="1:8" ht="15" customHeight="1" x14ac:dyDescent="0.25"/>
    <row r="143" spans="1:8" ht="15" customHeight="1" x14ac:dyDescent="0.25"/>
    <row r="144" spans="1:8" ht="15" customHeight="1" x14ac:dyDescent="0.25">
      <c r="A144" s="28"/>
      <c r="B144" s="25"/>
      <c r="C144" s="25" t="s">
        <v>222</v>
      </c>
      <c r="D144" s="25" t="s">
        <v>220</v>
      </c>
      <c r="E144" s="25" t="s">
        <v>221</v>
      </c>
      <c r="F144" s="25" t="s">
        <v>220</v>
      </c>
      <c r="G144" s="25" t="s">
        <v>222</v>
      </c>
      <c r="H144" s="25" t="s">
        <v>222</v>
      </c>
    </row>
    <row r="145" spans="1:8" ht="15" customHeight="1" thickBot="1" x14ac:dyDescent="0.3">
      <c r="A145" s="29" t="s">
        <v>86</v>
      </c>
      <c r="B145" s="26" t="s">
        <v>0</v>
      </c>
      <c r="C145" s="26" t="s">
        <v>223</v>
      </c>
      <c r="D145" s="26" t="s">
        <v>0</v>
      </c>
      <c r="E145" s="26" t="s">
        <v>77</v>
      </c>
      <c r="F145" s="26" t="s">
        <v>224</v>
      </c>
      <c r="G145" s="26" t="s">
        <v>77</v>
      </c>
      <c r="H145" s="26" t="s">
        <v>224</v>
      </c>
    </row>
    <row r="146" spans="1:8" ht="15" customHeight="1" thickTop="1" x14ac:dyDescent="0.25">
      <c r="A146" s="27" t="s">
        <v>91</v>
      </c>
      <c r="B146" s="30">
        <f xml:space="preserve"> 7419</f>
        <v>7419</v>
      </c>
      <c r="C146" s="30">
        <v>0.9108384700918547</v>
      </c>
      <c r="D146" s="30">
        <f>B146/C146</f>
        <v>8145.242261508587</v>
      </c>
      <c r="E146" s="30"/>
      <c r="F146" s="30"/>
      <c r="G146" s="30"/>
      <c r="H146" s="30"/>
    </row>
    <row r="147" spans="1:8" ht="15" customHeight="1" x14ac:dyDescent="0.25">
      <c r="A147" s="27" t="s">
        <v>92</v>
      </c>
      <c r="B147" s="30">
        <f xml:space="preserve"> 8824</f>
        <v>8824</v>
      </c>
      <c r="C147" s="30">
        <v>0.84712190854138225</v>
      </c>
      <c r="D147" s="30">
        <f t="shared" ref="D147:D210" si="0">B147/C147</f>
        <v>10416.446453608565</v>
      </c>
      <c r="E147" s="30"/>
      <c r="F147" s="30"/>
      <c r="G147" s="30"/>
      <c r="H147" s="30"/>
    </row>
    <row r="148" spans="1:8" ht="15" customHeight="1" x14ac:dyDescent="0.25">
      <c r="A148" s="27" t="s">
        <v>93</v>
      </c>
      <c r="B148" s="30">
        <f xml:space="preserve"> 11583</f>
        <v>11583</v>
      </c>
      <c r="C148" s="30">
        <v>0.90327235308033749</v>
      </c>
      <c r="D148" s="30">
        <f t="shared" si="0"/>
        <v>12823.374877466002</v>
      </c>
      <c r="E148" s="30"/>
      <c r="F148" s="30"/>
      <c r="G148" s="30"/>
      <c r="H148" s="30"/>
    </row>
    <row r="149" spans="1:8" ht="15" customHeight="1" x14ac:dyDescent="0.25">
      <c r="A149" s="27" t="s">
        <v>94</v>
      </c>
      <c r="B149" s="30">
        <f xml:space="preserve"> 7958</f>
        <v>7958</v>
      </c>
      <c r="C149" s="30">
        <v>0.97853401683850749</v>
      </c>
      <c r="D149" s="30">
        <f t="shared" si="0"/>
        <v>8132.5736898867053</v>
      </c>
      <c r="E149" s="30"/>
      <c r="F149" s="30"/>
      <c r="G149" s="30"/>
      <c r="H149" s="30"/>
    </row>
    <row r="150" spans="1:8" ht="15" customHeight="1" x14ac:dyDescent="0.25">
      <c r="A150" s="27" t="s">
        <v>95</v>
      </c>
      <c r="B150" s="30">
        <f xml:space="preserve"> 11933</f>
        <v>11933</v>
      </c>
      <c r="C150" s="30">
        <v>1.0405515346828169</v>
      </c>
      <c r="D150" s="30">
        <f t="shared" si="0"/>
        <v>11467.956753951106</v>
      </c>
      <c r="E150" s="30">
        <f>_xll.StatMean(D146:D149)</f>
        <v>9879.4093206174657</v>
      </c>
      <c r="F150" s="30">
        <f>D150-E150</f>
        <v>1588.5474333336406</v>
      </c>
      <c r="G150" s="30">
        <f t="shared" ref="G150:G181" si="1">E150*C150</f>
        <v>10280.03453032823</v>
      </c>
      <c r="H150" s="30">
        <f>B150-G150</f>
        <v>1652.9654696717698</v>
      </c>
    </row>
    <row r="151" spans="1:8" ht="15" customHeight="1" x14ac:dyDescent="0.25">
      <c r="A151" s="27" t="s">
        <v>96</v>
      </c>
      <c r="B151" s="30">
        <f xml:space="preserve"> 11227</f>
        <v>11227</v>
      </c>
      <c r="C151" s="30">
        <v>1.0139715410282903</v>
      </c>
      <c r="D151" s="30">
        <f t="shared" si="0"/>
        <v>11072.302866226855</v>
      </c>
      <c r="E151" s="30">
        <f>_xll.StatMean(D147:D150)</f>
        <v>10710.087943728095</v>
      </c>
      <c r="F151" s="30">
        <f t="shared" ref="F151:F214" si="2">D151-E151</f>
        <v>362.21492249876064</v>
      </c>
      <c r="G151" s="30">
        <f t="shared" si="1"/>
        <v>10859.724376850489</v>
      </c>
      <c r="H151" s="30">
        <f t="shared" ref="H151:H214" si="3">B151-G151</f>
        <v>367.27562314951138</v>
      </c>
    </row>
    <row r="152" spans="1:8" ht="15" customHeight="1" x14ac:dyDescent="0.25">
      <c r="A152" s="27" t="s">
        <v>97</v>
      </c>
      <c r="B152" s="30">
        <f xml:space="preserve"> 11258</f>
        <v>11258</v>
      </c>
      <c r="C152" s="30">
        <v>1.1066401628839515</v>
      </c>
      <c r="D152" s="30">
        <f t="shared" si="0"/>
        <v>10173.135204727409</v>
      </c>
      <c r="E152" s="30">
        <f>_xll.StatMean(D148:D151)</f>
        <v>10874.052046882667</v>
      </c>
      <c r="F152" s="30">
        <f t="shared" si="2"/>
        <v>-700.91684215525856</v>
      </c>
      <c r="G152" s="30">
        <f t="shared" si="1"/>
        <v>12033.6627283708</v>
      </c>
      <c r="H152" s="30">
        <f t="shared" si="3"/>
        <v>-775.66272837080032</v>
      </c>
    </row>
    <row r="153" spans="1:8" ht="15" customHeight="1" x14ac:dyDescent="0.25">
      <c r="A153" s="27" t="s">
        <v>98</v>
      </c>
      <c r="B153" s="30">
        <f xml:space="preserve"> 15904</f>
        <v>15904</v>
      </c>
      <c r="C153" s="30">
        <v>1.2089882382274035</v>
      </c>
      <c r="D153" s="30">
        <f t="shared" si="0"/>
        <v>13154.801260364744</v>
      </c>
      <c r="E153" s="30">
        <f>_xll.StatMean(D149:D152)</f>
        <v>10211.492128698019</v>
      </c>
      <c r="F153" s="30">
        <f t="shared" si="2"/>
        <v>2943.3091316667251</v>
      </c>
      <c r="G153" s="30">
        <f t="shared" si="1"/>
        <v>12345.573878347617</v>
      </c>
      <c r="H153" s="30">
        <f t="shared" si="3"/>
        <v>3558.4261216523828</v>
      </c>
    </row>
    <row r="154" spans="1:8" ht="15" customHeight="1" x14ac:dyDescent="0.25">
      <c r="A154" s="27" t="s">
        <v>99</v>
      </c>
      <c r="B154" s="30">
        <f xml:space="preserve"> 14470</f>
        <v>14470</v>
      </c>
      <c r="C154" s="30">
        <v>1.1674732208152445</v>
      </c>
      <c r="D154" s="30">
        <f t="shared" si="0"/>
        <v>12394.288572970971</v>
      </c>
      <c r="E154" s="30">
        <f>_xll.StatMean(D150:D153)</f>
        <v>11467.049021317529</v>
      </c>
      <c r="F154" s="30">
        <f t="shared" si="2"/>
        <v>927.23955165344159</v>
      </c>
      <c r="G154" s="30">
        <f t="shared" si="1"/>
        <v>13387.472654163874</v>
      </c>
      <c r="H154" s="30">
        <f t="shared" si="3"/>
        <v>1082.5273458361262</v>
      </c>
    </row>
    <row r="155" spans="1:8" ht="15" customHeight="1" x14ac:dyDescent="0.25">
      <c r="A155" s="27" t="s">
        <v>100</v>
      </c>
      <c r="B155" s="30">
        <f xml:space="preserve"> 10916</f>
        <v>10916</v>
      </c>
      <c r="C155" s="30">
        <v>0.96087205630662098</v>
      </c>
      <c r="D155" s="30">
        <f t="shared" si="0"/>
        <v>11360.513533881589</v>
      </c>
      <c r="E155" s="30">
        <f>_xll.StatMean(D151:D154)</f>
        <v>11698.631976072495</v>
      </c>
      <c r="F155" s="30">
        <f t="shared" si="2"/>
        <v>-338.11844219090563</v>
      </c>
      <c r="G155" s="30">
        <f t="shared" si="1"/>
        <v>11240.888562823167</v>
      </c>
      <c r="H155" s="30">
        <f t="shared" si="3"/>
        <v>-324.88856282316738</v>
      </c>
    </row>
    <row r="156" spans="1:8" ht="15" customHeight="1" x14ac:dyDescent="0.25">
      <c r="A156" s="27" t="s">
        <v>101</v>
      </c>
      <c r="B156" s="30">
        <f xml:space="preserve"> 10391</f>
        <v>10391</v>
      </c>
      <c r="C156" s="30">
        <v>0.99213853165653609</v>
      </c>
      <c r="D156" s="30">
        <f t="shared" si="0"/>
        <v>10473.33579782507</v>
      </c>
      <c r="E156" s="30">
        <f>_xll.StatMean(D152:D155)</f>
        <v>11770.684642986178</v>
      </c>
      <c r="F156" s="30">
        <f t="shared" si="2"/>
        <v>-1297.3488451611083</v>
      </c>
      <c r="G156" s="30">
        <f t="shared" si="1"/>
        <v>11678.149778284445</v>
      </c>
      <c r="H156" s="30">
        <f t="shared" si="3"/>
        <v>-1287.1497782844453</v>
      </c>
    </row>
    <row r="157" spans="1:8" ht="15" customHeight="1" x14ac:dyDescent="0.25">
      <c r="A157" s="27" t="s">
        <v>102</v>
      </c>
      <c r="B157" s="30">
        <f xml:space="preserve"> 8481</f>
        <v>8481</v>
      </c>
      <c r="C157" s="30">
        <v>0.86959779497816025</v>
      </c>
      <c r="D157" s="30">
        <f t="shared" si="0"/>
        <v>9752.7846194837675</v>
      </c>
      <c r="E157" s="30">
        <f>_xll.StatMean(D153:D156)</f>
        <v>11845.734791260595</v>
      </c>
      <c r="F157" s="30">
        <f t="shared" si="2"/>
        <v>-2092.9501717768271</v>
      </c>
      <c r="G157" s="30">
        <f t="shared" si="1"/>
        <v>10301.02485437629</v>
      </c>
      <c r="H157" s="30">
        <f t="shared" si="3"/>
        <v>-1820.02485437629</v>
      </c>
    </row>
    <row r="158" spans="1:8" ht="15" customHeight="1" x14ac:dyDescent="0.25">
      <c r="A158" s="27" t="s">
        <v>103</v>
      </c>
      <c r="B158" s="30">
        <f xml:space="preserve"> 10120</f>
        <v>10120</v>
      </c>
      <c r="C158" s="30">
        <v>0.9108384700918547</v>
      </c>
      <c r="D158" s="30">
        <f t="shared" si="0"/>
        <v>11110.641823219692</v>
      </c>
      <c r="E158" s="30">
        <f>_xll.StatMean(D154:D157)</f>
        <v>10995.230631040349</v>
      </c>
      <c r="F158" s="30">
        <f t="shared" si="2"/>
        <v>115.41119217934283</v>
      </c>
      <c r="G158" s="30">
        <f t="shared" si="1"/>
        <v>10014.87904628389</v>
      </c>
      <c r="H158" s="30">
        <f t="shared" si="3"/>
        <v>105.12095371611031</v>
      </c>
    </row>
    <row r="159" spans="1:8" ht="15" customHeight="1" x14ac:dyDescent="0.25">
      <c r="A159" s="27" t="s">
        <v>104</v>
      </c>
      <c r="B159" s="30">
        <f xml:space="preserve"> 8910</f>
        <v>8910</v>
      </c>
      <c r="C159" s="30">
        <v>0.84712190854138225</v>
      </c>
      <c r="D159" s="30">
        <f t="shared" si="0"/>
        <v>10517.966670631495</v>
      </c>
      <c r="E159" s="30">
        <f>_xll.StatMean(D155:D158)</f>
        <v>10674.318943602531</v>
      </c>
      <c r="F159" s="30">
        <f t="shared" si="2"/>
        <v>-156.35227297103665</v>
      </c>
      <c r="G159" s="30">
        <f t="shared" si="1"/>
        <v>9042.4494358840075</v>
      </c>
      <c r="H159" s="30">
        <f t="shared" si="3"/>
        <v>-132.44943588400747</v>
      </c>
    </row>
    <row r="160" spans="1:8" ht="15" customHeight="1" x14ac:dyDescent="0.25">
      <c r="A160" s="27" t="s">
        <v>105</v>
      </c>
      <c r="B160" s="30">
        <f xml:space="preserve"> 9375</f>
        <v>9375</v>
      </c>
      <c r="C160" s="30">
        <v>0.90327235308033749</v>
      </c>
      <c r="D160" s="30">
        <f t="shared" si="0"/>
        <v>10378.929420378467</v>
      </c>
      <c r="E160" s="30">
        <f>_xll.StatMean(D156:D159)</f>
        <v>10463.682227790006</v>
      </c>
      <c r="F160" s="30">
        <f t="shared" si="2"/>
        <v>-84.752807411539834</v>
      </c>
      <c r="G160" s="30">
        <f t="shared" si="1"/>
        <v>9451.5548677807874</v>
      </c>
      <c r="H160" s="30">
        <f t="shared" si="3"/>
        <v>-76.55486778078739</v>
      </c>
    </row>
    <row r="161" spans="1:8" ht="15" customHeight="1" x14ac:dyDescent="0.25">
      <c r="A161" s="27" t="s">
        <v>106</v>
      </c>
      <c r="B161" s="30">
        <f xml:space="preserve"> 12366</f>
        <v>12366</v>
      </c>
      <c r="C161" s="30">
        <v>0.97853401683850749</v>
      </c>
      <c r="D161" s="30">
        <f t="shared" si="0"/>
        <v>12637.271456287886</v>
      </c>
      <c r="E161" s="30">
        <f>_xll.StatMean(D157:D160)</f>
        <v>10440.080633428355</v>
      </c>
      <c r="F161" s="30">
        <f t="shared" si="2"/>
        <v>2197.1908228595312</v>
      </c>
      <c r="G161" s="30">
        <f t="shared" si="1"/>
        <v>10215.974038346558</v>
      </c>
      <c r="H161" s="30">
        <f t="shared" si="3"/>
        <v>2150.0259616534422</v>
      </c>
    </row>
    <row r="162" spans="1:8" ht="15" customHeight="1" x14ac:dyDescent="0.25">
      <c r="A162" s="27" t="s">
        <v>107</v>
      </c>
      <c r="B162" s="30">
        <f xml:space="preserve"> 10808</f>
        <v>10808</v>
      </c>
      <c r="C162" s="30">
        <v>1.0405515346828169</v>
      </c>
      <c r="D162" s="30">
        <f t="shared" si="0"/>
        <v>10386.799346074211</v>
      </c>
      <c r="E162" s="30">
        <f>_xll.StatMean(D158:D161)</f>
        <v>11161.202342629385</v>
      </c>
      <c r="F162" s="30">
        <f t="shared" si="2"/>
        <v>-774.40299655517447</v>
      </c>
      <c r="G162" s="30">
        <f t="shared" si="1"/>
        <v>11613.806226528459</v>
      </c>
      <c r="H162" s="30">
        <f t="shared" si="3"/>
        <v>-805.80622652845886</v>
      </c>
    </row>
    <row r="163" spans="1:8" ht="15" customHeight="1" x14ac:dyDescent="0.25">
      <c r="A163" s="27" t="s">
        <v>108</v>
      </c>
      <c r="B163" s="30">
        <f xml:space="preserve"> 11982</f>
        <v>11982</v>
      </c>
      <c r="C163" s="30">
        <v>1.0139715410282903</v>
      </c>
      <c r="D163" s="30">
        <f t="shared" si="0"/>
        <v>11816.899701000282</v>
      </c>
      <c r="E163" s="30">
        <f>_xll.StatMean(D159:D162)</f>
        <v>10980.241723343017</v>
      </c>
      <c r="F163" s="30">
        <f t="shared" si="2"/>
        <v>836.65797765726529</v>
      </c>
      <c r="G163" s="30">
        <f t="shared" si="1"/>
        <v>11133.65262108125</v>
      </c>
      <c r="H163" s="30">
        <f t="shared" si="3"/>
        <v>848.34737891875011</v>
      </c>
    </row>
    <row r="164" spans="1:8" ht="15" customHeight="1" x14ac:dyDescent="0.25">
      <c r="A164" s="27" t="s">
        <v>109</v>
      </c>
      <c r="B164" s="30">
        <f xml:space="preserve"> 13330</f>
        <v>13330</v>
      </c>
      <c r="C164" s="30">
        <v>1.1066401628839515</v>
      </c>
      <c r="D164" s="30">
        <f t="shared" si="0"/>
        <v>12045.469202257626</v>
      </c>
      <c r="E164" s="30">
        <f>_xll.StatMean(D160:D163)</f>
        <v>11304.974980935211</v>
      </c>
      <c r="F164" s="30">
        <f t="shared" si="2"/>
        <v>740.49422132241489</v>
      </c>
      <c r="G164" s="30">
        <f t="shared" si="1"/>
        <v>12510.539354301138</v>
      </c>
      <c r="H164" s="30">
        <f t="shared" si="3"/>
        <v>819.46064569886221</v>
      </c>
    </row>
    <row r="165" spans="1:8" ht="15" customHeight="1" x14ac:dyDescent="0.25">
      <c r="A165" s="27" t="s">
        <v>110</v>
      </c>
      <c r="B165" s="30">
        <f xml:space="preserve"> 12233</f>
        <v>12233</v>
      </c>
      <c r="C165" s="30">
        <v>1.2089882382274035</v>
      </c>
      <c r="D165" s="30">
        <f t="shared" si="0"/>
        <v>10118.378006667626</v>
      </c>
      <c r="E165" s="30">
        <f>_xll.StatMean(D161:D164)</f>
        <v>11721.609926405001</v>
      </c>
      <c r="F165" s="30">
        <f t="shared" si="2"/>
        <v>-1603.2319197373745</v>
      </c>
      <c r="G165" s="30">
        <f t="shared" si="1"/>
        <v>14171.288534113228</v>
      </c>
      <c r="H165" s="30">
        <f t="shared" si="3"/>
        <v>-1938.2885341132278</v>
      </c>
    </row>
    <row r="166" spans="1:8" ht="15" customHeight="1" x14ac:dyDescent="0.25">
      <c r="A166" s="27" t="s">
        <v>111</v>
      </c>
      <c r="B166" s="30">
        <f xml:space="preserve"> 12302</f>
        <v>12302</v>
      </c>
      <c r="C166" s="30">
        <v>1.1674732208152445</v>
      </c>
      <c r="D166" s="30">
        <f t="shared" si="0"/>
        <v>10537.286663765644</v>
      </c>
      <c r="E166" s="30">
        <f>_xll.StatMean(D162:D165)</f>
        <v>11091.886563999937</v>
      </c>
      <c r="F166" s="30">
        <f t="shared" si="2"/>
        <v>-554.59990023429236</v>
      </c>
      <c r="G166" s="30">
        <f t="shared" si="1"/>
        <v>12949.480531790341</v>
      </c>
      <c r="H166" s="30">
        <f t="shared" si="3"/>
        <v>-647.48053179034105</v>
      </c>
    </row>
    <row r="167" spans="1:8" ht="15" customHeight="1" x14ac:dyDescent="0.25">
      <c r="A167" s="27" t="s">
        <v>112</v>
      </c>
      <c r="B167" s="30">
        <f xml:space="preserve"> 7227</f>
        <v>7227</v>
      </c>
      <c r="C167" s="30">
        <v>0.96087205630662098</v>
      </c>
      <c r="D167" s="30">
        <f t="shared" si="0"/>
        <v>7521.2927179701583</v>
      </c>
      <c r="E167" s="30">
        <f>_xll.StatMean(D163:D166)</f>
        <v>11129.508393422795</v>
      </c>
      <c r="F167" s="30">
        <f t="shared" si="2"/>
        <v>-3608.2156754526368</v>
      </c>
      <c r="G167" s="30">
        <f t="shared" si="1"/>
        <v>10694.03361566996</v>
      </c>
      <c r="H167" s="30">
        <f t="shared" si="3"/>
        <v>-3467.0336156699595</v>
      </c>
    </row>
    <row r="168" spans="1:8" ht="15" customHeight="1" x14ac:dyDescent="0.25">
      <c r="A168" s="27" t="s">
        <v>113</v>
      </c>
      <c r="B168" s="30">
        <f xml:space="preserve"> 12660</f>
        <v>12660</v>
      </c>
      <c r="C168" s="30">
        <v>0.99213853165653609</v>
      </c>
      <c r="D168" s="30">
        <f t="shared" si="0"/>
        <v>12760.314810938829</v>
      </c>
      <c r="E168" s="30">
        <f>_xll.StatMean(D164:D167)</f>
        <v>10055.606647665263</v>
      </c>
      <c r="F168" s="30">
        <f t="shared" si="2"/>
        <v>2704.7081632735662</v>
      </c>
      <c r="G168" s="30">
        <f t="shared" si="1"/>
        <v>9976.5548143303167</v>
      </c>
      <c r="H168" s="30">
        <f t="shared" si="3"/>
        <v>2683.4451856696833</v>
      </c>
    </row>
    <row r="169" spans="1:8" ht="15" customHeight="1" x14ac:dyDescent="0.25">
      <c r="A169" s="27" t="s">
        <v>114</v>
      </c>
      <c r="B169" s="30">
        <f xml:space="preserve"> 9800</f>
        <v>9800</v>
      </c>
      <c r="C169" s="30">
        <v>0.86959779497816025</v>
      </c>
      <c r="D169" s="30">
        <f t="shared" si="0"/>
        <v>11269.577794003175</v>
      </c>
      <c r="E169" s="30">
        <f>_xll.StatMean(D165:D168)</f>
        <v>10234.318049835565</v>
      </c>
      <c r="F169" s="30">
        <f t="shared" si="2"/>
        <v>1035.2597441676098</v>
      </c>
      <c r="G169" s="30">
        <f t="shared" si="1"/>
        <v>8899.740409242193</v>
      </c>
      <c r="H169" s="30">
        <f t="shared" si="3"/>
        <v>900.25959075780702</v>
      </c>
    </row>
    <row r="170" spans="1:8" ht="15" customHeight="1" x14ac:dyDescent="0.25">
      <c r="A170" s="27" t="s">
        <v>115</v>
      </c>
      <c r="B170" s="30">
        <f xml:space="preserve"> 12004</f>
        <v>12004</v>
      </c>
      <c r="C170" s="30">
        <v>0.9108384700918547</v>
      </c>
      <c r="D170" s="30">
        <f t="shared" si="0"/>
        <v>13179.065656712371</v>
      </c>
      <c r="E170" s="30">
        <f>_xll.StatMean(D166:D169)</f>
        <v>10522.117996669453</v>
      </c>
      <c r="F170" s="30">
        <f t="shared" si="2"/>
        <v>2656.9476600429189</v>
      </c>
      <c r="G170" s="30">
        <f t="shared" si="1"/>
        <v>9583.9498582123761</v>
      </c>
      <c r="H170" s="30">
        <f t="shared" si="3"/>
        <v>2420.0501417876239</v>
      </c>
    </row>
    <row r="171" spans="1:8" ht="15" customHeight="1" x14ac:dyDescent="0.25">
      <c r="A171" s="27" t="s">
        <v>116</v>
      </c>
      <c r="B171" s="30">
        <f xml:space="preserve"> 10006</f>
        <v>10006</v>
      </c>
      <c r="C171" s="30">
        <v>0.84712190854138225</v>
      </c>
      <c r="D171" s="30">
        <f t="shared" si="0"/>
        <v>11811.759203853955</v>
      </c>
      <c r="E171" s="30">
        <f>_xll.StatMean(D167:D170)</f>
        <v>11182.562744906134</v>
      </c>
      <c r="F171" s="30">
        <f t="shared" si="2"/>
        <v>629.19645894782116</v>
      </c>
      <c r="G171" s="30">
        <f t="shared" si="1"/>
        <v>9472.9938948486433</v>
      </c>
      <c r="H171" s="30">
        <f t="shared" si="3"/>
        <v>533.00610515135668</v>
      </c>
    </row>
    <row r="172" spans="1:8" ht="15" customHeight="1" x14ac:dyDescent="0.25">
      <c r="A172" s="27" t="s">
        <v>117</v>
      </c>
      <c r="B172" s="30">
        <f xml:space="preserve"> 8394</f>
        <v>8394</v>
      </c>
      <c r="C172" s="30">
        <v>0.90327235308033749</v>
      </c>
      <c r="D172" s="30">
        <f t="shared" si="0"/>
        <v>9292.878245830063</v>
      </c>
      <c r="E172" s="30">
        <f>_xll.StatMean(D168:D171)</f>
        <v>12255.179366377084</v>
      </c>
      <c r="F172" s="30">
        <f t="shared" si="2"/>
        <v>-2962.3011205470211</v>
      </c>
      <c r="G172" s="30">
        <f t="shared" si="1"/>
        <v>11069.764703689028</v>
      </c>
      <c r="H172" s="30">
        <f t="shared" si="3"/>
        <v>-2675.7647036890285</v>
      </c>
    </row>
    <row r="173" spans="1:8" ht="15" customHeight="1" x14ac:dyDescent="0.25">
      <c r="A173" s="27" t="s">
        <v>118</v>
      </c>
      <c r="B173" s="30">
        <f xml:space="preserve"> 9953</f>
        <v>9953</v>
      </c>
      <c r="C173" s="30">
        <v>0.97853401683850749</v>
      </c>
      <c r="D173" s="30">
        <f t="shared" si="0"/>
        <v>10171.337765197584</v>
      </c>
      <c r="E173" s="30">
        <f>_xll.StatMean(D169:D172)</f>
        <v>11388.320225099891</v>
      </c>
      <c r="F173" s="30">
        <f t="shared" si="2"/>
        <v>-1216.9824599023068</v>
      </c>
      <c r="G173" s="30">
        <f t="shared" si="1"/>
        <v>11143.858734910213</v>
      </c>
      <c r="H173" s="30">
        <f t="shared" si="3"/>
        <v>-1190.8587349102127</v>
      </c>
    </row>
    <row r="174" spans="1:8" ht="15" customHeight="1" x14ac:dyDescent="0.25">
      <c r="A174" s="27" t="s">
        <v>119</v>
      </c>
      <c r="B174" s="30">
        <f xml:space="preserve"> 10461</f>
        <v>10461</v>
      </c>
      <c r="C174" s="30">
        <v>1.0405515346828169</v>
      </c>
      <c r="D174" s="30">
        <f t="shared" si="0"/>
        <v>10053.322350044627</v>
      </c>
      <c r="E174" s="30">
        <f>_xll.StatMean(D170:D173)</f>
        <v>11113.760217898493</v>
      </c>
      <c r="F174" s="30">
        <f t="shared" si="2"/>
        <v>-1060.4378678538651</v>
      </c>
      <c r="G174" s="30">
        <f t="shared" si="1"/>
        <v>11564.440250831114</v>
      </c>
      <c r="H174" s="30">
        <f t="shared" si="3"/>
        <v>-1103.4402508311141</v>
      </c>
    </row>
    <row r="175" spans="1:8" ht="15" customHeight="1" x14ac:dyDescent="0.25">
      <c r="A175" s="27" t="s">
        <v>120</v>
      </c>
      <c r="B175" s="30">
        <f xml:space="preserve"> 10893</f>
        <v>10893</v>
      </c>
      <c r="C175" s="30">
        <v>1.0139715410282903</v>
      </c>
      <c r="D175" s="30">
        <f t="shared" si="0"/>
        <v>10742.905061174768</v>
      </c>
      <c r="E175" s="30">
        <f>_xll.StatMean(D171:D174)</f>
        <v>10332.324391231557</v>
      </c>
      <c r="F175" s="30">
        <f t="shared" si="2"/>
        <v>410.58066994321052</v>
      </c>
      <c r="G175" s="30">
        <f t="shared" si="1"/>
        <v>10476.682885381255</v>
      </c>
      <c r="H175" s="30">
        <f t="shared" si="3"/>
        <v>416.31711461874511</v>
      </c>
    </row>
    <row r="176" spans="1:8" ht="15" customHeight="1" x14ac:dyDescent="0.25">
      <c r="A176" s="27" t="s">
        <v>121</v>
      </c>
      <c r="B176" s="30">
        <f xml:space="preserve"> 9212</f>
        <v>9212</v>
      </c>
      <c r="C176" s="30">
        <v>1.1066401628839515</v>
      </c>
      <c r="D176" s="30">
        <f t="shared" si="0"/>
        <v>8324.2957457762368</v>
      </c>
      <c r="E176" s="30">
        <f>_xll.StatMean(D172:D175)</f>
        <v>10065.110855561759</v>
      </c>
      <c r="F176" s="30">
        <f t="shared" si="2"/>
        <v>-1740.8151097855225</v>
      </c>
      <c r="G176" s="30">
        <f t="shared" si="1"/>
        <v>11138.455916643894</v>
      </c>
      <c r="H176" s="30">
        <f t="shared" si="3"/>
        <v>-1926.4559166438939</v>
      </c>
    </row>
    <row r="177" spans="1:8" ht="15" customHeight="1" x14ac:dyDescent="0.25">
      <c r="A177" s="27" t="s">
        <v>122</v>
      </c>
      <c r="B177" s="30">
        <f xml:space="preserve"> 13209</f>
        <v>13209</v>
      </c>
      <c r="C177" s="30">
        <v>1.2089882382274035</v>
      </c>
      <c r="D177" s="30">
        <f t="shared" si="0"/>
        <v>10925.664603128642</v>
      </c>
      <c r="E177" s="30">
        <f>_xll.StatMean(D173:D176)</f>
        <v>9822.965230548305</v>
      </c>
      <c r="F177" s="30">
        <f t="shared" si="2"/>
        <v>1102.6993725803368</v>
      </c>
      <c r="G177" s="30">
        <f t="shared" si="1"/>
        <v>11875.849428249636</v>
      </c>
      <c r="H177" s="30">
        <f t="shared" si="3"/>
        <v>1333.1505717503642</v>
      </c>
    </row>
    <row r="178" spans="1:8" ht="15" customHeight="1" x14ac:dyDescent="0.25">
      <c r="A178" s="27" t="s">
        <v>123</v>
      </c>
      <c r="B178" s="30">
        <f xml:space="preserve"> 10294</f>
        <v>10294</v>
      </c>
      <c r="C178" s="30">
        <v>1.1674732208152445</v>
      </c>
      <c r="D178" s="30">
        <f t="shared" si="0"/>
        <v>8817.3328659407853</v>
      </c>
      <c r="E178" s="30">
        <f>_xll.StatMean(D174:D177)</f>
        <v>10011.546940031069</v>
      </c>
      <c r="F178" s="30">
        <f t="shared" si="2"/>
        <v>-1194.2140740902832</v>
      </c>
      <c r="G178" s="30">
        <f t="shared" si="1"/>
        <v>11688.212951421077</v>
      </c>
      <c r="H178" s="30">
        <f t="shared" si="3"/>
        <v>-1394.2129514210774</v>
      </c>
    </row>
    <row r="179" spans="1:8" ht="15" customHeight="1" x14ac:dyDescent="0.25">
      <c r="A179" s="27" t="s">
        <v>124</v>
      </c>
      <c r="B179" s="30">
        <f xml:space="preserve"> 11540</f>
        <v>11540</v>
      </c>
      <c r="C179" s="30">
        <v>0.96087205630662098</v>
      </c>
      <c r="D179" s="30">
        <f t="shared" si="0"/>
        <v>12009.923614968262</v>
      </c>
      <c r="E179" s="30">
        <f>_xll.StatMean(D175:D178)</f>
        <v>9702.5495690051084</v>
      </c>
      <c r="F179" s="30">
        <f t="shared" si="2"/>
        <v>2307.3740459631535</v>
      </c>
      <c r="G179" s="30">
        <f t="shared" si="1"/>
        <v>9322.908755786857</v>
      </c>
      <c r="H179" s="30">
        <f t="shared" si="3"/>
        <v>2217.091244213143</v>
      </c>
    </row>
    <row r="180" spans="1:8" ht="15" customHeight="1" x14ac:dyDescent="0.25">
      <c r="A180" s="27" t="s">
        <v>125</v>
      </c>
      <c r="B180" s="30">
        <f xml:space="preserve"> 10219</f>
        <v>10219</v>
      </c>
      <c r="C180" s="30">
        <v>0.99213853165653609</v>
      </c>
      <c r="D180" s="30">
        <f t="shared" si="0"/>
        <v>10299.972910978191</v>
      </c>
      <c r="E180" s="30">
        <f>_xll.StatMean(D176:D179)</f>
        <v>10019.304207453482</v>
      </c>
      <c r="F180" s="30">
        <f t="shared" si="2"/>
        <v>280.66870352470869</v>
      </c>
      <c r="G180" s="30">
        <f t="shared" si="1"/>
        <v>9940.537764603052</v>
      </c>
      <c r="H180" s="30">
        <f t="shared" si="3"/>
        <v>278.46223539694802</v>
      </c>
    </row>
    <row r="181" spans="1:8" ht="15" customHeight="1" x14ac:dyDescent="0.25">
      <c r="A181" s="27" t="s">
        <v>126</v>
      </c>
      <c r="B181" s="30">
        <f xml:space="preserve"> 10230</f>
        <v>10230</v>
      </c>
      <c r="C181" s="30">
        <v>0.86959779497816025</v>
      </c>
      <c r="D181" s="30">
        <f t="shared" si="0"/>
        <v>11764.059268638008</v>
      </c>
      <c r="E181" s="30">
        <f>_xll.StatMean(D177:D180)</f>
        <v>10513.22349875397</v>
      </c>
      <c r="F181" s="30">
        <f t="shared" si="2"/>
        <v>1250.8357698840373</v>
      </c>
      <c r="G181" s="30">
        <f t="shared" si="1"/>
        <v>9142.2759726290315</v>
      </c>
      <c r="H181" s="30">
        <f t="shared" si="3"/>
        <v>1087.7240273709685</v>
      </c>
    </row>
    <row r="182" spans="1:8" ht="15" customHeight="1" x14ac:dyDescent="0.25">
      <c r="A182" s="27" t="s">
        <v>127</v>
      </c>
      <c r="B182" s="30">
        <f xml:space="preserve"> 9985</f>
        <v>9985</v>
      </c>
      <c r="C182" s="30">
        <v>0.9108384700918547</v>
      </c>
      <c r="D182" s="30">
        <f t="shared" si="0"/>
        <v>10962.426739609549</v>
      </c>
      <c r="E182" s="30">
        <f>_xll.StatMean(D178:D181)</f>
        <v>10722.822165131311</v>
      </c>
      <c r="F182" s="30">
        <f t="shared" si="2"/>
        <v>239.60457447823865</v>
      </c>
      <c r="G182" s="30">
        <f t="shared" ref="G182:G213" si="4">E182*C182</f>
        <v>9766.7589359552312</v>
      </c>
      <c r="H182" s="30">
        <f t="shared" si="3"/>
        <v>218.24106404476879</v>
      </c>
    </row>
    <row r="183" spans="1:8" ht="15" customHeight="1" x14ac:dyDescent="0.25">
      <c r="A183" s="27" t="s">
        <v>128</v>
      </c>
      <c r="B183" s="30">
        <f xml:space="preserve"> 6832</f>
        <v>6832</v>
      </c>
      <c r="C183" s="30">
        <v>0.84712190854138225</v>
      </c>
      <c r="D183" s="30">
        <f t="shared" si="0"/>
        <v>8064.954915123948</v>
      </c>
      <c r="E183" s="30">
        <f>_xll.StatMean(D179:D182)</f>
        <v>11259.095633548503</v>
      </c>
      <c r="F183" s="30">
        <f t="shared" si="2"/>
        <v>-3194.1407184245545</v>
      </c>
      <c r="G183" s="30">
        <f t="shared" si="4"/>
        <v>9537.8265815415507</v>
      </c>
      <c r="H183" s="30">
        <f t="shared" si="3"/>
        <v>-2705.8265815415507</v>
      </c>
    </row>
    <row r="184" spans="1:8" ht="15" customHeight="1" x14ac:dyDescent="0.25">
      <c r="A184" s="27" t="s">
        <v>129</v>
      </c>
      <c r="B184" s="30">
        <f xml:space="preserve"> 9050</f>
        <v>9050</v>
      </c>
      <c r="C184" s="30">
        <v>0.90327235308033749</v>
      </c>
      <c r="D184" s="30">
        <f t="shared" si="0"/>
        <v>10019.126533805345</v>
      </c>
      <c r="E184" s="30">
        <f>_xll.StatMean(D180:D183)</f>
        <v>10272.853458587424</v>
      </c>
      <c r="F184" s="30">
        <f t="shared" si="2"/>
        <v>-253.72692478207864</v>
      </c>
      <c r="G184" s="30">
        <f t="shared" si="4"/>
        <v>9279.184516387746</v>
      </c>
      <c r="H184" s="30">
        <f t="shared" si="3"/>
        <v>-229.18451638774604</v>
      </c>
    </row>
    <row r="185" spans="1:8" ht="15" customHeight="1" x14ac:dyDescent="0.25">
      <c r="A185" s="27" t="s">
        <v>130</v>
      </c>
      <c r="B185" s="30">
        <f xml:space="preserve"> 10082</f>
        <v>10082</v>
      </c>
      <c r="C185" s="30">
        <v>0.97853401683850749</v>
      </c>
      <c r="D185" s="30">
        <f t="shared" si="0"/>
        <v>10303.167622698889</v>
      </c>
      <c r="E185" s="30">
        <f>_xll.StatMean(D181:D184)</f>
        <v>10202.641864294212</v>
      </c>
      <c r="F185" s="30">
        <f t="shared" si="2"/>
        <v>100.52575840467762</v>
      </c>
      <c r="G185" s="30">
        <f t="shared" si="4"/>
        <v>9983.6321258325333</v>
      </c>
      <c r="H185" s="30">
        <f t="shared" si="3"/>
        <v>98.367874167466653</v>
      </c>
    </row>
    <row r="186" spans="1:8" ht="15" customHeight="1" x14ac:dyDescent="0.25">
      <c r="A186" s="27" t="s">
        <v>131</v>
      </c>
      <c r="B186" s="30">
        <f xml:space="preserve"> 10659</f>
        <v>10659</v>
      </c>
      <c r="C186" s="30">
        <v>1.0405515346828169</v>
      </c>
      <c r="D186" s="30">
        <f t="shared" si="0"/>
        <v>10243.606053830961</v>
      </c>
      <c r="E186" s="30">
        <f>_xll.StatMean(D182:D185)</f>
        <v>9837.4189528094321</v>
      </c>
      <c r="F186" s="30">
        <f t="shared" si="2"/>
        <v>406.18710102152909</v>
      </c>
      <c r="G186" s="30">
        <f t="shared" si="4"/>
        <v>10236.341388663684</v>
      </c>
      <c r="H186" s="30">
        <f t="shared" si="3"/>
        <v>422.65861133631552</v>
      </c>
    </row>
    <row r="187" spans="1:8" ht="15" customHeight="1" x14ac:dyDescent="0.25">
      <c r="A187" s="27" t="s">
        <v>132</v>
      </c>
      <c r="B187" s="30">
        <f xml:space="preserve"> 11458</f>
        <v>11458</v>
      </c>
      <c r="C187" s="30">
        <v>1.0139715410282903</v>
      </c>
      <c r="D187" s="30">
        <f t="shared" si="0"/>
        <v>11300.119911038328</v>
      </c>
      <c r="E187" s="30">
        <f>_xll.StatMean(D183:D186)</f>
        <v>9657.713781364786</v>
      </c>
      <c r="F187" s="30">
        <f t="shared" si="2"/>
        <v>1642.4061296735417</v>
      </c>
      <c r="G187" s="30">
        <f t="shared" si="4"/>
        <v>9792.6469257006083</v>
      </c>
      <c r="H187" s="30">
        <f t="shared" si="3"/>
        <v>1665.3530742993917</v>
      </c>
    </row>
    <row r="188" spans="1:8" ht="15" customHeight="1" x14ac:dyDescent="0.25">
      <c r="A188" s="27" t="s">
        <v>133</v>
      </c>
      <c r="B188" s="30">
        <f xml:space="preserve"> 10867</f>
        <v>10867</v>
      </c>
      <c r="C188" s="30">
        <v>1.1066401628839515</v>
      </c>
      <c r="D188" s="30">
        <f t="shared" si="0"/>
        <v>9819.8134899425077</v>
      </c>
      <c r="E188" s="30">
        <f>_xll.StatMean(D184:D187)</f>
        <v>10466.505030343382</v>
      </c>
      <c r="F188" s="30">
        <f t="shared" si="2"/>
        <v>-646.69154040087415</v>
      </c>
      <c r="G188" s="30">
        <f t="shared" si="4"/>
        <v>11582.654831604897</v>
      </c>
      <c r="H188" s="30">
        <f t="shared" si="3"/>
        <v>-715.65483160489748</v>
      </c>
    </row>
    <row r="189" spans="1:8" ht="15" customHeight="1" x14ac:dyDescent="0.25">
      <c r="A189" s="27" t="s">
        <v>134</v>
      </c>
      <c r="B189" s="30">
        <f xml:space="preserve"> 12409</f>
        <v>12409</v>
      </c>
      <c r="C189" s="30">
        <v>1.2089882382274035</v>
      </c>
      <c r="D189" s="30">
        <f t="shared" si="0"/>
        <v>10263.954278160596</v>
      </c>
      <c r="E189" s="30">
        <f>_xll.StatMean(D185:D188)</f>
        <v>10416.676769377671</v>
      </c>
      <c r="F189" s="30">
        <f t="shared" si="2"/>
        <v>-152.722491217075</v>
      </c>
      <c r="G189" s="30">
        <f t="shared" si="4"/>
        <v>12593.639695594233</v>
      </c>
      <c r="H189" s="30">
        <f t="shared" si="3"/>
        <v>-184.63969559423276</v>
      </c>
    </row>
    <row r="190" spans="1:8" ht="15" customHeight="1" x14ac:dyDescent="0.25">
      <c r="A190" s="27" t="s">
        <v>135</v>
      </c>
      <c r="B190" s="30">
        <f xml:space="preserve"> 11869</f>
        <v>11869</v>
      </c>
      <c r="C190" s="30">
        <v>1.1674732208152445</v>
      </c>
      <c r="D190" s="30">
        <f t="shared" si="0"/>
        <v>10166.400212342256</v>
      </c>
      <c r="E190" s="30">
        <f>_xll.StatMean(D186:D189)</f>
        <v>10406.873433243098</v>
      </c>
      <c r="F190" s="30">
        <f t="shared" si="2"/>
        <v>-240.47322090084162</v>
      </c>
      <c r="G190" s="30">
        <f t="shared" si="4"/>
        <v>12149.74604572492</v>
      </c>
      <c r="H190" s="30">
        <f t="shared" si="3"/>
        <v>-280.7460457249199</v>
      </c>
    </row>
    <row r="191" spans="1:8" ht="15" customHeight="1" x14ac:dyDescent="0.25">
      <c r="A191" s="27" t="s">
        <v>136</v>
      </c>
      <c r="B191" s="30">
        <f xml:space="preserve"> 8729</f>
        <v>8729</v>
      </c>
      <c r="C191" s="30">
        <v>0.96087205630662098</v>
      </c>
      <c r="D191" s="30">
        <f t="shared" si="0"/>
        <v>9084.456086226859</v>
      </c>
      <c r="E191" s="30">
        <f>_xll.StatMean(D187:D190)</f>
        <v>10387.571972870923</v>
      </c>
      <c r="F191" s="30">
        <f t="shared" si="2"/>
        <v>-1303.1158866440637</v>
      </c>
      <c r="G191" s="30">
        <f t="shared" si="4"/>
        <v>9981.127641605508</v>
      </c>
      <c r="H191" s="30">
        <f t="shared" si="3"/>
        <v>-1252.127641605508</v>
      </c>
    </row>
    <row r="192" spans="1:8" ht="15" customHeight="1" x14ac:dyDescent="0.25">
      <c r="A192" s="27" t="s">
        <v>137</v>
      </c>
      <c r="B192" s="30">
        <f xml:space="preserve"> 10665</f>
        <v>10665</v>
      </c>
      <c r="C192" s="30">
        <v>0.99213853165653609</v>
      </c>
      <c r="D192" s="30">
        <f t="shared" si="0"/>
        <v>10749.506908267189</v>
      </c>
      <c r="E192" s="30">
        <f>_xll.StatMean(D188:D191)</f>
        <v>9833.6560166680538</v>
      </c>
      <c r="F192" s="30">
        <f t="shared" si="2"/>
        <v>915.85089159913514</v>
      </c>
      <c r="G192" s="30">
        <f t="shared" si="4"/>
        <v>9756.349041192505</v>
      </c>
      <c r="H192" s="30">
        <f t="shared" si="3"/>
        <v>908.65095880749504</v>
      </c>
    </row>
    <row r="193" spans="1:8" ht="15" customHeight="1" x14ac:dyDescent="0.25">
      <c r="A193" s="27" t="s">
        <v>138</v>
      </c>
      <c r="B193" s="30">
        <f xml:space="preserve"> 8003</f>
        <v>8003</v>
      </c>
      <c r="C193" s="30">
        <v>0.86959779497816025</v>
      </c>
      <c r="D193" s="30">
        <f t="shared" si="0"/>
        <v>9203.1052127966741</v>
      </c>
      <c r="E193" s="30">
        <f>_xll.StatMean(D189:D192)</f>
        <v>10066.079371249225</v>
      </c>
      <c r="F193" s="30">
        <f t="shared" si="2"/>
        <v>-862.97415845255091</v>
      </c>
      <c r="G193" s="30">
        <f t="shared" si="4"/>
        <v>8753.4404253134726</v>
      </c>
      <c r="H193" s="30">
        <f t="shared" si="3"/>
        <v>-750.44042531347259</v>
      </c>
    </row>
    <row r="194" spans="1:8" ht="15" customHeight="1" x14ac:dyDescent="0.25">
      <c r="A194" s="27" t="s">
        <v>139</v>
      </c>
      <c r="B194" s="30">
        <f xml:space="preserve"> 9224</f>
        <v>9224</v>
      </c>
      <c r="C194" s="30">
        <v>0.9108384700918547</v>
      </c>
      <c r="D194" s="30">
        <f t="shared" si="0"/>
        <v>10126.932823851625</v>
      </c>
      <c r="E194" s="30">
        <f>_xll.StatMean(D190:D193)</f>
        <v>9800.8671049082459</v>
      </c>
      <c r="F194" s="30">
        <f t="shared" si="2"/>
        <v>326.06571894337867</v>
      </c>
      <c r="G194" s="30">
        <f t="shared" si="4"/>
        <v>8927.006799408211</v>
      </c>
      <c r="H194" s="30">
        <f t="shared" si="3"/>
        <v>296.99320059178899</v>
      </c>
    </row>
    <row r="195" spans="1:8" ht="15" customHeight="1" x14ac:dyDescent="0.25">
      <c r="A195" s="27" t="s">
        <v>140</v>
      </c>
      <c r="B195" s="30">
        <f xml:space="preserve"> 9140</f>
        <v>9140</v>
      </c>
      <c r="C195" s="30">
        <v>0.84712190854138225</v>
      </c>
      <c r="D195" s="30">
        <f t="shared" si="0"/>
        <v>10789.474227785844</v>
      </c>
      <c r="E195" s="30">
        <f>_xll.StatMean(D191:D194)</f>
        <v>9791.0002577855867</v>
      </c>
      <c r="F195" s="30">
        <f t="shared" si="2"/>
        <v>998.4739700002574</v>
      </c>
      <c r="G195" s="30">
        <f t="shared" si="4"/>
        <v>8294.1708249044914</v>
      </c>
      <c r="H195" s="30">
        <f t="shared" si="3"/>
        <v>845.82917509550862</v>
      </c>
    </row>
    <row r="196" spans="1:8" ht="15" customHeight="1" x14ac:dyDescent="0.25">
      <c r="A196" s="27" t="s">
        <v>141</v>
      </c>
      <c r="B196" s="30">
        <f xml:space="preserve"> 11616</f>
        <v>11616</v>
      </c>
      <c r="C196" s="30">
        <v>0.90327235308033749</v>
      </c>
      <c r="D196" s="30">
        <f t="shared" si="0"/>
        <v>12859.908709025734</v>
      </c>
      <c r="E196" s="30">
        <f>_xll.StatMean(D192:D195)</f>
        <v>10217.254793175332</v>
      </c>
      <c r="F196" s="30">
        <f t="shared" si="2"/>
        <v>2642.653915850402</v>
      </c>
      <c r="G196" s="30">
        <f t="shared" si="4"/>
        <v>9228.9637790528395</v>
      </c>
      <c r="H196" s="30">
        <f t="shared" si="3"/>
        <v>2387.0362209471605</v>
      </c>
    </row>
    <row r="197" spans="1:8" ht="15" customHeight="1" x14ac:dyDescent="0.25">
      <c r="A197" s="27" t="s">
        <v>142</v>
      </c>
      <c r="B197" s="30">
        <f xml:space="preserve"> 9428</f>
        <v>9428</v>
      </c>
      <c r="C197" s="30">
        <v>0.97853401683850749</v>
      </c>
      <c r="D197" s="30">
        <f t="shared" si="0"/>
        <v>9634.8209032736686</v>
      </c>
      <c r="E197" s="30">
        <f>_xll.StatMean(D193:D196)</f>
        <v>10744.855243364971</v>
      </c>
      <c r="F197" s="30">
        <f t="shared" si="2"/>
        <v>-1110.0343400913025</v>
      </c>
      <c r="G197" s="30">
        <f t="shared" si="4"/>
        <v>10514.206361638224</v>
      </c>
      <c r="H197" s="30">
        <f t="shared" si="3"/>
        <v>-1086.2063616382238</v>
      </c>
    </row>
    <row r="198" spans="1:8" ht="15" customHeight="1" x14ac:dyDescent="0.25">
      <c r="A198" s="27" t="s">
        <v>143</v>
      </c>
      <c r="B198" s="30">
        <f xml:space="preserve"> 14249</f>
        <v>14249</v>
      </c>
      <c r="C198" s="30">
        <v>1.0405515346828169</v>
      </c>
      <c r="D198" s="30">
        <f t="shared" si="0"/>
        <v>13693.699470967009</v>
      </c>
      <c r="E198" s="30">
        <f>_xll.StatMean(D194:D197)</f>
        <v>10852.784165984218</v>
      </c>
      <c r="F198" s="30">
        <f t="shared" si="2"/>
        <v>2840.915304982791</v>
      </c>
      <c r="G198" s="30">
        <f t="shared" si="4"/>
        <v>11292.881219496254</v>
      </c>
      <c r="H198" s="30">
        <f t="shared" si="3"/>
        <v>2956.1187805037462</v>
      </c>
    </row>
    <row r="199" spans="1:8" ht="15" customHeight="1" x14ac:dyDescent="0.25">
      <c r="A199" s="27" t="s">
        <v>144</v>
      </c>
      <c r="B199" s="30">
        <f xml:space="preserve"> 9511</f>
        <v>9511</v>
      </c>
      <c r="C199" s="30">
        <v>1.0139715410282903</v>
      </c>
      <c r="D199" s="30">
        <f t="shared" si="0"/>
        <v>9379.9476761987717</v>
      </c>
      <c r="E199" s="30">
        <f>_xll.StatMean(D195:D198)</f>
        <v>11744.475827763064</v>
      </c>
      <c r="F199" s="30">
        <f t="shared" si="2"/>
        <v>-2364.5281515642928</v>
      </c>
      <c r="G199" s="30">
        <f t="shared" si="4"/>
        <v>11908.56425364642</v>
      </c>
      <c r="H199" s="30">
        <f t="shared" si="3"/>
        <v>-2397.5642536464202</v>
      </c>
    </row>
    <row r="200" spans="1:8" ht="15" customHeight="1" x14ac:dyDescent="0.25">
      <c r="A200" s="27" t="s">
        <v>145</v>
      </c>
      <c r="B200" s="30">
        <f xml:space="preserve"> 12094</f>
        <v>12094</v>
      </c>
      <c r="C200" s="30">
        <v>1.1066401628839515</v>
      </c>
      <c r="D200" s="30">
        <f t="shared" si="0"/>
        <v>10928.574983653692</v>
      </c>
      <c r="E200" s="30">
        <f>_xll.StatMean(D196:D199)</f>
        <v>11392.094189866297</v>
      </c>
      <c r="F200" s="30">
        <f t="shared" si="2"/>
        <v>-463.51920621260433</v>
      </c>
      <c r="G200" s="30">
        <f t="shared" si="4"/>
        <v>12606.948969862957</v>
      </c>
      <c r="H200" s="30">
        <f t="shared" si="3"/>
        <v>-512.9489698629568</v>
      </c>
    </row>
    <row r="201" spans="1:8" ht="15" customHeight="1" x14ac:dyDescent="0.25">
      <c r="A201" s="27" t="s">
        <v>146</v>
      </c>
      <c r="B201" s="30">
        <f xml:space="preserve"> 13273</f>
        <v>13273</v>
      </c>
      <c r="C201" s="30">
        <v>1.2089882382274035</v>
      </c>
      <c r="D201" s="30">
        <f t="shared" si="0"/>
        <v>10978.601429126085</v>
      </c>
      <c r="E201" s="30">
        <f>_xll.StatMean(D197:D200)</f>
        <v>10909.260758523285</v>
      </c>
      <c r="F201" s="30">
        <f t="shared" si="2"/>
        <v>69.340670602799946</v>
      </c>
      <c r="G201" s="30">
        <f t="shared" si="4"/>
        <v>13189.167944810415</v>
      </c>
      <c r="H201" s="30">
        <f t="shared" si="3"/>
        <v>83.832055189584935</v>
      </c>
    </row>
    <row r="202" spans="1:8" ht="15" customHeight="1" x14ac:dyDescent="0.25">
      <c r="A202" s="27" t="s">
        <v>147</v>
      </c>
      <c r="B202" s="30">
        <f xml:space="preserve"> 11184</f>
        <v>11184</v>
      </c>
      <c r="C202" s="30">
        <v>1.1674732208152445</v>
      </c>
      <c r="D202" s="30">
        <f t="shared" si="0"/>
        <v>9579.6629854946332</v>
      </c>
      <c r="E202" s="30">
        <f>_xll.StatMean(D198:D201)</f>
        <v>11245.20588998639</v>
      </c>
      <c r="F202" s="30">
        <f t="shared" si="2"/>
        <v>-1665.5429044917564</v>
      </c>
      <c r="G202" s="30">
        <f t="shared" si="4"/>
        <v>13128.476739112968</v>
      </c>
      <c r="H202" s="30">
        <f t="shared" si="3"/>
        <v>-1944.4767391129681</v>
      </c>
    </row>
    <row r="203" spans="1:8" ht="15" customHeight="1" x14ac:dyDescent="0.25">
      <c r="A203" s="27" t="s">
        <v>148</v>
      </c>
      <c r="B203" s="30">
        <f xml:space="preserve"> 10793</f>
        <v>10793</v>
      </c>
      <c r="C203" s="30">
        <v>0.96087205630662098</v>
      </c>
      <c r="D203" s="30">
        <f t="shared" si="0"/>
        <v>11232.504815975082</v>
      </c>
      <c r="E203" s="30">
        <f>_xll.StatMean(D199:D202)</f>
        <v>10216.696768618294</v>
      </c>
      <c r="F203" s="30">
        <f t="shared" si="2"/>
        <v>1015.8080473567879</v>
      </c>
      <c r="G203" s="30">
        <f t="shared" si="4"/>
        <v>9816.9384327234711</v>
      </c>
      <c r="H203" s="30">
        <f t="shared" si="3"/>
        <v>976.06156727652888</v>
      </c>
    </row>
    <row r="204" spans="1:8" ht="15" customHeight="1" x14ac:dyDescent="0.25">
      <c r="A204" s="27" t="s">
        <v>149</v>
      </c>
      <c r="B204" s="30">
        <f xml:space="preserve"> 8693</f>
        <v>8693</v>
      </c>
      <c r="C204" s="30">
        <v>0.99213853165653609</v>
      </c>
      <c r="D204" s="30">
        <f t="shared" si="0"/>
        <v>8761.8812520925148</v>
      </c>
      <c r="E204" s="30">
        <f>_xll.StatMean(D200:D203)</f>
        <v>10679.836053562374</v>
      </c>
      <c r="F204" s="30">
        <f t="shared" si="2"/>
        <v>-1917.9548014698594</v>
      </c>
      <c r="G204" s="30">
        <f t="shared" si="4"/>
        <v>10595.876860513908</v>
      </c>
      <c r="H204" s="30">
        <f t="shared" si="3"/>
        <v>-1902.8768605139085</v>
      </c>
    </row>
    <row r="205" spans="1:8" ht="15" customHeight="1" x14ac:dyDescent="0.25">
      <c r="A205" s="27" t="s">
        <v>150</v>
      </c>
      <c r="B205" s="30">
        <f xml:space="preserve"> 8479</f>
        <v>8479</v>
      </c>
      <c r="C205" s="30">
        <v>0.86959779497816025</v>
      </c>
      <c r="D205" s="30">
        <f t="shared" si="0"/>
        <v>9750.4847056482558</v>
      </c>
      <c r="E205" s="30">
        <f>_xll.StatMean(D201:D204)</f>
        <v>10138.162620672078</v>
      </c>
      <c r="F205" s="30">
        <f t="shared" si="2"/>
        <v>-387.6779150238217</v>
      </c>
      <c r="G205" s="30">
        <f t="shared" si="4"/>
        <v>8816.1238600664456</v>
      </c>
      <c r="H205" s="30">
        <f t="shared" si="3"/>
        <v>-337.12386006644556</v>
      </c>
    </row>
    <row r="206" spans="1:8" ht="15" customHeight="1" x14ac:dyDescent="0.25">
      <c r="A206" s="27" t="s">
        <v>151</v>
      </c>
      <c r="B206" s="30">
        <f xml:space="preserve"> 8120</f>
        <v>8120</v>
      </c>
      <c r="C206" s="30">
        <v>0.9108384700918547</v>
      </c>
      <c r="D206" s="30">
        <f t="shared" si="0"/>
        <v>8914.8628067731133</v>
      </c>
      <c r="E206" s="30">
        <f>_xll.StatMean(D202:D205)</f>
        <v>9831.1334398026211</v>
      </c>
      <c r="F206" s="30">
        <f t="shared" si="2"/>
        <v>-916.27063302950774</v>
      </c>
      <c r="G206" s="30">
        <f t="shared" si="4"/>
        <v>8954.5745415786914</v>
      </c>
      <c r="H206" s="30">
        <f t="shared" si="3"/>
        <v>-834.57454157869142</v>
      </c>
    </row>
    <row r="207" spans="1:8" ht="15" customHeight="1" x14ac:dyDescent="0.25">
      <c r="A207" s="27" t="s">
        <v>152</v>
      </c>
      <c r="B207" s="30">
        <f xml:space="preserve"> 9239</f>
        <v>9239</v>
      </c>
      <c r="C207" s="30">
        <v>0.84712190854138225</v>
      </c>
      <c r="D207" s="30">
        <f t="shared" si="0"/>
        <v>10906.340524126193</v>
      </c>
      <c r="E207" s="30">
        <f>_xll.StatMean(D203:D206)</f>
        <v>9664.9333951222416</v>
      </c>
      <c r="F207" s="30">
        <f t="shared" si="2"/>
        <v>1241.4071290039519</v>
      </c>
      <c r="G207" s="30">
        <f t="shared" si="4"/>
        <v>8187.3768236012947</v>
      </c>
      <c r="H207" s="30">
        <f t="shared" si="3"/>
        <v>1051.6231763987053</v>
      </c>
    </row>
    <row r="208" spans="1:8" ht="15" customHeight="1" x14ac:dyDescent="0.25">
      <c r="A208" s="27" t="s">
        <v>153</v>
      </c>
      <c r="B208" s="30">
        <f xml:space="preserve"> 9266</f>
        <v>9266</v>
      </c>
      <c r="C208" s="30">
        <v>0.90327235308033749</v>
      </c>
      <c r="D208" s="30">
        <f t="shared" si="0"/>
        <v>10258.257067650866</v>
      </c>
      <c r="E208" s="30">
        <f>_xll.StatMean(D204:D207)</f>
        <v>9583.3923221600198</v>
      </c>
      <c r="F208" s="30">
        <f t="shared" si="2"/>
        <v>674.86474549084596</v>
      </c>
      <c r="G208" s="30">
        <f t="shared" si="4"/>
        <v>8656.4133333295213</v>
      </c>
      <c r="H208" s="30">
        <f t="shared" si="3"/>
        <v>609.58666667047873</v>
      </c>
    </row>
    <row r="209" spans="1:8" ht="15" customHeight="1" x14ac:dyDescent="0.25">
      <c r="A209" s="27" t="s">
        <v>154</v>
      </c>
      <c r="B209" s="30">
        <f xml:space="preserve"> 8652</f>
        <v>8652</v>
      </c>
      <c r="C209" s="30">
        <v>0.97853401683850749</v>
      </c>
      <c r="D209" s="30">
        <f t="shared" si="0"/>
        <v>8841.797884506128</v>
      </c>
      <c r="E209" s="30">
        <f>_xll.StatMean(D205:D208)</f>
        <v>9957.4862760496071</v>
      </c>
      <c r="F209" s="30">
        <f t="shared" si="2"/>
        <v>-1115.6883915434792</v>
      </c>
      <c r="G209" s="30">
        <f t="shared" si="4"/>
        <v>9743.7390433171331</v>
      </c>
      <c r="H209" s="30">
        <f t="shared" si="3"/>
        <v>-1091.7390433171331</v>
      </c>
    </row>
    <row r="210" spans="1:8" ht="15" customHeight="1" x14ac:dyDescent="0.25">
      <c r="A210" s="27" t="s">
        <v>155</v>
      </c>
      <c r="B210" s="30">
        <f xml:space="preserve"> 12405</f>
        <v>12405</v>
      </c>
      <c r="C210" s="30">
        <v>1.0405515346828169</v>
      </c>
      <c r="D210" s="30">
        <f t="shared" si="0"/>
        <v>11921.562350855902</v>
      </c>
      <c r="E210" s="30">
        <f>_xll.StatMean(D206:D209)</f>
        <v>9730.3145707640742</v>
      </c>
      <c r="F210" s="30">
        <f t="shared" si="2"/>
        <v>2191.2477800918277</v>
      </c>
      <c r="G210" s="30">
        <f t="shared" si="4"/>
        <v>10124.893759555132</v>
      </c>
      <c r="H210" s="30">
        <f t="shared" si="3"/>
        <v>2280.1062404448676</v>
      </c>
    </row>
    <row r="211" spans="1:8" ht="15" customHeight="1" x14ac:dyDescent="0.25">
      <c r="A211" s="27" t="s">
        <v>156</v>
      </c>
      <c r="B211" s="30">
        <f xml:space="preserve"> 8964</f>
        <v>8964</v>
      </c>
      <c r="C211" s="30">
        <v>1.0139715410282903</v>
      </c>
      <c r="D211" s="30">
        <f t="shared" ref="D211:D262" si="5">B211/C211</f>
        <v>8840.4848038529908</v>
      </c>
      <c r="E211" s="30">
        <f>_xll.StatMean(D207:D210)</f>
        <v>10481.989456784771</v>
      </c>
      <c r="F211" s="30">
        <f t="shared" si="2"/>
        <v>-1641.5046529317806</v>
      </c>
      <c r="G211" s="30">
        <f t="shared" si="4"/>
        <v>10628.439002538347</v>
      </c>
      <c r="H211" s="30">
        <f t="shared" si="3"/>
        <v>-1664.4390025383473</v>
      </c>
    </row>
    <row r="212" spans="1:8" ht="15" customHeight="1" x14ac:dyDescent="0.25">
      <c r="A212" s="27" t="s">
        <v>157</v>
      </c>
      <c r="B212" s="30">
        <f xml:space="preserve"> 11521</f>
        <v>11521</v>
      </c>
      <c r="C212" s="30">
        <v>1.1066401628839515</v>
      </c>
      <c r="D212" s="30">
        <f t="shared" si="5"/>
        <v>10410.791498815461</v>
      </c>
      <c r="E212" s="30">
        <f>_xll.StatMean(D208:D211)</f>
        <v>9965.5255267164703</v>
      </c>
      <c r="F212" s="30">
        <f t="shared" si="2"/>
        <v>445.26597209899046</v>
      </c>
      <c r="G212" s="30">
        <f t="shared" si="4"/>
        <v>11028.250792109691</v>
      </c>
      <c r="H212" s="30">
        <f t="shared" si="3"/>
        <v>492.74920789030875</v>
      </c>
    </row>
    <row r="213" spans="1:8" ht="15" customHeight="1" x14ac:dyDescent="0.25">
      <c r="A213" s="27" t="s">
        <v>158</v>
      </c>
      <c r="B213" s="30">
        <f xml:space="preserve"> 12368</f>
        <v>12368</v>
      </c>
      <c r="C213" s="30">
        <v>1.2089882382274035</v>
      </c>
      <c r="D213" s="30">
        <f t="shared" si="5"/>
        <v>10230.041624005984</v>
      </c>
      <c r="E213" s="30">
        <f>_xll.StatMean(D209:D212)</f>
        <v>10003.659134507619</v>
      </c>
      <c r="F213" s="30">
        <f t="shared" si="2"/>
        <v>226.38248949836452</v>
      </c>
      <c r="G213" s="30">
        <f t="shared" si="4"/>
        <v>12094.306232855839</v>
      </c>
      <c r="H213" s="30">
        <f t="shared" si="3"/>
        <v>273.69376714416103</v>
      </c>
    </row>
    <row r="214" spans="1:8" ht="15" customHeight="1" x14ac:dyDescent="0.25">
      <c r="A214" s="27" t="s">
        <v>159</v>
      </c>
      <c r="B214" s="30">
        <f xml:space="preserve"> 12729</f>
        <v>12729</v>
      </c>
      <c r="C214" s="30">
        <v>1.1674732208152445</v>
      </c>
      <c r="D214" s="30">
        <f t="shared" si="5"/>
        <v>10903.033811012267</v>
      </c>
      <c r="E214" s="30">
        <f>_xll.StatMean(D210:D213)</f>
        <v>10350.720069382585</v>
      </c>
      <c r="F214" s="30">
        <f t="shared" si="2"/>
        <v>552.31374162968132</v>
      </c>
      <c r="G214" s="30">
        <f t="shared" ref="G214:G245" si="6">E214*C214</f>
        <v>12084.188497159079</v>
      </c>
      <c r="H214" s="30">
        <f t="shared" si="3"/>
        <v>644.81150284092109</v>
      </c>
    </row>
    <row r="215" spans="1:8" ht="15" customHeight="1" x14ac:dyDescent="0.25">
      <c r="A215" s="27" t="s">
        <v>160</v>
      </c>
      <c r="B215" s="30">
        <f xml:space="preserve"> 10956</f>
        <v>10956</v>
      </c>
      <c r="C215" s="30">
        <v>0.96087205630662098</v>
      </c>
      <c r="D215" s="30">
        <f t="shared" si="5"/>
        <v>11402.142385233299</v>
      </c>
      <c r="E215" s="30">
        <f>_xll.StatMean(D211:D214)</f>
        <v>10096.087934421676</v>
      </c>
      <c r="F215" s="30">
        <f t="shared" ref="F215:F262" si="7">D215-E215</f>
        <v>1306.0544508116236</v>
      </c>
      <c r="G215" s="30">
        <f t="shared" si="6"/>
        <v>9701.0487742002206</v>
      </c>
      <c r="H215" s="30">
        <f t="shared" ref="H215:H262" si="8">B215-G215</f>
        <v>1254.9512257997794</v>
      </c>
    </row>
    <row r="216" spans="1:8" ht="15" customHeight="1" x14ac:dyDescent="0.25">
      <c r="A216" s="27" t="s">
        <v>161</v>
      </c>
      <c r="B216" s="30">
        <f xml:space="preserve"> 12069</f>
        <v>12069</v>
      </c>
      <c r="C216" s="30">
        <v>0.99213853165653609</v>
      </c>
      <c r="D216" s="30">
        <f t="shared" si="5"/>
        <v>12164.631868342869</v>
      </c>
      <c r="E216" s="30">
        <f>_xll.StatMean(D212:D215)</f>
        <v>10736.502329766754</v>
      </c>
      <c r="F216" s="30">
        <f t="shared" si="7"/>
        <v>1428.129538576115</v>
      </c>
      <c r="G216" s="30">
        <f t="shared" si="6"/>
        <v>10652.097656581765</v>
      </c>
      <c r="H216" s="30">
        <f t="shared" si="8"/>
        <v>1416.9023434182345</v>
      </c>
    </row>
    <row r="217" spans="1:8" ht="15" customHeight="1" x14ac:dyDescent="0.25">
      <c r="A217" s="27" t="s">
        <v>162</v>
      </c>
      <c r="B217" s="30">
        <f xml:space="preserve"> 9902</f>
        <v>9902</v>
      </c>
      <c r="C217" s="30">
        <v>0.86959779497816025</v>
      </c>
      <c r="D217" s="30">
        <f t="shared" si="5"/>
        <v>11386.873399614227</v>
      </c>
      <c r="E217" s="30">
        <f>_xll.StatMean(D213:D216)</f>
        <v>11174.962422148605</v>
      </c>
      <c r="F217" s="30">
        <f t="shared" si="7"/>
        <v>211.91097746562264</v>
      </c>
      <c r="G217" s="30">
        <f t="shared" si="6"/>
        <v>9717.7226812642275</v>
      </c>
      <c r="H217" s="30">
        <f t="shared" si="8"/>
        <v>184.2773187357725</v>
      </c>
    </row>
    <row r="218" spans="1:8" ht="15" customHeight="1" x14ac:dyDescent="0.25">
      <c r="A218" s="27" t="s">
        <v>163</v>
      </c>
      <c r="B218" s="30">
        <f xml:space="preserve"> 10091</f>
        <v>10091</v>
      </c>
      <c r="C218" s="30">
        <v>0.9108384700918547</v>
      </c>
      <c r="D218" s="30">
        <f t="shared" si="5"/>
        <v>11078.803027481217</v>
      </c>
      <c r="E218" s="30">
        <f>_xll.StatMean(D214:D217)</f>
        <v>11464.170366050665</v>
      </c>
      <c r="F218" s="30">
        <f t="shared" si="7"/>
        <v>-385.36733856944738</v>
      </c>
      <c r="G218" s="30">
        <f t="shared" si="6"/>
        <v>10442.007397085965</v>
      </c>
      <c r="H218" s="30">
        <f t="shared" si="8"/>
        <v>-351.00739708596484</v>
      </c>
    </row>
    <row r="219" spans="1:8" ht="15" customHeight="1" x14ac:dyDescent="0.25">
      <c r="A219" s="27" t="s">
        <v>164</v>
      </c>
      <c r="B219" s="30">
        <f xml:space="preserve"> 9769</f>
        <v>9769</v>
      </c>
      <c r="C219" s="30">
        <v>0.84712190854138225</v>
      </c>
      <c r="D219" s="30">
        <f t="shared" si="5"/>
        <v>11531.988373220996</v>
      </c>
      <c r="E219" s="30">
        <f>_xll.StatMean(D215:D218)</f>
        <v>11508.112670167904</v>
      </c>
      <c r="F219" s="30">
        <f t="shared" si="7"/>
        <v>23.875703053092366</v>
      </c>
      <c r="G219" s="30">
        <f t="shared" si="6"/>
        <v>9748.7743688618975</v>
      </c>
      <c r="H219" s="30">
        <f t="shared" si="8"/>
        <v>20.225631138102472</v>
      </c>
    </row>
    <row r="220" spans="1:8" ht="15" customHeight="1" x14ac:dyDescent="0.25">
      <c r="A220" s="27" t="s">
        <v>165</v>
      </c>
      <c r="B220" s="30">
        <f xml:space="preserve"> 8578</f>
        <v>8578</v>
      </c>
      <c r="C220" s="30">
        <v>0.90327235308033749</v>
      </c>
      <c r="D220" s="30">
        <f t="shared" si="5"/>
        <v>9496.5820339206912</v>
      </c>
      <c r="E220" s="30">
        <f>_xll.StatMean(D216:D219)</f>
        <v>11540.574167164828</v>
      </c>
      <c r="F220" s="30">
        <f t="shared" si="7"/>
        <v>-2043.9921332441372</v>
      </c>
      <c r="G220" s="30">
        <f t="shared" si="6"/>
        <v>10424.281583873131</v>
      </c>
      <c r="H220" s="30">
        <f t="shared" si="8"/>
        <v>-1846.2815838731312</v>
      </c>
    </row>
    <row r="221" spans="1:8" ht="15" customHeight="1" x14ac:dyDescent="0.25">
      <c r="A221" s="27" t="s">
        <v>166</v>
      </c>
      <c r="B221" s="30">
        <f xml:space="preserve"> 9763</f>
        <v>9763</v>
      </c>
      <c r="C221" s="30">
        <v>0.97853401683850749</v>
      </c>
      <c r="D221" s="30">
        <f t="shared" si="5"/>
        <v>9977.1697580251202</v>
      </c>
      <c r="E221" s="30">
        <f>_xll.StatMean(D217:D220)</f>
        <v>10873.561708559284</v>
      </c>
      <c r="F221" s="30">
        <f t="shared" si="7"/>
        <v>-896.3919505341637</v>
      </c>
      <c r="G221" s="30">
        <f t="shared" si="6"/>
        <v>10640.1500160179</v>
      </c>
      <c r="H221" s="30">
        <f t="shared" si="8"/>
        <v>-877.15001601790027</v>
      </c>
    </row>
    <row r="222" spans="1:8" ht="15" customHeight="1" x14ac:dyDescent="0.25">
      <c r="A222" s="27" t="s">
        <v>167</v>
      </c>
      <c r="B222" s="30">
        <f xml:space="preserve"> 8348</f>
        <v>8348</v>
      </c>
      <c r="C222" s="30">
        <v>1.0405515346828169</v>
      </c>
      <c r="D222" s="30">
        <f t="shared" si="5"/>
        <v>8022.6684808500668</v>
      </c>
      <c r="E222" s="30">
        <f>_xll.StatMean(D218:D221)</f>
        <v>10521.135798162006</v>
      </c>
      <c r="F222" s="30">
        <f t="shared" si="7"/>
        <v>-2498.467317311939</v>
      </c>
      <c r="G222" s="30">
        <f t="shared" si="6"/>
        <v>10947.784001383799</v>
      </c>
      <c r="H222" s="30">
        <f t="shared" si="8"/>
        <v>-2599.7840013837995</v>
      </c>
    </row>
    <row r="223" spans="1:8" ht="15" customHeight="1" x14ac:dyDescent="0.25">
      <c r="A223" s="27" t="s">
        <v>168</v>
      </c>
      <c r="B223" s="30">
        <f xml:space="preserve"> 9237</f>
        <v>9237</v>
      </c>
      <c r="C223" s="30">
        <v>1.0139715410282903</v>
      </c>
      <c r="D223" s="30">
        <f t="shared" si="5"/>
        <v>9109.7231295392758</v>
      </c>
      <c r="E223" s="30">
        <f>_xll.StatMean(D219:D222)</f>
        <v>9757.1021615042191</v>
      </c>
      <c r="F223" s="30">
        <f t="shared" si="7"/>
        <v>-647.37903196494335</v>
      </c>
      <c r="G223" s="30">
        <f t="shared" si="6"/>
        <v>9893.4239146708951</v>
      </c>
      <c r="H223" s="30">
        <f t="shared" si="8"/>
        <v>-656.4239146708951</v>
      </c>
    </row>
    <row r="224" spans="1:8" ht="15" customHeight="1" x14ac:dyDescent="0.25">
      <c r="A224" s="27" t="s">
        <v>169</v>
      </c>
      <c r="B224" s="30">
        <f xml:space="preserve"> 11204</f>
        <v>11204</v>
      </c>
      <c r="C224" s="30">
        <v>1.1066401628839515</v>
      </c>
      <c r="D224" s="30">
        <f t="shared" si="5"/>
        <v>10124.338855370925</v>
      </c>
      <c r="E224" s="30">
        <f>_xll.StatMean(D220:D223)</f>
        <v>9151.5358505837885</v>
      </c>
      <c r="F224" s="30">
        <f t="shared" si="7"/>
        <v>972.80300478713616</v>
      </c>
      <c r="G224" s="30">
        <f t="shared" si="6"/>
        <v>10127.457124328366</v>
      </c>
      <c r="H224" s="30">
        <f t="shared" si="8"/>
        <v>1076.5428756716337</v>
      </c>
    </row>
    <row r="225" spans="1:8" ht="15" customHeight="1" x14ac:dyDescent="0.25">
      <c r="A225" s="27" t="s">
        <v>170</v>
      </c>
      <c r="B225" s="30">
        <f xml:space="preserve"> 10737</f>
        <v>10737</v>
      </c>
      <c r="C225" s="30">
        <v>1.2089882382274035</v>
      </c>
      <c r="D225" s="30">
        <f t="shared" si="5"/>
        <v>8880.9796989773804</v>
      </c>
      <c r="E225" s="30">
        <f>_xll.StatMean(D221:D224)</f>
        <v>9308.4750559463464</v>
      </c>
      <c r="F225" s="30">
        <f t="shared" si="7"/>
        <v>-427.49535696896601</v>
      </c>
      <c r="G225" s="30">
        <f t="shared" si="6"/>
        <v>11253.836858472305</v>
      </c>
      <c r="H225" s="30">
        <f t="shared" si="8"/>
        <v>-516.83685847230481</v>
      </c>
    </row>
    <row r="226" spans="1:8" ht="15" customHeight="1" x14ac:dyDescent="0.25">
      <c r="A226" s="27" t="s">
        <v>171</v>
      </c>
      <c r="B226" s="30">
        <f xml:space="preserve"> 12276</f>
        <v>12276</v>
      </c>
      <c r="C226" s="30">
        <v>1.1674732208152445</v>
      </c>
      <c r="D226" s="30">
        <f t="shared" si="5"/>
        <v>10515.016345666319</v>
      </c>
      <c r="E226" s="30">
        <f>_xll.StatMean(D222:D225)</f>
        <v>9034.4275411844119</v>
      </c>
      <c r="F226" s="30">
        <f t="shared" si="7"/>
        <v>1480.5888044819076</v>
      </c>
      <c r="G226" s="30">
        <f t="shared" si="6"/>
        <v>10547.452219728515</v>
      </c>
      <c r="H226" s="30">
        <f t="shared" si="8"/>
        <v>1728.547780271485</v>
      </c>
    </row>
    <row r="227" spans="1:8" ht="15" customHeight="1" x14ac:dyDescent="0.25">
      <c r="A227" s="27" t="s">
        <v>172</v>
      </c>
      <c r="B227" s="30">
        <f xml:space="preserve"> 9230</f>
        <v>9230</v>
      </c>
      <c r="C227" s="30">
        <v>0.96087205630662098</v>
      </c>
      <c r="D227" s="30">
        <f t="shared" si="5"/>
        <v>9605.8574494070235</v>
      </c>
      <c r="E227" s="30">
        <f>_xll.StatMean(D223:D226)</f>
        <v>9657.514507388476</v>
      </c>
      <c r="F227" s="30">
        <f t="shared" si="7"/>
        <v>-51.657057981452454</v>
      </c>
      <c r="G227" s="30">
        <f t="shared" si="6"/>
        <v>9279.6358235253883</v>
      </c>
      <c r="H227" s="30">
        <f t="shared" si="8"/>
        <v>-49.635823525388332</v>
      </c>
    </row>
    <row r="228" spans="1:8" ht="15" customHeight="1" x14ac:dyDescent="0.25">
      <c r="A228" s="27" t="s">
        <v>173</v>
      </c>
      <c r="B228" s="30">
        <f xml:space="preserve"> 9405</f>
        <v>9405</v>
      </c>
      <c r="C228" s="30">
        <v>0.99213853165653609</v>
      </c>
      <c r="D228" s="30">
        <f t="shared" si="5"/>
        <v>9479.5229697377326</v>
      </c>
      <c r="E228" s="30">
        <f>_xll.StatMean(D224:D227)</f>
        <v>9781.5480873554116</v>
      </c>
      <c r="F228" s="30">
        <f t="shared" si="7"/>
        <v>-302.02511761767892</v>
      </c>
      <c r="G228" s="30">
        <f t="shared" si="6"/>
        <v>9704.6507567165972</v>
      </c>
      <c r="H228" s="30">
        <f t="shared" si="8"/>
        <v>-299.65075671659724</v>
      </c>
    </row>
    <row r="229" spans="1:8" ht="15" customHeight="1" x14ac:dyDescent="0.25">
      <c r="A229" s="27" t="s">
        <v>174</v>
      </c>
      <c r="B229" s="30">
        <f xml:space="preserve"> 10378</f>
        <v>10378</v>
      </c>
      <c r="C229" s="30">
        <v>0.86959779497816025</v>
      </c>
      <c r="D229" s="30">
        <f t="shared" si="5"/>
        <v>11934.252892465811</v>
      </c>
      <c r="E229" s="30">
        <f>_xll.StatMean(D225:D228)</f>
        <v>9620.3441159471149</v>
      </c>
      <c r="F229" s="30">
        <f t="shared" si="7"/>
        <v>2313.908776518696</v>
      </c>
      <c r="G229" s="30">
        <f t="shared" si="6"/>
        <v>8365.8300301587296</v>
      </c>
      <c r="H229" s="30">
        <f t="shared" si="8"/>
        <v>2012.1699698412704</v>
      </c>
    </row>
    <row r="230" spans="1:8" ht="15" customHeight="1" x14ac:dyDescent="0.25">
      <c r="A230" s="27" t="s">
        <v>175</v>
      </c>
      <c r="B230" s="30">
        <f xml:space="preserve"> 8827</f>
        <v>8827</v>
      </c>
      <c r="C230" s="30">
        <v>0.9108384700918547</v>
      </c>
      <c r="D230" s="30">
        <f t="shared" si="5"/>
        <v>9691.0706890869787</v>
      </c>
      <c r="E230" s="30">
        <f>_xll.StatMean(D226:D229)</f>
        <v>10383.66241431922</v>
      </c>
      <c r="F230" s="30">
        <f t="shared" si="7"/>
        <v>-692.59172523224152</v>
      </c>
      <c r="G230" s="30">
        <f t="shared" si="6"/>
        <v>9457.839187408812</v>
      </c>
      <c r="H230" s="30">
        <f t="shared" si="8"/>
        <v>-630.83918740881199</v>
      </c>
    </row>
    <row r="231" spans="1:8" ht="15" customHeight="1" x14ac:dyDescent="0.25">
      <c r="A231" s="27" t="s">
        <v>176</v>
      </c>
      <c r="B231" s="30">
        <f xml:space="preserve"> 8559</f>
        <v>8559</v>
      </c>
      <c r="C231" s="30">
        <v>0.84712190854138225</v>
      </c>
      <c r="D231" s="30">
        <f t="shared" si="5"/>
        <v>10103.622529061164</v>
      </c>
      <c r="E231" s="30">
        <f>_xll.StatMean(D227:D230)</f>
        <v>10177.676000174386</v>
      </c>
      <c r="F231" s="30">
        <f t="shared" si="7"/>
        <v>-74.053471113222258</v>
      </c>
      <c r="G231" s="30">
        <f t="shared" si="6"/>
        <v>8621.7323177835478</v>
      </c>
      <c r="H231" s="30">
        <f t="shared" si="8"/>
        <v>-62.732317783547842</v>
      </c>
    </row>
    <row r="232" spans="1:8" ht="15" customHeight="1" x14ac:dyDescent="0.25">
      <c r="A232" s="27" t="s">
        <v>177</v>
      </c>
      <c r="B232" s="30">
        <f xml:space="preserve"> 9143</f>
        <v>9143</v>
      </c>
      <c r="C232" s="30">
        <v>0.90327235308033749</v>
      </c>
      <c r="D232" s="30">
        <f t="shared" si="5"/>
        <v>10122.0855136555</v>
      </c>
      <c r="E232" s="30">
        <f>_xll.StatMean(D228:D231)</f>
        <v>10302.117270087921</v>
      </c>
      <c r="F232" s="30">
        <f t="shared" si="7"/>
        <v>-180.03175643242139</v>
      </c>
      <c r="G232" s="30">
        <f t="shared" si="6"/>
        <v>9305.6177082618997</v>
      </c>
      <c r="H232" s="30">
        <f t="shared" si="8"/>
        <v>-162.61770826189968</v>
      </c>
    </row>
    <row r="233" spans="1:8" ht="15" customHeight="1" x14ac:dyDescent="0.25">
      <c r="A233" s="27" t="s">
        <v>178</v>
      </c>
      <c r="B233" s="30">
        <f xml:space="preserve"> 9989</f>
        <v>9989</v>
      </c>
      <c r="C233" s="30">
        <v>0.97853401683850749</v>
      </c>
      <c r="D233" s="30">
        <f t="shared" si="5"/>
        <v>10208.127492872367</v>
      </c>
      <c r="E233" s="30">
        <f>_xll.StatMean(D229:D232)</f>
        <v>10462.757906067363</v>
      </c>
      <c r="F233" s="30">
        <f t="shared" si="7"/>
        <v>-254.63041319499644</v>
      </c>
      <c r="G233" s="30">
        <f t="shared" si="6"/>
        <v>10238.164521032948</v>
      </c>
      <c r="H233" s="30">
        <f t="shared" si="8"/>
        <v>-249.16452103294796</v>
      </c>
    </row>
    <row r="234" spans="1:8" ht="15" customHeight="1" x14ac:dyDescent="0.25">
      <c r="A234" s="27" t="s">
        <v>179</v>
      </c>
      <c r="B234" s="30">
        <f xml:space="preserve"> 9299</f>
        <v>9299</v>
      </c>
      <c r="C234" s="30">
        <v>1.0405515346828169</v>
      </c>
      <c r="D234" s="30">
        <f t="shared" si="5"/>
        <v>8936.6068763086696</v>
      </c>
      <c r="E234" s="30">
        <f>_xll.StatMean(D230:D233)</f>
        <v>10031.226556169002</v>
      </c>
      <c r="F234" s="30">
        <f t="shared" si="7"/>
        <v>-1094.6196798603323</v>
      </c>
      <c r="G234" s="30">
        <f t="shared" si="6"/>
        <v>10438.008187772683</v>
      </c>
      <c r="H234" s="30">
        <f t="shared" si="8"/>
        <v>-1139.0081877726825</v>
      </c>
    </row>
    <row r="235" spans="1:8" ht="15" customHeight="1" x14ac:dyDescent="0.25">
      <c r="A235" s="27" t="s">
        <v>180</v>
      </c>
      <c r="B235" s="30">
        <f xml:space="preserve"> 10524</f>
        <v>10524</v>
      </c>
      <c r="C235" s="30">
        <v>1.0139715410282903</v>
      </c>
      <c r="D235" s="30">
        <f t="shared" si="5"/>
        <v>10378.989522060338</v>
      </c>
      <c r="E235" s="30">
        <f>_xll.StatMean(D231:D234)</f>
        <v>9842.610602974426</v>
      </c>
      <c r="F235" s="30">
        <f t="shared" si="7"/>
        <v>536.37891908591155</v>
      </c>
      <c r="G235" s="30">
        <f t="shared" si="6"/>
        <v>9980.1270408393684</v>
      </c>
      <c r="H235" s="30">
        <f t="shared" si="8"/>
        <v>543.87295916063158</v>
      </c>
    </row>
    <row r="236" spans="1:8" ht="15" customHeight="1" x14ac:dyDescent="0.25">
      <c r="A236" s="27" t="s">
        <v>181</v>
      </c>
      <c r="B236" s="30">
        <f xml:space="preserve"> 12887</f>
        <v>12887</v>
      </c>
      <c r="C236" s="30">
        <v>1.1066401628839515</v>
      </c>
      <c r="D236" s="30">
        <f t="shared" si="5"/>
        <v>11645.158410314631</v>
      </c>
      <c r="E236" s="30">
        <f>_xll.StatMean(D232:D235)</f>
        <v>9911.4523512242195</v>
      </c>
      <c r="F236" s="30">
        <f t="shared" si="7"/>
        <v>1733.7060590904111</v>
      </c>
      <c r="G236" s="30">
        <f t="shared" si="6"/>
        <v>10968.411244375295</v>
      </c>
      <c r="H236" s="30">
        <f t="shared" si="8"/>
        <v>1918.5887556247053</v>
      </c>
    </row>
    <row r="237" spans="1:8" ht="15" customHeight="1" x14ac:dyDescent="0.25">
      <c r="A237" s="27" t="s">
        <v>182</v>
      </c>
      <c r="B237" s="30">
        <f xml:space="preserve"> 11145</f>
        <v>11145</v>
      </c>
      <c r="C237" s="30">
        <v>1.2089882382274035</v>
      </c>
      <c r="D237" s="30">
        <f t="shared" si="5"/>
        <v>9218.4519647110847</v>
      </c>
      <c r="E237" s="30">
        <f>_xll.StatMean(D233:D236)</f>
        <v>10292.220575389001</v>
      </c>
      <c r="F237" s="30">
        <f t="shared" si="7"/>
        <v>-1073.7686106779165</v>
      </c>
      <c r="G237" s="30">
        <f t="shared" si="6"/>
        <v>12443.173620887383</v>
      </c>
      <c r="H237" s="30">
        <f t="shared" si="8"/>
        <v>-1298.1736208873826</v>
      </c>
    </row>
    <row r="238" spans="1:8" ht="15" customHeight="1" x14ac:dyDescent="0.25">
      <c r="A238" s="27" t="s">
        <v>183</v>
      </c>
      <c r="B238" s="30">
        <f xml:space="preserve"> 11882</f>
        <v>11882</v>
      </c>
      <c r="C238" s="30">
        <v>1.1674732208152445</v>
      </c>
      <c r="D238" s="30">
        <f t="shared" si="5"/>
        <v>10177.535371391919</v>
      </c>
      <c r="E238" s="30">
        <f>_xll.StatMean(D234:D237)</f>
        <v>10044.801693348682</v>
      </c>
      <c r="F238" s="30">
        <f t="shared" si="7"/>
        <v>132.73367804323789</v>
      </c>
      <c r="G238" s="30">
        <f t="shared" si="6"/>
        <v>11727.036985384208</v>
      </c>
      <c r="H238" s="30">
        <f t="shared" si="8"/>
        <v>154.96301461579242</v>
      </c>
    </row>
    <row r="239" spans="1:8" ht="15" customHeight="1" x14ac:dyDescent="0.25">
      <c r="A239" s="27" t="s">
        <v>184</v>
      </c>
      <c r="B239" s="30">
        <f xml:space="preserve"> 9448</f>
        <v>9448</v>
      </c>
      <c r="C239" s="30">
        <v>0.96087205630662098</v>
      </c>
      <c r="D239" s="30">
        <f t="shared" si="5"/>
        <v>9832.7346892738424</v>
      </c>
      <c r="E239" s="30">
        <f>_xll.StatMean(D235:D238)</f>
        <v>10355.033817119493</v>
      </c>
      <c r="F239" s="30">
        <f t="shared" si="7"/>
        <v>-522.29912784565022</v>
      </c>
      <c r="G239" s="30">
        <f t="shared" si="6"/>
        <v>9949.8626369802059</v>
      </c>
      <c r="H239" s="30">
        <f t="shared" si="8"/>
        <v>-501.86263698020593</v>
      </c>
    </row>
    <row r="240" spans="1:8" ht="15" customHeight="1" x14ac:dyDescent="0.25">
      <c r="A240" s="27" t="s">
        <v>185</v>
      </c>
      <c r="B240" s="30">
        <f xml:space="preserve"> 7857</f>
        <v>7857</v>
      </c>
      <c r="C240" s="30">
        <v>0.99213853165653609</v>
      </c>
      <c r="D240" s="30">
        <f t="shared" si="5"/>
        <v>7919.2569881158279</v>
      </c>
      <c r="E240" s="30">
        <f>_xll.StatMean(D236:D239)</f>
        <v>10218.470108922869</v>
      </c>
      <c r="F240" s="30">
        <f t="shared" si="7"/>
        <v>-2299.2131208070414</v>
      </c>
      <c r="G240" s="30">
        <f t="shared" si="6"/>
        <v>10138.13792964294</v>
      </c>
      <c r="H240" s="30">
        <f t="shared" si="8"/>
        <v>-2281.1379296429404</v>
      </c>
    </row>
    <row r="241" spans="1:8" ht="15" customHeight="1" x14ac:dyDescent="0.25">
      <c r="A241" s="27" t="s">
        <v>186</v>
      </c>
      <c r="B241" s="30">
        <f xml:space="preserve"> 8482</f>
        <v>8482</v>
      </c>
      <c r="C241" s="30">
        <v>0.86959779497816025</v>
      </c>
      <c r="D241" s="30">
        <f t="shared" si="5"/>
        <v>9753.9345764015234</v>
      </c>
      <c r="E241" s="30">
        <f>_xll.StatMean(D237:D240)</f>
        <v>9286.9947533731684</v>
      </c>
      <c r="F241" s="30">
        <f t="shared" si="7"/>
        <v>466.93982302835502</v>
      </c>
      <c r="G241" s="30">
        <f t="shared" si="6"/>
        <v>8075.9501595070506</v>
      </c>
      <c r="H241" s="30">
        <f t="shared" si="8"/>
        <v>406.04984049294944</v>
      </c>
    </row>
    <row r="242" spans="1:8" ht="15" customHeight="1" x14ac:dyDescent="0.25">
      <c r="A242" s="27" t="s">
        <v>187</v>
      </c>
      <c r="B242" s="30">
        <f xml:space="preserve"> 9064</f>
        <v>9064</v>
      </c>
      <c r="C242" s="30">
        <v>0.9108384700918547</v>
      </c>
      <c r="D242" s="30">
        <f t="shared" si="5"/>
        <v>9951.2705025358991</v>
      </c>
      <c r="E242" s="30">
        <f>_xll.StatMean(D238:D241)</f>
        <v>9420.8654062957776</v>
      </c>
      <c r="F242" s="30">
        <f t="shared" si="7"/>
        <v>530.40509624012157</v>
      </c>
      <c r="G242" s="30">
        <f t="shared" si="6"/>
        <v>8580.8866336117244</v>
      </c>
      <c r="H242" s="30">
        <f t="shared" si="8"/>
        <v>483.11336638827561</v>
      </c>
    </row>
    <row r="243" spans="1:8" ht="15" customHeight="1" x14ac:dyDescent="0.25">
      <c r="A243" s="27" t="s">
        <v>188</v>
      </c>
      <c r="B243" s="30">
        <f xml:space="preserve"> 7591</f>
        <v>7591</v>
      </c>
      <c r="C243" s="30">
        <v>0.84712190854138225</v>
      </c>
      <c r="D243" s="30">
        <f t="shared" si="5"/>
        <v>8960.9298537332979</v>
      </c>
      <c r="E243" s="30">
        <f>_xll.StatMean(D239:D242)</f>
        <v>9364.2991890817721</v>
      </c>
      <c r="F243" s="30">
        <f t="shared" si="7"/>
        <v>-403.36933534847412</v>
      </c>
      <c r="G243" s="30">
        <f t="shared" si="6"/>
        <v>7932.7030012074692</v>
      </c>
      <c r="H243" s="30">
        <f t="shared" si="8"/>
        <v>-341.70300120746924</v>
      </c>
    </row>
    <row r="244" spans="1:8" ht="15" customHeight="1" x14ac:dyDescent="0.25">
      <c r="A244" s="27" t="s">
        <v>189</v>
      </c>
      <c r="B244" s="30">
        <f xml:space="preserve"> 8801</f>
        <v>8801</v>
      </c>
      <c r="C244" s="30">
        <v>0.90327235308033749</v>
      </c>
      <c r="D244" s="30">
        <f t="shared" si="5"/>
        <v>9743.462168400094</v>
      </c>
      <c r="E244" s="30">
        <f>_xll.StatMean(D240:D243)</f>
        <v>9146.3479801966369</v>
      </c>
      <c r="F244" s="30">
        <f t="shared" si="7"/>
        <v>597.11418820345716</v>
      </c>
      <c r="G244" s="30">
        <f t="shared" si="6"/>
        <v>8261.6432621638087</v>
      </c>
      <c r="H244" s="30">
        <f t="shared" si="8"/>
        <v>539.35673783619131</v>
      </c>
    </row>
    <row r="245" spans="1:8" ht="15" customHeight="1" x14ac:dyDescent="0.25">
      <c r="A245" s="27" t="s">
        <v>190</v>
      </c>
      <c r="B245" s="30">
        <f xml:space="preserve"> 10634</f>
        <v>10634</v>
      </c>
      <c r="C245" s="30">
        <v>0.97853401683850749</v>
      </c>
      <c r="D245" s="30">
        <f t="shared" si="5"/>
        <v>10867.276780378892</v>
      </c>
      <c r="E245" s="30">
        <f>_xll.StatMean(D241:D244)</f>
        <v>9602.3992752677041</v>
      </c>
      <c r="F245" s="30">
        <f t="shared" si="7"/>
        <v>1264.8775051111879</v>
      </c>
      <c r="G245" s="30">
        <f t="shared" si="6"/>
        <v>9396.2743341148798</v>
      </c>
      <c r="H245" s="30">
        <f t="shared" si="8"/>
        <v>1237.7256658851202</v>
      </c>
    </row>
    <row r="246" spans="1:8" ht="15" customHeight="1" x14ac:dyDescent="0.25">
      <c r="A246" s="27" t="s">
        <v>191</v>
      </c>
      <c r="B246" s="30">
        <f xml:space="preserve"> 9951</f>
        <v>9951</v>
      </c>
      <c r="C246" s="30">
        <v>1.0405515346828169</v>
      </c>
      <c r="D246" s="30">
        <f t="shared" si="5"/>
        <v>9563.1976584737677</v>
      </c>
      <c r="E246" s="30">
        <f>_xll.StatMean(D242:D245)</f>
        <v>9880.7348262620471</v>
      </c>
      <c r="F246" s="30">
        <f t="shared" si="7"/>
        <v>-317.53716778827948</v>
      </c>
      <c r="G246" s="30">
        <f t="shared" ref="G246:G270" si="9">E246*C246</f>
        <v>10281.41378726093</v>
      </c>
      <c r="H246" s="30">
        <f t="shared" si="8"/>
        <v>-330.41378726092989</v>
      </c>
    </row>
    <row r="247" spans="1:8" ht="15" customHeight="1" x14ac:dyDescent="0.25">
      <c r="A247" s="27" t="s">
        <v>192</v>
      </c>
      <c r="B247" s="30">
        <f xml:space="preserve"> 11214</f>
        <v>11214</v>
      </c>
      <c r="C247" s="30">
        <v>1.0139715410282903</v>
      </c>
      <c r="D247" s="30">
        <f t="shared" si="5"/>
        <v>11059.481993575127</v>
      </c>
      <c r="E247" s="30">
        <f>_xll.StatMean(D243:D246)</f>
        <v>9783.7166152465124</v>
      </c>
      <c r="F247" s="30">
        <f t="shared" si="7"/>
        <v>1275.765378328615</v>
      </c>
      <c r="G247" s="30">
        <f t="shared" si="9"/>
        <v>9920.4102133455945</v>
      </c>
      <c r="H247" s="30">
        <f t="shared" si="8"/>
        <v>1293.5897866544055</v>
      </c>
    </row>
    <row r="248" spans="1:8" ht="15" customHeight="1" x14ac:dyDescent="0.25">
      <c r="A248" s="27" t="s">
        <v>193</v>
      </c>
      <c r="B248" s="30">
        <f xml:space="preserve"> 10990</f>
        <v>10990</v>
      </c>
      <c r="C248" s="30">
        <v>1.1066401628839515</v>
      </c>
      <c r="D248" s="30">
        <f t="shared" si="5"/>
        <v>9930.9607301433844</v>
      </c>
      <c r="E248" s="30">
        <f>_xll.StatMean(D244:D247)</f>
        <v>10308.354650206969</v>
      </c>
      <c r="F248" s="30">
        <f t="shared" si="7"/>
        <v>-377.39392006358503</v>
      </c>
      <c r="G248" s="30">
        <f t="shared" si="9"/>
        <v>11407.639269170579</v>
      </c>
      <c r="H248" s="30">
        <f t="shared" si="8"/>
        <v>-417.6392691705787</v>
      </c>
    </row>
    <row r="249" spans="1:8" ht="15" customHeight="1" x14ac:dyDescent="0.25">
      <c r="A249" s="27" t="s">
        <v>194</v>
      </c>
      <c r="B249" s="30">
        <f xml:space="preserve"> 11975</f>
        <v>11975</v>
      </c>
      <c r="C249" s="30">
        <v>1.2089882382274035</v>
      </c>
      <c r="D249" s="30">
        <f t="shared" si="5"/>
        <v>9904.9764268654308</v>
      </c>
      <c r="E249" s="30">
        <f>_xll.StatMean(D245:D248)</f>
        <v>10355.229290642794</v>
      </c>
      <c r="F249" s="30">
        <f t="shared" si="7"/>
        <v>-450.25286377736302</v>
      </c>
      <c r="G249" s="30">
        <f t="shared" si="9"/>
        <v>12519.350416535037</v>
      </c>
      <c r="H249" s="30">
        <f t="shared" si="8"/>
        <v>-544.35041653503686</v>
      </c>
    </row>
    <row r="250" spans="1:8" ht="15" customHeight="1" x14ac:dyDescent="0.25">
      <c r="A250" s="27" t="s">
        <v>195</v>
      </c>
      <c r="B250" s="30">
        <f xml:space="preserve"> 12137</f>
        <v>12137</v>
      </c>
      <c r="C250" s="30">
        <v>1.1674732208152445</v>
      </c>
      <c r="D250" s="30">
        <f t="shared" si="5"/>
        <v>10395.955798904539</v>
      </c>
      <c r="E250" s="30">
        <f>_xll.StatMean(D246:D249)</f>
        <v>10114.654202264428</v>
      </c>
      <c r="F250" s="30">
        <f t="shared" si="7"/>
        <v>281.3015966401108</v>
      </c>
      <c r="G250" s="30">
        <f t="shared" si="9"/>
        <v>11808.587918950099</v>
      </c>
      <c r="H250" s="30">
        <f t="shared" si="8"/>
        <v>328.41208104990073</v>
      </c>
    </row>
    <row r="251" spans="1:8" ht="15" customHeight="1" x14ac:dyDescent="0.25">
      <c r="A251" s="27" t="s">
        <v>196</v>
      </c>
      <c r="B251" s="30">
        <f xml:space="preserve"> 10892</f>
        <v>10892</v>
      </c>
      <c r="C251" s="30">
        <v>0.96087205630662098</v>
      </c>
      <c r="D251" s="30">
        <f t="shared" si="5"/>
        <v>11335.536223070563</v>
      </c>
      <c r="E251" s="30">
        <f>_xll.StatMean(D247:D250)</f>
        <v>10322.843737372121</v>
      </c>
      <c r="F251" s="30">
        <f t="shared" si="7"/>
        <v>1012.6924856984424</v>
      </c>
      <c r="G251" s="30">
        <f t="shared" si="9"/>
        <v>9918.9320888606744</v>
      </c>
      <c r="H251" s="30">
        <f t="shared" si="8"/>
        <v>973.06791113932559</v>
      </c>
    </row>
    <row r="252" spans="1:8" ht="15" customHeight="1" x14ac:dyDescent="0.25">
      <c r="A252" s="27" t="s">
        <v>197</v>
      </c>
      <c r="B252" s="30">
        <f xml:space="preserve"> 11249</f>
        <v>11249</v>
      </c>
      <c r="C252" s="30">
        <v>0.99213853165653609</v>
      </c>
      <c r="D252" s="30">
        <f t="shared" si="5"/>
        <v>11338.134384537985</v>
      </c>
      <c r="E252" s="30">
        <f>_xll.StatMean(D248:D251)</f>
        <v>10391.85729474598</v>
      </c>
      <c r="F252" s="30">
        <f t="shared" si="7"/>
        <v>946.27708979200543</v>
      </c>
      <c r="G252" s="30">
        <f t="shared" si="9"/>
        <v>10310.16203759354</v>
      </c>
      <c r="H252" s="30">
        <f t="shared" si="8"/>
        <v>938.83796240646006</v>
      </c>
    </row>
    <row r="253" spans="1:8" ht="15" customHeight="1" x14ac:dyDescent="0.25">
      <c r="A253" s="27" t="s">
        <v>198</v>
      </c>
      <c r="B253" s="30">
        <f xml:space="preserve"> 7531</f>
        <v>7531</v>
      </c>
      <c r="C253" s="30">
        <v>0.86959779497816025</v>
      </c>
      <c r="D253" s="30">
        <f t="shared" si="5"/>
        <v>8660.3255476161121</v>
      </c>
      <c r="E253" s="30">
        <f>_xll.StatMean(D249:D252)</f>
        <v>10743.65070834463</v>
      </c>
      <c r="F253" s="30">
        <f t="shared" si="7"/>
        <v>-2083.3251607285183</v>
      </c>
      <c r="G253" s="30">
        <f t="shared" si="9"/>
        <v>9342.6549659920402</v>
      </c>
      <c r="H253" s="30">
        <f t="shared" si="8"/>
        <v>-1811.6549659920402</v>
      </c>
    </row>
    <row r="254" spans="1:8" ht="15" customHeight="1" x14ac:dyDescent="0.25">
      <c r="A254" s="27" t="s">
        <v>199</v>
      </c>
      <c r="B254" s="30">
        <f xml:space="preserve"> 7992</f>
        <v>7992</v>
      </c>
      <c r="C254" s="30">
        <v>0.9108384700918547</v>
      </c>
      <c r="D254" s="30">
        <f t="shared" si="5"/>
        <v>8774.3329497205323</v>
      </c>
      <c r="E254" s="30">
        <f>_xll.StatMean(D250:D253)</f>
        <v>10432.487988532299</v>
      </c>
      <c r="F254" s="30">
        <f t="shared" si="7"/>
        <v>-1658.1550388117666</v>
      </c>
      <c r="G254" s="30">
        <f t="shared" si="9"/>
        <v>9502.3113987264096</v>
      </c>
      <c r="H254" s="30">
        <f t="shared" si="8"/>
        <v>-1510.3113987264096</v>
      </c>
    </row>
    <row r="255" spans="1:8" ht="15" customHeight="1" x14ac:dyDescent="0.25">
      <c r="A255" s="27" t="s">
        <v>200</v>
      </c>
      <c r="B255" s="30">
        <f xml:space="preserve"> 9230</f>
        <v>9230</v>
      </c>
      <c r="C255" s="30">
        <v>0.84712190854138225</v>
      </c>
      <c r="D255" s="30">
        <f t="shared" si="5"/>
        <v>10895.716315367979</v>
      </c>
      <c r="E255" s="30">
        <f>_xll.StatMean(D251:D254)</f>
        <v>10027.082276236299</v>
      </c>
      <c r="F255" s="30">
        <f t="shared" si="7"/>
        <v>868.63403913168077</v>
      </c>
      <c r="G255" s="30">
        <f t="shared" si="9"/>
        <v>8494.16107494676</v>
      </c>
      <c r="H255" s="30">
        <f t="shared" si="8"/>
        <v>735.83892505324002</v>
      </c>
    </row>
    <row r="256" spans="1:8" ht="15" customHeight="1" x14ac:dyDescent="0.25">
      <c r="A256" s="27" t="s">
        <v>201</v>
      </c>
      <c r="B256" s="30">
        <f xml:space="preserve"> 10123</f>
        <v>10123</v>
      </c>
      <c r="C256" s="30">
        <v>0.90327235308033749</v>
      </c>
      <c r="D256" s="30">
        <f t="shared" si="5"/>
        <v>11207.029602399063</v>
      </c>
      <c r="E256" s="30">
        <f>_xll.StatMean(D252:D255)</f>
        <v>9917.1272993106522</v>
      </c>
      <c r="F256" s="30">
        <f t="shared" si="7"/>
        <v>1289.9023030884109</v>
      </c>
      <c r="G256" s="30">
        <f t="shared" si="9"/>
        <v>8957.8669114455861</v>
      </c>
      <c r="H256" s="30">
        <f t="shared" si="8"/>
        <v>1165.1330885544139</v>
      </c>
    </row>
    <row r="257" spans="1:8" ht="15" customHeight="1" x14ac:dyDescent="0.25">
      <c r="A257" s="27" t="s">
        <v>202</v>
      </c>
      <c r="B257" s="30">
        <f xml:space="preserve"> 11419</f>
        <v>11419</v>
      </c>
      <c r="C257" s="30">
        <v>0.97853401683850749</v>
      </c>
      <c r="D257" s="30">
        <f t="shared" si="5"/>
        <v>11669.497231065128</v>
      </c>
      <c r="E257" s="30">
        <f>_xll.StatMean(D253:D256)</f>
        <v>9884.3511037759217</v>
      </c>
      <c r="F257" s="30">
        <f t="shared" si="7"/>
        <v>1785.1461272892066</v>
      </c>
      <c r="G257" s="30">
        <f t="shared" si="9"/>
        <v>9672.1737894199887</v>
      </c>
      <c r="H257" s="30">
        <f t="shared" si="8"/>
        <v>1746.8262105800113</v>
      </c>
    </row>
    <row r="258" spans="1:8" ht="15" customHeight="1" x14ac:dyDescent="0.25">
      <c r="A258" s="27" t="s">
        <v>203</v>
      </c>
      <c r="B258" s="30">
        <f xml:space="preserve"> 12102</f>
        <v>12102</v>
      </c>
      <c r="C258" s="30">
        <v>1.0405515346828169</v>
      </c>
      <c r="D258" s="30">
        <f t="shared" si="5"/>
        <v>11630.370622334392</v>
      </c>
      <c r="E258" s="30">
        <f>_xll.StatMean(D254:D257)</f>
        <v>10636.644024638175</v>
      </c>
      <c r="F258" s="30">
        <f t="shared" si="7"/>
        <v>993.72659769621714</v>
      </c>
      <c r="G258" s="30">
        <f t="shared" si="9"/>
        <v>11067.976263712068</v>
      </c>
      <c r="H258" s="30">
        <f t="shared" si="8"/>
        <v>1034.0237362879325</v>
      </c>
    </row>
    <row r="259" spans="1:8" ht="15" customHeight="1" x14ac:dyDescent="0.25">
      <c r="A259" s="27" t="s">
        <v>204</v>
      </c>
      <c r="B259" s="30">
        <f xml:space="preserve"> 10903</f>
        <v>10903</v>
      </c>
      <c r="C259" s="30">
        <v>1.0139715410282903</v>
      </c>
      <c r="D259" s="30">
        <f t="shared" si="5"/>
        <v>10752.767270906867</v>
      </c>
      <c r="E259" s="30">
        <f>_xll.StatMean(D255:D258)</f>
        <v>11350.653442791641</v>
      </c>
      <c r="F259" s="30">
        <f t="shared" si="7"/>
        <v>-597.88617188477474</v>
      </c>
      <c r="G259" s="30">
        <f t="shared" si="9"/>
        <v>11509.23956306551</v>
      </c>
      <c r="H259" s="30">
        <f t="shared" si="8"/>
        <v>-606.23956306551008</v>
      </c>
    </row>
    <row r="260" spans="1:8" ht="15" customHeight="1" x14ac:dyDescent="0.25">
      <c r="A260" s="27" t="s">
        <v>205</v>
      </c>
      <c r="B260" s="30">
        <f xml:space="preserve"> 12513</f>
        <v>12513</v>
      </c>
      <c r="C260" s="30">
        <v>1.1066401628839515</v>
      </c>
      <c r="D260" s="30">
        <f t="shared" si="5"/>
        <v>11307.198509216028</v>
      </c>
      <c r="E260" s="30">
        <f>_xll.StatMean(D256:D259)</f>
        <v>11314.916181676363</v>
      </c>
      <c r="F260" s="30">
        <f t="shared" si="7"/>
        <v>-7.7176724603341427</v>
      </c>
      <c r="G260" s="30">
        <f t="shared" si="9"/>
        <v>12521.540686308588</v>
      </c>
      <c r="H260" s="30">
        <f t="shared" si="8"/>
        <v>-8.5406863085881923</v>
      </c>
    </row>
    <row r="261" spans="1:8" ht="15" customHeight="1" x14ac:dyDescent="0.25">
      <c r="A261" s="27" t="s">
        <v>206</v>
      </c>
      <c r="B261" s="30">
        <f xml:space="preserve"> 10696</f>
        <v>10696</v>
      </c>
      <c r="C261" s="30">
        <v>1.2089882382274035</v>
      </c>
      <c r="D261" s="30">
        <f t="shared" si="5"/>
        <v>8847.0670448227684</v>
      </c>
      <c r="E261" s="30">
        <f>_xll.StatMean(D257:D260)</f>
        <v>11339.958408380604</v>
      </c>
      <c r="F261" s="30">
        <f t="shared" si="7"/>
        <v>-2492.8913635578356</v>
      </c>
      <c r="G261" s="30">
        <f t="shared" si="9"/>
        <v>13709.876337720098</v>
      </c>
      <c r="H261" s="30">
        <f t="shared" si="8"/>
        <v>-3013.8763377200976</v>
      </c>
    </row>
    <row r="262" spans="1:8" ht="15" customHeight="1" x14ac:dyDescent="0.25">
      <c r="A262" s="31" t="s">
        <v>207</v>
      </c>
      <c r="B262" s="32">
        <f xml:space="preserve"> 13758</f>
        <v>13758</v>
      </c>
      <c r="C262" s="32">
        <v>1.1674732208152445</v>
      </c>
      <c r="D262" s="32">
        <f t="shared" si="5"/>
        <v>11784.424477327893</v>
      </c>
      <c r="E262" s="32">
        <f>_xll.StatMean(D258:D261)</f>
        <v>10634.350861820014</v>
      </c>
      <c r="F262" s="32">
        <f t="shared" si="7"/>
        <v>1150.0736155078794</v>
      </c>
      <c r="G262" s="32">
        <f t="shared" si="9"/>
        <v>12415.319851928383</v>
      </c>
      <c r="H262" s="32">
        <f t="shared" si="8"/>
        <v>1342.6801480716167</v>
      </c>
    </row>
    <row r="263" spans="1:8" ht="15" customHeight="1" x14ac:dyDescent="0.25">
      <c r="A263" s="27" t="s">
        <v>208</v>
      </c>
      <c r="B263" s="30"/>
      <c r="C263" s="30">
        <v>0.96087205630662098</v>
      </c>
      <c r="D263" s="30"/>
      <c r="E263" s="30">
        <f>_xll.StatMean(D259:D262)</f>
        <v>10672.864325568389</v>
      </c>
      <c r="F263" s="30"/>
      <c r="G263" s="30">
        <f t="shared" si="9"/>
        <v>10255.257091190475</v>
      </c>
      <c r="H263" s="30"/>
    </row>
    <row r="264" spans="1:8" ht="15" customHeight="1" x14ac:dyDescent="0.25">
      <c r="A264" s="27" t="s">
        <v>213</v>
      </c>
      <c r="B264" s="30"/>
      <c r="C264" s="30">
        <v>0.99213853165653609</v>
      </c>
      <c r="D264" s="30"/>
      <c r="E264" s="30">
        <f>_xll.StatMean(D260:D262,E263)</f>
        <v>10652.888589233771</v>
      </c>
      <c r="F264" s="30"/>
      <c r="G264" s="30">
        <f t="shared" si="9"/>
        <v>10569.141242823061</v>
      </c>
      <c r="H264" s="30"/>
    </row>
    <row r="265" spans="1:8" ht="15" customHeight="1" x14ac:dyDescent="0.25">
      <c r="A265" s="27" t="s">
        <v>214</v>
      </c>
      <c r="B265" s="30"/>
      <c r="C265" s="30">
        <v>0.86959779497816025</v>
      </c>
      <c r="D265" s="30"/>
      <c r="E265" s="30">
        <f>_xll.StatMean(D261:D262,E263:E264)</f>
        <v>10489.311109238206</v>
      </c>
      <c r="F265" s="30"/>
      <c r="G265" s="30">
        <f t="shared" si="9"/>
        <v>9121.4818114334648</v>
      </c>
      <c r="H265" s="30"/>
    </row>
    <row r="266" spans="1:8" ht="15" customHeight="1" x14ac:dyDescent="0.25">
      <c r="A266" s="27" t="s">
        <v>215</v>
      </c>
      <c r="B266" s="30"/>
      <c r="C266" s="30">
        <v>0.9108384700918547</v>
      </c>
      <c r="D266" s="30"/>
      <c r="E266" s="30">
        <f>_xll.StatMean(D262,E263:E265)</f>
        <v>10899.872125342066</v>
      </c>
      <c r="F266" s="30"/>
      <c r="G266" s="30">
        <f t="shared" si="9"/>
        <v>9928.0228508434211</v>
      </c>
      <c r="H266" s="30"/>
    </row>
    <row r="267" spans="1:8" ht="15" customHeight="1" x14ac:dyDescent="0.25">
      <c r="A267" s="27" t="s">
        <v>216</v>
      </c>
      <c r="B267" s="30"/>
      <c r="C267" s="30">
        <v>0.84712190854138225</v>
      </c>
      <c r="D267" s="30"/>
      <c r="E267" s="30">
        <f>_xll.StatMean(E263:E266)</f>
        <v>10678.734037345608</v>
      </c>
      <c r="F267" s="30"/>
      <c r="G267" s="30">
        <f t="shared" si="9"/>
        <v>9046.1895585220318</v>
      </c>
      <c r="H267" s="30"/>
    </row>
    <row r="268" spans="1:8" ht="15" customHeight="1" x14ac:dyDescent="0.25">
      <c r="A268" s="27" t="s">
        <v>217</v>
      </c>
      <c r="B268" s="30"/>
      <c r="C268" s="30">
        <v>0.90327235308033749</v>
      </c>
      <c r="D268" s="30"/>
      <c r="E268" s="30">
        <f>_xll.StatMean(E264:E267)</f>
        <v>10680.201465289912</v>
      </c>
      <c r="F268" s="30"/>
      <c r="G268" s="30">
        <f t="shared" si="9"/>
        <v>9647.1307089244874</v>
      </c>
      <c r="H268" s="30"/>
    </row>
    <row r="269" spans="1:8" ht="15" customHeight="1" x14ac:dyDescent="0.25">
      <c r="A269" s="27" t="s">
        <v>218</v>
      </c>
      <c r="B269" s="30"/>
      <c r="C269" s="30">
        <v>0.97853401683850749</v>
      </c>
      <c r="D269" s="30"/>
      <c r="E269" s="30">
        <f>_xll.StatMean(E265:E268)</f>
        <v>10687.029684303947</v>
      </c>
      <c r="F269" s="30"/>
      <c r="G269" s="30">
        <f t="shared" si="9"/>
        <v>10457.622085054309</v>
      </c>
      <c r="H269" s="30"/>
    </row>
    <row r="270" spans="1:8" ht="15" customHeight="1" x14ac:dyDescent="0.25">
      <c r="A270" s="27" t="s">
        <v>219</v>
      </c>
      <c r="B270" s="30"/>
      <c r="C270" s="30">
        <v>1.0405515346828169</v>
      </c>
      <c r="D270" s="30"/>
      <c r="E270" s="30">
        <f>_xll.StatMean(E266:E269)</f>
        <v>10736.459328070385</v>
      </c>
      <c r="F270" s="30"/>
      <c r="G270" s="30">
        <f t="shared" si="9"/>
        <v>11171.839230883284</v>
      </c>
      <c r="H270" s="30"/>
    </row>
  </sheetData>
  <pageMargins left="0.7" right="0.7" top="0.75" bottom="0.75" header="0.3" footer="0.3"/>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DFD078B6E951A45BB1C82C2FC9186A9" ma:contentTypeVersion="3" ma:contentTypeDescription="Create a new document." ma:contentTypeScope="" ma:versionID="9a7bf952fc9da68a4d4342a199bc638e">
  <xsd:schema xmlns:xsd="http://www.w3.org/2001/XMLSchema" xmlns:xs="http://www.w3.org/2001/XMLSchema" xmlns:p="http://schemas.microsoft.com/office/2006/metadata/properties" xmlns:ns3="689360f1-9a5b-4f5a-b6d2-d97f61f8d3b3" targetNamespace="http://schemas.microsoft.com/office/2006/metadata/properties" ma:root="true" ma:fieldsID="2ea4a9a0d16d8fd10589b3834a95396c" ns3:_="">
    <xsd:import namespace="689360f1-9a5b-4f5a-b6d2-d97f61f8d3b3"/>
    <xsd:element name="properties">
      <xsd:complexType>
        <xsd:sequence>
          <xsd:element name="documentManagement">
            <xsd:complexType>
              <xsd:all>
                <xsd:element ref="ns3:MediaServiceMetadata" minOccurs="0"/>
                <xsd:element ref="ns3:MediaServiceFastMetadata"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9360f1-9a5b-4f5a-b6d2-d97f61f8d3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689360f1-9a5b-4f5a-b6d2-d97f61f8d3b3" xsi:nil="true"/>
  </documentManagement>
</p:properties>
</file>

<file path=customXml/itemProps1.xml><?xml version="1.0" encoding="utf-8"?>
<ds:datastoreItem xmlns:ds="http://schemas.openxmlformats.org/officeDocument/2006/customXml" ds:itemID="{1F89B953-68A9-49CD-94E7-67BE91BEA7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9360f1-9a5b-4f5a-b6d2-d97f61f8d3b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A73E3-9BB9-486E-85E0-8A387844BF8A}">
  <ds:schemaRefs>
    <ds:schemaRef ds:uri="http://schemas.microsoft.com/sharepoint/v3/contenttype/forms"/>
  </ds:schemaRefs>
</ds:datastoreItem>
</file>

<file path=customXml/itemProps3.xml><?xml version="1.0" encoding="utf-8"?>
<ds:datastoreItem xmlns:ds="http://schemas.openxmlformats.org/officeDocument/2006/customXml" ds:itemID="{7F55DFA2-942F-452F-B7A7-9465E1395E7E}">
  <ds:schemaRefs>
    <ds:schemaRef ds:uri="http://schemas.openxmlformats.org/package/2006/metadata/core-properties"/>
    <ds:schemaRef ds:uri="http://purl.org/dc/terms/"/>
    <ds:schemaRef ds:uri="689360f1-9a5b-4f5a-b6d2-d97f61f8d3b3"/>
    <ds:schemaRef ds:uri="http://purl.org/dc/dcmitype/"/>
    <ds:schemaRef ds:uri="http://schemas.microsoft.com/office/infopath/2007/PartnerControls"/>
    <ds:schemaRef ds:uri="http://schemas.microsoft.com/office/2006/metadata/properties"/>
    <ds:schemaRef ds:uri="http://www.w3.org/XML/1998/namespace"/>
    <ds:schemaRef ds:uri="http://schemas.microsoft.com/office/2006/documentManagement/typ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40</vt:i4>
      </vt:variant>
      <vt:variant>
        <vt:lpstr>Named Ranges</vt:lpstr>
      </vt:variant>
      <vt:variant>
        <vt:i4>40</vt:i4>
      </vt:variant>
    </vt:vector>
  </HeadingPairs>
  <TitlesOfParts>
    <vt:vector size="80" baseType="lpstr">
      <vt:lpstr>Problem 4 a(1)</vt:lpstr>
      <vt:lpstr>Ressiduals for each region</vt:lpstr>
      <vt:lpstr>Time series data pivit table</vt:lpstr>
      <vt:lpstr>_PalUtilTempWorksheet</vt:lpstr>
      <vt:lpstr>Time Series North a(1)</vt:lpstr>
      <vt:lpstr>Time Series South a(1)</vt:lpstr>
      <vt:lpstr>Time series east a(1)</vt:lpstr>
      <vt:lpstr>Time Series West a(1)</vt:lpstr>
      <vt:lpstr>Moving Averages Ds(East) a(3)</vt:lpstr>
      <vt:lpstr>Expo.Smoothing Ds(East) a(3)</vt:lpstr>
      <vt:lpstr>Winters(East)</vt:lpstr>
      <vt:lpstr>Moving average(East)</vt:lpstr>
      <vt:lpstr>Simple Expo.(East)</vt:lpstr>
      <vt:lpstr>Holt's Expo. Ds (East)</vt:lpstr>
      <vt:lpstr>Winter's Forecaset(North) a(3)</vt:lpstr>
      <vt:lpstr>Moving averages  DS(North)</vt:lpstr>
      <vt:lpstr>Moving average DS(south)</vt:lpstr>
      <vt:lpstr>Holt's EXpo DS(South)</vt:lpstr>
      <vt:lpstr>Winter's Forecast(South) a(3)</vt:lpstr>
      <vt:lpstr>Simple Expo.(South)</vt:lpstr>
      <vt:lpstr>Winter's Forecast(West) a(3)</vt:lpstr>
      <vt:lpstr>_STDS_DG13AF8C24</vt:lpstr>
      <vt:lpstr>_STDS_DG1A945530</vt:lpstr>
      <vt:lpstr>_STDS_DG1E9F5B1E</vt:lpstr>
      <vt:lpstr>_STDS_DG270E76AF</vt:lpstr>
      <vt:lpstr>_STDS_DG2CCBF83C</vt:lpstr>
      <vt:lpstr>_STDS_DG392A1526</vt:lpstr>
      <vt:lpstr>_STDS_DG41BA21D</vt:lpstr>
      <vt:lpstr>_STDS_DG16BE9D00</vt:lpstr>
      <vt:lpstr>Moving average DS(WEST)</vt:lpstr>
      <vt:lpstr>Simple Expo. DS(West)</vt:lpstr>
      <vt:lpstr>Holt's Expo. DS(West)</vt:lpstr>
      <vt:lpstr>Autocorrelation North</vt:lpstr>
      <vt:lpstr>Autocorrelation South</vt:lpstr>
      <vt:lpstr>Autocorrelation East</vt:lpstr>
      <vt:lpstr>Autocorrelation West</vt:lpstr>
      <vt:lpstr> Runs test North</vt:lpstr>
      <vt:lpstr>Runs test South</vt:lpstr>
      <vt:lpstr>Runs test East</vt:lpstr>
      <vt:lpstr>Runs test West</vt:lpstr>
      <vt:lpstr>ST_East</vt:lpstr>
      <vt:lpstr>ST_North</vt:lpstr>
      <vt:lpstr>ST_ResidualNorth</vt:lpstr>
      <vt:lpstr>ST_ResidualSouth</vt:lpstr>
      <vt:lpstr>ST_ResidualWest</vt:lpstr>
      <vt:lpstr>ST_RessidualEast</vt:lpstr>
      <vt:lpstr>ST_South</vt:lpstr>
      <vt:lpstr>ST_TimePeriod</vt:lpstr>
      <vt:lpstr>ST_TimePeriod_10</vt:lpstr>
      <vt:lpstr>ST_TimePeriod_14</vt:lpstr>
      <vt:lpstr>ST_TimePeriod_7</vt:lpstr>
      <vt:lpstr>ST_West</vt:lpstr>
      <vt:lpstr>' Runs test North'!StatToolsHeader</vt:lpstr>
      <vt:lpstr>'Autocorrelation East'!StatToolsHeader</vt:lpstr>
      <vt:lpstr>'Autocorrelation North'!StatToolsHeader</vt:lpstr>
      <vt:lpstr>'Autocorrelation South'!StatToolsHeader</vt:lpstr>
      <vt:lpstr>'Autocorrelation West'!StatToolsHeader</vt:lpstr>
      <vt:lpstr>'Expo.Smoothing Ds(East) a(3)'!StatToolsHeader</vt:lpstr>
      <vt:lpstr>'Holt''s EXpo DS(South)'!StatToolsHeader</vt:lpstr>
      <vt:lpstr>'Holt''s Expo. Ds (East)'!StatToolsHeader</vt:lpstr>
      <vt:lpstr>'Holt''s Expo. DS(West)'!StatToolsHeader</vt:lpstr>
      <vt:lpstr>'Moving average DS(south)'!StatToolsHeader</vt:lpstr>
      <vt:lpstr>'Moving average DS(WEST)'!StatToolsHeader</vt:lpstr>
      <vt:lpstr>'Moving average(East)'!StatToolsHeader</vt:lpstr>
      <vt:lpstr>'Moving averages  DS(North)'!StatToolsHeader</vt:lpstr>
      <vt:lpstr>'Moving Averages Ds(East) a(3)'!StatToolsHeader</vt:lpstr>
      <vt:lpstr>'Runs test East'!StatToolsHeader</vt:lpstr>
      <vt:lpstr>'Runs test South'!StatToolsHeader</vt:lpstr>
      <vt:lpstr>'Runs test West'!StatToolsHeader</vt:lpstr>
      <vt:lpstr>'Simple Expo. DS(West)'!StatToolsHeader</vt:lpstr>
      <vt:lpstr>'Simple Expo.(East)'!StatToolsHeader</vt:lpstr>
      <vt:lpstr>'Simple Expo.(South)'!StatToolsHeader</vt:lpstr>
      <vt:lpstr>'Time series east a(1)'!StatToolsHeader</vt:lpstr>
      <vt:lpstr>'Time Series North a(1)'!StatToolsHeader</vt:lpstr>
      <vt:lpstr>'Time Series South a(1)'!StatToolsHeader</vt:lpstr>
      <vt:lpstr>'Time Series West a(1)'!StatToolsHeader</vt:lpstr>
      <vt:lpstr>'Winter''s Forecaset(North) a(3)'!StatToolsHeader</vt:lpstr>
      <vt:lpstr>'Winter''s Forecast(South) a(3)'!StatToolsHeader</vt:lpstr>
      <vt:lpstr>'Winter''s Forecast(West) a(3)'!StatToolsHeader</vt:lpstr>
      <vt:lpstr>'Winters(East)'!StatToolsHeader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Thierry C</dc:creator>
  <cp:lastModifiedBy>Kamaljeet Kaur Sidhu</cp:lastModifiedBy>
  <dcterms:created xsi:type="dcterms:W3CDTF">2022-10-13T13:40:48Z</dcterms:created>
  <dcterms:modified xsi:type="dcterms:W3CDTF">2023-05-22T08:07:06Z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0x0101003DFD078B6E951A45BB1C82C2FC9186A9</vt:lpwstr>
  </property>
</Properties>
</file>